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ders_recrutement (1)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<sst xmlns="http://schemas.openxmlformats.org/spreadsheetml/2006/main" count="3666" uniqueCount="3666">
  <si>
    <t>date_date|customers_id|orders_id|CA_ht</t>
  </si>
  <si>
    <t>2017-08-30|1311453|3751676|38.700499999999991</t>
  </si>
  <si>
    <t>2017-08-30|1403193|3751818|82.5</t>
  </si>
  <si>
    <t>2018-05-13|1356693|4464802|92.023299999999978</t>
  </si>
  <si>
    <t>2018-05-13|257913|4464586|117.624</t>
  </si>
  <si>
    <t>2018-05-13|1151013|4462978|95.49039999999998</t>
  </si>
  <si>
    <t>2018-05-13|1442493|4463241|89.4834</t>
  </si>
  <si>
    <t>2018-05-13|1593033|4464150|73.2977</t>
  </si>
  <si>
    <t>2018-05-13|300033|4462263|89.49799999999999</t>
  </si>
  <si>
    <t>2018-05-13|1593093|4464340|4.5898</t>
  </si>
  <si>
    <t>2017-08-31|248073|3756410|91.376499999999979</t>
  </si>
  <si>
    <t>2017-08-31|89313|3755848|69.7342</t>
  </si>
  <si>
    <t>2017-08-31|415293|3755009|71.7612</t>
  </si>
  <si>
    <t>2017-08-31|1337073|3754927|119.9423</t>
  </si>
  <si>
    <t>2017-08-31|996933|3756137|103.59090000000003</t>
  </si>
  <si>
    <t>2017-08-31|1357653|3756474|63.6505</t>
  </si>
  <si>
    <t>2017-08-31|1404003|3755189|19.3841</t>
  </si>
  <si>
    <t>2017-08-31|1404303|3756547|10.5167</t>
  </si>
  <si>
    <t>2017-08-31|1216383|3755543|138.3357</t>
  </si>
  <si>
    <t>2018-05-14|1593993|4468830|38.583</t>
  </si>
  <si>
    <t>2018-05-14|474633|4468264|83.5488</t>
  </si>
  <si>
    <t>2018-05-14|1593513|4466367|73.3597</t>
  </si>
  <si>
    <t>2018-05-14|1593603|4466595|59.318999999999996</t>
  </si>
  <si>
    <t>2018-05-14|1333263|4466252|93.437199999999976</t>
  </si>
  <si>
    <t>2018-05-14|1232733|4468369|97.4375</t>
  </si>
  <si>
    <t>2018-05-14|1452273|4465445|35.230099999999993</t>
  </si>
  <si>
    <t>2018-05-14|1433553|4467289|145.38469999999998</t>
  </si>
  <si>
    <t>2017-09-01|186663|3757403|77.855699999999985</t>
  </si>
  <si>
    <t>2017-09-01|1404093|3758125|95.8272</t>
  </si>
  <si>
    <t>2017-09-01|1404513|3758683|22.180000000000003</t>
  </si>
  <si>
    <t>2017-09-01|1228443|3758627|61.6832</t>
  </si>
  <si>
    <t>2017-09-01|1090473|3758658|73.376100000000008</t>
  </si>
  <si>
    <t>2017-09-01|1380573|3757714|16.4928</t>
  </si>
  <si>
    <t>2018-05-15|415293|4469769|59.2456</t>
  </si>
  <si>
    <t>2018-05-15|1332093|4471324|37.422</t>
  </si>
  <si>
    <t>2018-05-15|231783|4470605|69.763100000000009</t>
  </si>
  <si>
    <t>2018-05-15|1478673|4469891|93.1735</t>
  </si>
  <si>
    <t>2018-05-15|1594623|4471220|18.131500000000003</t>
  </si>
  <si>
    <t>2018-05-15|1594713|4471611|12.5332</t>
  </si>
  <si>
    <t>2017-09-02|1304793|3760737|127.8421</t>
  </si>
  <si>
    <t>2017-09-02|1349433|3760439|63.8088</t>
  </si>
  <si>
    <t>2017-09-02|221733|3759350|199.6974</t>
  </si>
  <si>
    <t>2018-05-16|1177893|4474212|92.769</t>
  </si>
  <si>
    <t>2018-05-16|481893|4473178|66.3193</t>
  </si>
  <si>
    <t>2018-05-16|1594803|4472057|59.9555</t>
  </si>
  <si>
    <t>2018-05-16|485253|4474261|124.4267</t>
  </si>
  <si>
    <t>2018-05-16|1499163|4473308|75.9585</t>
  </si>
  <si>
    <t>2018-05-16|1595193|4473520|32.597</t>
  </si>
  <si>
    <t>2018-05-16|1595253|4474139|53.234700000000004</t>
  </si>
  <si>
    <t>2018-05-16|1223523|4473006|92.749400000000009</t>
  </si>
  <si>
    <t>2017-09-03|1405593|3761500|7.7876</t>
  </si>
  <si>
    <t>2017-09-03|1405893|3762410|70.55449999999999</t>
  </si>
  <si>
    <t>2017-09-03|1393893|3763387|153.86789999999996</t>
  </si>
  <si>
    <t>2017-09-03|1406283|3763956|38.9494</t>
  </si>
  <si>
    <t>2018-05-17|1426383|4476416|80.2064</t>
  </si>
  <si>
    <t>2018-05-17|1475553|4475381|41.6334</t>
  </si>
  <si>
    <t>2018-05-17|1455903|4476500|59.8301</t>
  </si>
  <si>
    <t>2018-05-17|1595793|4475849|30</t>
  </si>
  <si>
    <t>2018-05-17|1496013|4476409|99.4925</t>
  </si>
  <si>
    <t>2018-05-17|278733|4475054|69.5161</t>
  </si>
  <si>
    <t>2017-09-04|1162143|3765915|110.86959999999999</t>
  </si>
  <si>
    <t>2017-09-04|1106103|3766923|48.4768</t>
  </si>
  <si>
    <t>2017-09-04|1406463|3764898|32.3562</t>
  </si>
  <si>
    <t>2017-09-04|1381413|3764225|60.9781</t>
  </si>
  <si>
    <t>2017-09-04|1372173|3765448|62.7508</t>
  </si>
  <si>
    <t>2017-09-04|247473|3765037|65.3463</t>
  </si>
  <si>
    <t>2017-09-04|391113|3764275|43.6241</t>
  </si>
  <si>
    <t>2017-09-04|1406523|3765187|53.1583</t>
  </si>
  <si>
    <t>2017-09-04|1319373|3764194|83.9686</t>
  </si>
  <si>
    <t>2017-09-04|1400553|3766133|51.782399999999996</t>
  </si>
  <si>
    <t>2017-09-04|300033|3764598|35.7986</t>
  </si>
  <si>
    <t>2017-09-04|1209063|3765090|85.984</t>
  </si>
  <si>
    <t>2018-05-18|1019493|4478003|82.885899999999992</t>
  </si>
  <si>
    <t>2018-05-18|1379103|4478049|29.2342</t>
  </si>
  <si>
    <t>2018-05-18|1596483|4478413|10.1432</t>
  </si>
  <si>
    <t>2018-05-18|1030023|4477242|69.4468</t>
  </si>
  <si>
    <t>2017-09-05|1407633|3769938|19.4834</t>
  </si>
  <si>
    <t>2017-09-05|1407573|3769643|73.8975</t>
  </si>
  <si>
    <t>2017-09-05|1386543|3770010|59.965599999999995</t>
  </si>
  <si>
    <t>2017-09-06|1046973|3770441|17.134</t>
  </si>
  <si>
    <t>2017-09-06|1082913|3770683|121.9052</t>
  </si>
  <si>
    <t>2017-09-06|1267803|3772594|112.6967</t>
  </si>
  <si>
    <t>2017-09-06|1046973|3770487|23.2336</t>
  </si>
  <si>
    <t>2017-09-06|1408203|3772091|11.7</t>
  </si>
  <si>
    <t>2017-09-07|366003|3773741|79.67</t>
  </si>
  <si>
    <t>2017-09-07|221733|3775210|516.2565</t>
  </si>
  <si>
    <t>2017-09-07|1405383|3773477|64.6943</t>
  </si>
  <si>
    <t>2017-09-07|114033|3774160|95.84620000000001</t>
  </si>
  <si>
    <t>2017-09-07|948573|3775705|98.1575</t>
  </si>
  <si>
    <t>2017-09-07|416013|3773914|38.210499999999996</t>
  </si>
  <si>
    <t>2017-09-07|98433|3775734|72.42</t>
  </si>
  <si>
    <t>2017-09-07|1319343|3775390|62.5448</t>
  </si>
  <si>
    <t>2017-09-07|473733|3773841|24.9752</t>
  </si>
  <si>
    <t>2018-05-21|1478823|4484475|58.0362</t>
  </si>
  <si>
    <t>2018-05-21|1495833|4483860|36.6846</t>
  </si>
  <si>
    <t>2018-05-21|1460043|4484844|73.1489</t>
  </si>
  <si>
    <t>2018-05-21|395523|4482818|76.1238</t>
  </si>
  <si>
    <t>2018-05-21|1489683|4482446|52.4138</t>
  </si>
  <si>
    <t>2018-05-21|1410633|4482988|73.6159</t>
  </si>
  <si>
    <t>2017-09-08|1409583|3777469|86.2695</t>
  </si>
  <si>
    <t>2017-09-08|1344573|3776427|108.7199</t>
  </si>
  <si>
    <t>2017-09-08|1409553|3777347|63.3363</t>
  </si>
  <si>
    <t>2017-09-08|278733|3777805|69.204599999999985</t>
  </si>
  <si>
    <t>2017-09-08|1313943|3775961|20.465700000000002</t>
  </si>
  <si>
    <t>2017-09-08|306753|3777540|67.9432</t>
  </si>
  <si>
    <t>2017-09-08|1128333|3777095|42.3372</t>
  </si>
  <si>
    <t>2018-05-22|1598733|4487361|45.308</t>
  </si>
  <si>
    <t>2018-05-22|1207683|4486520|96.383099999999985</t>
  </si>
  <si>
    <t>2018-05-22|1598583|4486809|18.5687</t>
  </si>
  <si>
    <t>2018-05-22|1598403|4486489|19.205399999999997</t>
  </si>
  <si>
    <t>2017-09-09|1409613|3778092|26.403</t>
  </si>
  <si>
    <t>2017-09-09|1051203|3779343|41.2164</t>
  </si>
  <si>
    <t>2017-09-09|1410123|3779438|8.0583</t>
  </si>
  <si>
    <t>2018-05-23|1035543|4489891|59.9934</t>
  </si>
  <si>
    <t>2018-05-23|217743|4488479|127.7557</t>
  </si>
  <si>
    <t>2018-05-23|1594203|4487883|96.612400000000008</t>
  </si>
  <si>
    <t>2018-05-23|1220583|4488195|59.4633</t>
  </si>
  <si>
    <t>2017-09-10|184683|3781314|84.1364</t>
  </si>
  <si>
    <t>2017-09-10|184683|3781338|72.2746</t>
  </si>
  <si>
    <t>2017-09-10|367683|3782918|47.3871</t>
  </si>
  <si>
    <t>2017-09-10|1410513|3780820|59.3244</t>
  </si>
  <si>
    <t>2017-09-10|1410633|3781236|86.469</t>
  </si>
  <si>
    <t>2017-09-10|1039983|3781271|67.714499999999987</t>
  </si>
  <si>
    <t>2017-09-10|1410543|3780931|45.4989</t>
  </si>
  <si>
    <t>2018-05-24|1584483|4490858|183.0138</t>
  </si>
  <si>
    <t>2018-05-24|1524873|4490190|80.6593</t>
  </si>
  <si>
    <t>2017-09-11|33993|3783476|39.3022</t>
  </si>
  <si>
    <t>2017-09-11|1313493|3785544|40.4787</t>
  </si>
  <si>
    <t>2017-09-11|1388343|3784981|51.6709</t>
  </si>
  <si>
    <t>2017-09-11|186663|3784978|117.6399</t>
  </si>
  <si>
    <t>2017-09-11|1341963|3786186|133.18449999999999</t>
  </si>
  <si>
    <t>2017-09-11|1372023|3783743|49.0652</t>
  </si>
  <si>
    <t>2018-05-25|1324833|4492412|33.1659</t>
  </si>
  <si>
    <t>2018-05-25|845193|4493499|110.2292</t>
  </si>
  <si>
    <t>2018-05-25|1387113|4493329|326.80900000000008</t>
  </si>
  <si>
    <t>2018-05-25|1600143|4493113|25.9998</t>
  </si>
  <si>
    <t>2017-09-12|1299123|3787933|14.85</t>
  </si>
  <si>
    <t>2017-09-12|1306263|3787622|72.022600000000011</t>
  </si>
  <si>
    <t>2017-09-12|1411923|3786311|25.3081</t>
  </si>
  <si>
    <t>2017-09-12|1373283|3786377|73.2193</t>
  </si>
  <si>
    <t>2017-09-12|1177893|3786337|76.666699999999992</t>
  </si>
  <si>
    <t>2018-05-26|1600623|4495157|68.4547</t>
  </si>
  <si>
    <t>2018-05-26|1406043|4494357|80.166</t>
  </si>
  <si>
    <t>2018-05-26|1089273|4494438|47.9598</t>
  </si>
  <si>
    <t>2018-05-26|1600803|4495919|56.9082</t>
  </si>
  <si>
    <t>2018-05-26|1141683|4494426|75.1767</t>
  </si>
  <si>
    <t>2018-05-26|89313|4494791|64.9553</t>
  </si>
  <si>
    <t>2017-09-13|1412973|3790830|258.8221</t>
  </si>
  <si>
    <t>2017-09-13|1194483|3790584|120.96439999999998</t>
  </si>
  <si>
    <t>2017-09-13|848373|3791222|79.1667</t>
  </si>
  <si>
    <t>2017-09-13|1412583|3789106|76.6668</t>
  </si>
  <si>
    <t>2017-09-13|1209573|3789251|28.893</t>
  </si>
  <si>
    <t>2017-09-13|1194483|3790736|138.99009999999998</t>
  </si>
  <si>
    <t>2017-09-13|1212723|3789404|14.6065</t>
  </si>
  <si>
    <t>2018-05-27|1105443|4497037|116.1399</t>
  </si>
  <si>
    <t>2018-05-27|1575603|4496598|197.7408</t>
  </si>
  <si>
    <t>2018-05-27|1339083|4496972|72.1374</t>
  </si>
  <si>
    <t>2018-05-27|1299153|4498191|76.4982</t>
  </si>
  <si>
    <t>2018-05-27|1601013|4496766|14.7456</t>
  </si>
  <si>
    <t>2018-05-27|358443|4498323|120.5839</t>
  </si>
  <si>
    <t>2018-05-27|1457223|4496275|74.1946</t>
  </si>
  <si>
    <t>2018-05-27|1014183|4496845|64.432</t>
  </si>
  <si>
    <t>2017-09-14|1413543|3792956|77.539</t>
  </si>
  <si>
    <t>2017-09-14|1089273|3792815|69.6</t>
  </si>
  <si>
    <t>2017-09-14|1397703|3791624|49.439400000000006</t>
  </si>
  <si>
    <t>2017-09-14|1413663|3793370|68.8895</t>
  </si>
  <si>
    <t>2018-05-28|1099653|4502104|51.668</t>
  </si>
  <si>
    <t>2018-05-28|1237893|4500952|77.434900000000013</t>
  </si>
  <si>
    <t>2018-05-28|1601883|4500960|62.1795</t>
  </si>
  <si>
    <t>2018-05-28|1351803|4500460|66.3338</t>
  </si>
  <si>
    <t>2018-05-28|465123|4499782|69.1844</t>
  </si>
  <si>
    <t>2018-05-28|1203693|4501084|55.0083</t>
  </si>
  <si>
    <t>2018-05-28|1190553|4499872|18.5687</t>
  </si>
  <si>
    <t>2018-05-28|1437663|4500075|139.8779</t>
  </si>
  <si>
    <t>2018-05-28|1069473|4502002|30.9187</t>
  </si>
  <si>
    <t>2017-09-15|1414173|3795538|36.0657</t>
  </si>
  <si>
    <t>2017-09-15|234783|3795539|68.5592</t>
  </si>
  <si>
    <t>2018-05-29|1344573|4504337|90.55149999999999</t>
  </si>
  <si>
    <t>2018-05-29|1441233|4502638|66.2917</t>
  </si>
  <si>
    <t>2018-05-29|1602633|4504249|35.663399999999996</t>
  </si>
  <si>
    <t>2018-05-29|1345623|4504825|71.126</t>
  </si>
  <si>
    <t>2018-05-29|1404093|4504809|68.524800000000013</t>
  </si>
  <si>
    <t>2018-05-30|1603233|4506809|44.4098</t>
  </si>
  <si>
    <t>2018-05-30|318843|4505837|67.4523</t>
  </si>
  <si>
    <t>2018-05-30|1452153|4506806|63.9906</t>
  </si>
  <si>
    <t>2018-05-30|1571643|4507121|65.2672</t>
  </si>
  <si>
    <t>2018-05-30|1492563|4507468|76.1245</t>
  </si>
  <si>
    <t>2018-05-30|240393|4505464|86.4402</t>
  </si>
  <si>
    <t>2018-05-30|1561593|4506597|81.139900000000026</t>
  </si>
  <si>
    <t>2018-05-30|1369353|4507418|10.6118</t>
  </si>
  <si>
    <t>2018-05-30|1364553|4506604|38.7347</t>
  </si>
  <si>
    <t>2017-09-17|1415223|3799421|16.1667</t>
  </si>
  <si>
    <t>2017-09-17|1195233|3799188|49.686899999999994</t>
  </si>
  <si>
    <t>2017-09-17|1230573|3799025|75.723</t>
  </si>
  <si>
    <t>2017-09-17|1387113|3797458|319.33050000000003</t>
  </si>
  <si>
    <t>2018-05-31|1149063|4508645|79.100100000000026</t>
  </si>
  <si>
    <t>2018-05-31|1578423|4509482|38.1222</t>
  </si>
  <si>
    <t>2018-05-31|1416303|4510290|66.1717</t>
  </si>
  <si>
    <t>2018-05-31|1187913|4508599|33.7368</t>
  </si>
  <si>
    <t>2018-05-31|1113423|4509175|106.5981</t>
  </si>
  <si>
    <t>2018-05-31|1603893|4509713|70.9194</t>
  </si>
  <si>
    <t>2017-09-18|1184643|3802444|140.9388</t>
  </si>
  <si>
    <t>2017-09-18|265773|3802535|83.316500000000019</t>
  </si>
  <si>
    <t>2017-09-18|1415343|3799967|60.2237</t>
  </si>
  <si>
    <t>2017-09-18|1183473|3800681|77.875000000000014</t>
  </si>
  <si>
    <t>2017-09-18|1257633|3802173|67.858899999999991</t>
  </si>
  <si>
    <t>2017-09-18|1237893|3802218|81.183699999999988</t>
  </si>
  <si>
    <t>2017-09-18|1415553|3800870|24.471700000000002</t>
  </si>
  <si>
    <t>2017-09-18|1370283|3800665|94.6325</t>
  </si>
  <si>
    <t>2018-06-01|1533513|4510986|78.5403</t>
  </si>
  <si>
    <t>2018-06-01|1528503|4512056|106.5022</t>
  </si>
  <si>
    <t>2018-06-01|1596543|4510960|17.5291</t>
  </si>
  <si>
    <t>2018-06-01|300033|4511874|74.02170000000001</t>
  </si>
  <si>
    <t>2018-06-01|1604373|4511638|92.924399999999991</t>
  </si>
  <si>
    <t>2017-09-19|1416123|3803787|97.165</t>
  </si>
  <si>
    <t>2017-09-19|1278843|3802940|30.7023</t>
  </si>
  <si>
    <t>2017-09-19|1416303|3804194|79.0796</t>
  </si>
  <si>
    <t>2017-09-19|392763|3803363|8.25</t>
  </si>
  <si>
    <t>2018-06-02|1319343|4514040|70.929900000000018</t>
  </si>
  <si>
    <t>2018-06-02|1604913|4513611|51.911300000000011</t>
  </si>
  <si>
    <t>2018-06-02|1167393|4514429|50.525800000000004</t>
  </si>
  <si>
    <t>2018-06-02|1332093|4513394|18.711</t>
  </si>
  <si>
    <t>2018-06-03|1561233|4515667|80.5285</t>
  </si>
  <si>
    <t>2018-06-03|1605603|4515942|34.3226</t>
  </si>
  <si>
    <t>2018-06-03|1605693|4516272|23.1285</t>
  </si>
  <si>
    <t>2018-06-03|1265883|4515995|76.1674</t>
  </si>
  <si>
    <t>2018-06-03|1605783|4516599|67.11290000000001</t>
  </si>
  <si>
    <t>2018-06-03|1605423|4515340|73.91940000000001</t>
  </si>
  <si>
    <t>2018-06-03|1435293|4516088|71.1142</t>
  </si>
  <si>
    <t>2018-06-03|1435293|4516103|109.5735</t>
  </si>
  <si>
    <t>2017-09-21|1414173|3808942|43.8483</t>
  </si>
  <si>
    <t>2017-09-21|1198923|3808066|73.3177</t>
  </si>
  <si>
    <t>2017-09-21|357093|3807306|41.247</t>
  </si>
  <si>
    <t>2017-09-21|1417113|3807450|62.342000000000006</t>
  </si>
  <si>
    <t>2018-06-04|1606233|4518616|46.6</t>
  </si>
  <si>
    <t>2018-06-04|1580073|4520222|13.209</t>
  </si>
  <si>
    <t>2018-06-04|1427553|4518328|102.2</t>
  </si>
  <si>
    <t>2018-06-04|1491273|4517993|84.9792</t>
  </si>
  <si>
    <t>2018-06-04|1588233|4517995|84.5417</t>
  </si>
  <si>
    <t>2018-06-04|1606743|4520844|29.1863</t>
  </si>
  <si>
    <t>2017-09-22|857583|3810555|128.6616</t>
  </si>
  <si>
    <t>2017-09-22|1100373|3810494|69.2625</t>
  </si>
  <si>
    <t>2017-09-22|1314993|3809885|64.9374</t>
  </si>
  <si>
    <t>2017-09-22|190803|3809825|64.0281</t>
  </si>
  <si>
    <t>2017-09-22|1239273|3811051|110.7597</t>
  </si>
  <si>
    <t>2018-06-05|481893|4522046|85.541699999999992</t>
  </si>
  <si>
    <t>2018-06-05|1409553|4522139|64.617300000000014</t>
  </si>
  <si>
    <t>2018-06-05|1603743|4522262|133.3333</t>
  </si>
  <si>
    <t>2018-06-05|1049163|4523636|30.4266</t>
  </si>
  <si>
    <t>2018-06-05|1081713|4522266|75.125</t>
  </si>
  <si>
    <t>2018-06-05|1505163|4521549|75.2029</t>
  </si>
  <si>
    <t>2017-09-23|1406643|3812240|75.367</t>
  </si>
  <si>
    <t>2017-09-23|1418103|3811686|123.9495</t>
  </si>
  <si>
    <t>2017-09-23|146283|3811749|161.1</t>
  </si>
  <si>
    <t>2017-09-23|392763|3811600|70.427500000000009</t>
  </si>
  <si>
    <t>2017-09-23|1360113|3812078|67.039799999999985</t>
  </si>
  <si>
    <t>2018-06-06|1567323|4525857|26.771</t>
  </si>
  <si>
    <t>2018-06-06|1387113|4524924|187.02169999999998</t>
  </si>
  <si>
    <t>2018-06-06|1593933|4523901|16.6583</t>
  </si>
  <si>
    <t>2018-06-06|1607913|4525766|51.272499999999994</t>
  </si>
  <si>
    <t>2017-09-24|91623|3814270|25.301700000000004</t>
  </si>
  <si>
    <t>2017-09-24|1292223|3814625|55.68</t>
  </si>
  <si>
    <t>2017-09-24|257913|3814871|153.32090000000002</t>
  </si>
  <si>
    <t>2017-09-24|1223523|3814931|145.4638</t>
  </si>
  <si>
    <t>2017-09-24|1165353|3814266|79.787699999999987</t>
  </si>
  <si>
    <t>2017-09-24|257913|3814832|8.25</t>
  </si>
  <si>
    <t>2018-06-07|1608363|4527624|36.661699999999996</t>
  </si>
  <si>
    <t>2018-06-07|1608123|4526536|5.6322</t>
  </si>
  <si>
    <t>2018-06-07|1608423|4527721|39.7457</t>
  </si>
  <si>
    <t>2018-06-07|1547883|4526635|87.321400000000011</t>
  </si>
  <si>
    <t>2018-06-07|1271673|4527948|60.942499999999995</t>
  </si>
  <si>
    <t>2018-06-07|430593|4527448|89.603799999999978</t>
  </si>
  <si>
    <t>2018-06-07|423153|4526665|127.00219999999999</t>
  </si>
  <si>
    <t>2018-06-07|1491483|4527986|236.56950000000003</t>
  </si>
  <si>
    <t>2017-09-25|1419393|3817001|70.729599999999991</t>
  </si>
  <si>
    <t>2017-09-25|1238283|3817056|161.5746</t>
  </si>
  <si>
    <t>2017-09-25|1398753|3816917|110.30180000000001</t>
  </si>
  <si>
    <t>2017-09-25|1173993|3817216|8.25</t>
  </si>
  <si>
    <t>2017-09-25|1367313|3815830|52.865399999999994</t>
  </si>
  <si>
    <t>2017-09-25|1173993|3817387|79.6938</t>
  </si>
  <si>
    <t>2017-09-25|1393623|3817236|117.9553</t>
  </si>
  <si>
    <t>2017-09-25|1419603|3817862|69.0747</t>
  </si>
  <si>
    <t>2017-09-25|1406463|3816837|46.8236</t>
  </si>
  <si>
    <t>2018-06-08|1128333|4529617|45.162500000000009</t>
  </si>
  <si>
    <t>2018-06-08|1533183|4529434|46.0169</t>
  </si>
  <si>
    <t>2018-06-08|1513473|4528659|60.2717</t>
  </si>
  <si>
    <t>2018-06-08|426423|4528986|98.001799999999989</t>
  </si>
  <si>
    <t>2017-09-26|1418553|3820780|97.90889999999996</t>
  </si>
  <si>
    <t>2017-09-26|1368123|3819192|61.811199999999992</t>
  </si>
  <si>
    <t>2018-06-09|1046973|4530453|67.872900000000016</t>
  </si>
  <si>
    <t>2018-06-09|1407333|4530173|113.77669999999999</t>
  </si>
  <si>
    <t>2017-09-27|1420683|3822414|51.5833</t>
  </si>
  <si>
    <t>2017-09-27|1236423|3823110|26.1987</t>
  </si>
  <si>
    <t>2017-09-27|186663|3822021|93.199699999999993</t>
  </si>
  <si>
    <t>2018-06-10|1435473|4532626|68.3507</t>
  </si>
  <si>
    <t>2018-06-10|142833|4531591|41.8084</t>
  </si>
  <si>
    <t>2018-06-10|1609623|4532333|10.295</t>
  </si>
  <si>
    <t>2018-06-10|1609473|4531745|20.4313</t>
  </si>
  <si>
    <t>2017-09-28|1149063|3824569|81.6052</t>
  </si>
  <si>
    <t>2017-09-28|1421403|3825641|54.0292</t>
  </si>
  <si>
    <t>2017-09-28|1421283|3825173|22.6507</t>
  </si>
  <si>
    <t>2017-09-28|91623|3823524|34.762100000000004</t>
  </si>
  <si>
    <t>2017-09-28|1323693|3825232|106.42769999999999</t>
  </si>
  <si>
    <t>2017-09-28|1382673|3824181|36.9751</t>
  </si>
  <si>
    <t>2017-09-28|1234173|3824045|42.4125</t>
  </si>
  <si>
    <t>2018-06-11|1030023|4534190|119.29659999999998</t>
  </si>
  <si>
    <t>2018-06-11|1606803|4533982|824.0119</t>
  </si>
  <si>
    <t>2018-06-11|1351803|4535237|117.21029999999998</t>
  </si>
  <si>
    <t>2018-06-11|1404303|4535938|49.9167</t>
  </si>
  <si>
    <t>2018-06-11|1194483|4535494|110.7152</t>
  </si>
  <si>
    <t>2018-06-11|1610103|4534664|6.6</t>
  </si>
  <si>
    <t>2018-06-11|407643|4534705|72.4546</t>
  </si>
  <si>
    <t>2018-06-11|1267803|4535619|94.0475</t>
  </si>
  <si>
    <t>2017-09-29|1077423|3826801|172.88639999999998</t>
  </si>
  <si>
    <t>2017-09-29|1328943|3827937|67.182099999999991</t>
  </si>
  <si>
    <t>2017-09-29|1254663|3827663|68.3796</t>
  </si>
  <si>
    <t>2017-09-29|1421673|3827003|90.61099999999999</t>
  </si>
  <si>
    <t>2017-09-29|1090473|3826380|96.682300000000012</t>
  </si>
  <si>
    <t>2018-06-12|1610733|4537789|151.7886</t>
  </si>
  <si>
    <t>2018-06-12|221733|4536665|267.8019</t>
  </si>
  <si>
    <t>2018-06-12|1610673|4537485|34.2355</t>
  </si>
  <si>
    <t>2018-06-12|1010553|4536990|69.7331</t>
  </si>
  <si>
    <t>2018-06-12|1610403|4536202|7.0924</t>
  </si>
  <si>
    <t>2018-06-12|449253|4538207|22.6696</t>
  </si>
  <si>
    <t>2018-06-12|1546173|4537796|35.9017</t>
  </si>
  <si>
    <t>2018-06-12|1610433|4536377|43.42560000000001</t>
  </si>
  <si>
    <t>2017-09-30|260853|3828784|104.30749999999999</t>
  </si>
  <si>
    <t>2017-09-30|1330143|3829176|65.9252</t>
  </si>
  <si>
    <t>2017-09-30|1422243|3829103|5.385</t>
  </si>
  <si>
    <t>2017-09-30|1319373|3829534|92.393</t>
  </si>
  <si>
    <t>2017-09-30|1422333|3829418|38.977199999999996</t>
  </si>
  <si>
    <t>2017-09-30|1296363|3830171|114.39920000000002</t>
  </si>
  <si>
    <t>2018-06-13|1405893|4539615|106.8501</t>
  </si>
  <si>
    <t>2018-06-13|1611003|4539059|23.023</t>
  </si>
  <si>
    <t>2018-06-13|1611213|4540004|140.6078</t>
  </si>
  <si>
    <t>2018-06-13|1610703|4539835|213.962</t>
  </si>
  <si>
    <t>2017-10-01|1144893|3831258|117.98</t>
  </si>
  <si>
    <t>2017-10-01|1423023|3831993|60.7433</t>
  </si>
  <si>
    <t>2017-10-01|266283|3833944|81.1155</t>
  </si>
  <si>
    <t>2017-10-01|228423|3830742|143.0506</t>
  </si>
  <si>
    <t>2017-10-01|414963|3833693|36.7025</t>
  </si>
  <si>
    <t>2018-06-14|1611333|4540710|19.125</t>
  </si>
  <si>
    <t>2018-06-14|1594203|4541394|120.53349999999999</t>
  </si>
  <si>
    <t>2018-06-14|1556523|4540853|113.5736</t>
  </si>
  <si>
    <t>2018-06-14|1428633|4542187|148.5319</t>
  </si>
  <si>
    <t>2018-06-14|1611363|4540920|35.2614</t>
  </si>
  <si>
    <t>2018-06-14|1253943|4540973|94.8551</t>
  </si>
  <si>
    <t>2018-06-14|1611303|4540602|71.067900000000009</t>
  </si>
  <si>
    <t>2018-06-14|231783|4541228|74.788499999999985</t>
  </si>
  <si>
    <t>2017-10-02|1319343|3834936|67.6475</t>
  </si>
  <si>
    <t>2017-10-02|278733|3837310|90.053900000000013</t>
  </si>
  <si>
    <t>2017-10-02|262083|3835410|46.8713</t>
  </si>
  <si>
    <t>2017-10-02|1389153|3835584|7.8791999999999991</t>
  </si>
  <si>
    <t>2017-10-02|1246083|3836959|63.0021</t>
  </si>
  <si>
    <t>2017-10-02|1238583|3836579|48.9514</t>
  </si>
  <si>
    <t>2017-10-02|1420083|3835249|63.9991</t>
  </si>
  <si>
    <t>2017-10-02|1215273|3834974|23.908700000000003</t>
  </si>
  <si>
    <t>2017-10-02|996933|3834937|97.9648</t>
  </si>
  <si>
    <t>2017-10-02|186663|3836490|25.069000000000003</t>
  </si>
  <si>
    <t>2017-10-02|1423773|3835164|59.3841</t>
  </si>
  <si>
    <t>2018-06-15|1436763|4543546|68.7324</t>
  </si>
  <si>
    <t>2018-06-15|1179483|4542583|98.7658</t>
  </si>
  <si>
    <t>2018-06-15|1372173|4542360|50.925</t>
  </si>
  <si>
    <t>2017-10-03|1090473|3837936|50.574500000000008</t>
  </si>
  <si>
    <t>2017-10-03|1187913|3838704|60.900099999999995</t>
  </si>
  <si>
    <t>2017-10-03|481893|3840194|65.164099999999991</t>
  </si>
  <si>
    <t>2017-10-03|1417113|3838468|67.780999999999992</t>
  </si>
  <si>
    <t>2017-10-03|223263|3839755|78.1753</t>
  </si>
  <si>
    <t>2018-06-16|186663|4543649|27.7342</t>
  </si>
  <si>
    <t>2018-06-16|1578423|4543940|105.4628</t>
  </si>
  <si>
    <t>2018-06-16|367683|4544130|66.8402</t>
  </si>
  <si>
    <t>2018-06-16|1612203|4544558|183.4583</t>
  </si>
  <si>
    <t>2017-10-04|1338723|3841632|57.9758</t>
  </si>
  <si>
    <t>2017-10-04|395523|3841950|79.753099999999989</t>
  </si>
  <si>
    <t>2017-10-04|1290123|3843033|168.2236</t>
  </si>
  <si>
    <t>2017-10-04|257913|3841444|78.676</t>
  </si>
  <si>
    <t>2017-10-04|361203|3842977|65.049299999999988</t>
  </si>
  <si>
    <t>2017-10-04|184683|3843013|85.2216</t>
  </si>
  <si>
    <t>2017-10-04|1162143|3842122|83.349099999999993</t>
  </si>
  <si>
    <t>2018-06-17|1478823|4546023|80.5332</t>
  </si>
  <si>
    <t>2018-06-17|1612473|4545425|35.9264</t>
  </si>
  <si>
    <t>2018-06-17|1612653|4546365|66.31450000000001</t>
  </si>
  <si>
    <t>2017-10-05|1195233|3845516|31.3172</t>
  </si>
  <si>
    <t>2017-10-05|1426383|3845540|48.75</t>
  </si>
  <si>
    <t>2017-10-05|1426233|3845141|76.7226</t>
  </si>
  <si>
    <t>2018-06-18|1197873|4548712|66.4461</t>
  </si>
  <si>
    <t>2018-06-18|1611873|4548972|63.4201</t>
  </si>
  <si>
    <t>2018-06-18|1179483|4548265|42.795</t>
  </si>
  <si>
    <t>2018-06-18|1223523|4548290|112.42260000000002</t>
  </si>
  <si>
    <t>2018-06-18|1606803|4547709|391.0725</t>
  </si>
  <si>
    <t>2017-10-06|230883|3847459|82.685799999999972</t>
  </si>
  <si>
    <t>2017-10-06|1128333|3847213|42.644999999999996</t>
  </si>
  <si>
    <t>2017-10-06|426423|3846974|97.0255</t>
  </si>
  <si>
    <t>2017-10-06|1296213|3847578|83.5134</t>
  </si>
  <si>
    <t>2018-06-19|1413543|4550835|83.7674</t>
  </si>
  <si>
    <t>2018-06-19|1450893|4551134|66.883999999999986</t>
  </si>
  <si>
    <t>2018-06-19|1450893|4549421|94.0681</t>
  </si>
  <si>
    <t>2018-06-19|1613673|4551321|19.658199999999997</t>
  </si>
  <si>
    <t>2017-10-07|217743|3849361|112.42750000000001</t>
  </si>
  <si>
    <t>2017-10-07|1427553|3849623|77.4134</t>
  </si>
  <si>
    <t>2017-10-07|231213|3849277|156.3637</t>
  </si>
  <si>
    <t>2017-10-07|447933|3848558|16.3506</t>
  </si>
  <si>
    <t>2017-10-07|1423353|3849152|104.25</t>
  </si>
  <si>
    <t>2018-06-20|1292223|4552442|68.7437</t>
  </si>
  <si>
    <t>2018-06-20|1580073|4552039|40.4311</t>
  </si>
  <si>
    <t>2018-06-20|1610103|4552977|20.8125</t>
  </si>
  <si>
    <t>2018-06-20|1334643|4551691|87.1409</t>
  </si>
  <si>
    <t>2018-06-20|1613733|4551674|49.9167</t>
  </si>
  <si>
    <t>2017-10-08|367683|3850877|86.755599999999987</t>
  </si>
  <si>
    <t>2017-10-08|1427913|3850954|14.085</t>
  </si>
  <si>
    <t>2017-10-08|998673|3849894|129.08380000000002</t>
  </si>
  <si>
    <t>2017-10-08|1428003|3851413|58.9731</t>
  </si>
  <si>
    <t>2017-10-08|1384563|3852492|48.75</t>
  </si>
  <si>
    <t>2018-06-21|1478463|4554836|57.205299999999994</t>
  </si>
  <si>
    <t>2018-06-21|1489683|4555219|47.7612</t>
  </si>
  <si>
    <t>2018-06-21|1569543|4555236|58.4319</t>
  </si>
  <si>
    <t>2018-06-21|1286103|4554866|124.6688</t>
  </si>
  <si>
    <t>2018-06-21|1433553|4554325|139.17810000000003</t>
  </si>
  <si>
    <t>2018-06-21|1367703|4555088|82.1448</t>
  </si>
  <si>
    <t>2017-10-09|1428633|3854095|83.6553</t>
  </si>
  <si>
    <t>2017-10-09|1427613|3855587|67.4059</t>
  </si>
  <si>
    <t>2017-10-09|1429053|3855690|39.305099999999996</t>
  </si>
  <si>
    <t>2018-06-22|430593|4556032|49.7933</t>
  </si>
  <si>
    <t>2018-06-22|1387113|4555712|76.3453</t>
  </si>
  <si>
    <t>2018-06-22|1614843|4556810|39.7395</t>
  </si>
  <si>
    <t>2018-06-22|1614633|4555911|19.469</t>
  </si>
  <si>
    <t>2018-06-22|1604373|4556535|64.7815</t>
  </si>
  <si>
    <t>2017-10-10|1089273|3857315|32.37</t>
  </si>
  <si>
    <t>2017-10-10|1429623|3858146|52.4304</t>
  </si>
  <si>
    <t>2017-10-10|1409553|3857767|65.146499999999989</t>
  </si>
  <si>
    <t>2017-10-10|1324833|3856240|33.1659</t>
  </si>
  <si>
    <t>2017-10-10|1209063|3857928|66.741599999999991</t>
  </si>
  <si>
    <t>2018-06-23|1291233|4558668|152.6391</t>
  </si>
  <si>
    <t>2017-10-11|1230573|3859822|72.7259</t>
  </si>
  <si>
    <t>2017-10-11|986913|3859667|109.87209999999999</t>
  </si>
  <si>
    <t>2017-10-11|1291233|3861347|64.103</t>
  </si>
  <si>
    <t>2018-06-24|1615773|4560769|13.7334</t>
  </si>
  <si>
    <t>2018-06-24|1586073|4561236|21.8674</t>
  </si>
  <si>
    <t>2018-06-24|1435473|4559915|98.6886</t>
  </si>
  <si>
    <t>2018-06-24|410973|4561050|60.817899999999995</t>
  </si>
  <si>
    <t>2017-10-12|1430883|3863405|44.5897</t>
  </si>
  <si>
    <t>2017-10-12|1405893|3862682|28.151400000000002</t>
  </si>
  <si>
    <t>2017-10-12|1430913|3863556|39.294300000000007</t>
  </si>
  <si>
    <t>2017-10-12|1259703|3862173|69.174500000000009</t>
  </si>
  <si>
    <t>2017-10-12|184683|3863850|65.22290000000001</t>
  </si>
  <si>
    <t>2017-10-12|1046163|3862062|67.4237</t>
  </si>
  <si>
    <t>2018-06-25|1332093|4563561|37.422</t>
  </si>
  <si>
    <t>2018-06-25|199083|4563493|82.4454</t>
  </si>
  <si>
    <t>2018-06-25|1589253|4562933|65.7266</t>
  </si>
  <si>
    <t>2018-06-25|1274733|4564003|67.775399999999991</t>
  </si>
  <si>
    <t>2018-06-25|1426383|4563573|114.0321</t>
  </si>
  <si>
    <t>2017-10-13|1187913|3865162|41.4288</t>
  </si>
  <si>
    <t>2017-10-13|1334643|3864258|99.4692</t>
  </si>
  <si>
    <t>2017-10-13|1010553|3865028|75.892900000000012</t>
  </si>
  <si>
    <t>2017-10-13|392763|3864280|70.4724</t>
  </si>
  <si>
    <t>2017-10-13|1316463|3865068|68.922</t>
  </si>
  <si>
    <t>2017-10-13|1431063|3864111|30</t>
  </si>
  <si>
    <t>2017-10-13|1405383|3865227|62.3945</t>
  </si>
  <si>
    <t>2018-06-26|1541013|4564426|73.1945</t>
  </si>
  <si>
    <t>2018-06-26|423153|4564717|97.1739</t>
  </si>
  <si>
    <t>2018-06-26|1616763|4565771|44.2244</t>
  </si>
  <si>
    <t>2018-06-26|1615683|4564535|69.476300000000009</t>
  </si>
  <si>
    <t>2018-06-26|1616823|4566014|65.431600000000017</t>
  </si>
  <si>
    <t>2018-06-26|1236333|4566075|85.6099</t>
  </si>
  <si>
    <t>2018-06-26|1513473|4564981|85.0567</t>
  </si>
  <si>
    <t>2018-06-26|1616913|4566442|21.920099999999998</t>
  </si>
  <si>
    <t>2017-10-14|1399533|3865936|67.139</t>
  </si>
  <si>
    <t>2017-10-14|58503|3866050|33.859</t>
  </si>
  <si>
    <t>2018-06-27|1617633|4569805|40.9518</t>
  </si>
  <si>
    <t>2018-06-27|1061973|4569425|101.15479999999998</t>
  </si>
  <si>
    <t>2018-06-27|1423773|4569250|155.4066</t>
  </si>
  <si>
    <t>2018-06-27|1501053|4567074|120.9336</t>
  </si>
  <si>
    <t>2018-06-27|1099653|4569600|75.96629999999999</t>
  </si>
  <si>
    <t>2018-06-27|1511583|4569055|46.0335</t>
  </si>
  <si>
    <t>2018-06-27|223263|4567612|110.93130000000001</t>
  </si>
  <si>
    <t>2018-06-27|1173993|4568742|69.0746</t>
  </si>
  <si>
    <t>2018-06-27|1194483|4566958|112.44379999999998</t>
  </si>
  <si>
    <t>2018-06-27|1220073|4569063|107.0202</t>
  </si>
  <si>
    <t>2018-06-27|1344573|4568949|153.0317</t>
  </si>
  <si>
    <t>2018-06-27|485253|4569700|107.1566</t>
  </si>
  <si>
    <t>2018-06-27|1180083|4567618|21.2273</t>
  </si>
  <si>
    <t>2017-10-15|1082913|3868610|121.9052</t>
  </si>
  <si>
    <t>2017-10-15|1381413|3868701|59.7446</t>
  </si>
  <si>
    <t>2017-10-15|1274733|3868188|129.6438</t>
  </si>
  <si>
    <t>2017-10-15|1432413|3868620|26.4456</t>
  </si>
  <si>
    <t>2018-06-28|1261383|4572041|93.089999999999989</t>
  </si>
  <si>
    <t>2018-06-28|238443|4572402|67.235199999999992</t>
  </si>
  <si>
    <t>2018-06-28|490203|4570388|80.4045</t>
  </si>
  <si>
    <t>2018-06-28|1617993|4571598|65.66</t>
  </si>
  <si>
    <t>2018-06-28|1198923|4572824|292.18009999999987</t>
  </si>
  <si>
    <t>2018-06-28|484233|4572701|50.392700000000005</t>
  </si>
  <si>
    <t>2018-06-28|1515603|4570051|41.688799999999993</t>
  </si>
  <si>
    <t>2018-06-28|1238583|4571152|40.965500000000006</t>
  </si>
  <si>
    <t>2018-06-28|1081713|4570681|70.150100000000009</t>
  </si>
  <si>
    <t>2018-06-28|1534623|4571370|273.1067</t>
  </si>
  <si>
    <t>2017-10-16|1184643|3871726|131.5575</t>
  </si>
  <si>
    <t>2017-10-16|473733|3870098|29.97</t>
  </si>
  <si>
    <t>2017-10-16|1432953|3871392|85.5947</t>
  </si>
  <si>
    <t>2017-10-16|1432653|3869682|8.8334</t>
  </si>
  <si>
    <t>2017-10-16|1197873|3871515|63.4906</t>
  </si>
  <si>
    <t>2017-10-16|1233843|3871805|19.3623</t>
  </si>
  <si>
    <t>2017-10-16|1336473|3871968|164.86759999999998</t>
  </si>
  <si>
    <t>2017-10-16|1433163|3871521|26.3925</t>
  </si>
  <si>
    <t>2017-10-16|1175043|3870508|39.5055</t>
  </si>
  <si>
    <t>2017-10-16|1195233|3871957|39.1065</t>
  </si>
  <si>
    <t>2018-06-29|1510443|4575371|24.635</t>
  </si>
  <si>
    <t>2018-06-29|1618653|4574573|63.172899999999991</t>
  </si>
  <si>
    <t>2018-06-29|1545003|4573331|63.5878</t>
  </si>
  <si>
    <t>2017-10-17|1281333|3872105|35.6925</t>
  </si>
  <si>
    <t>2017-10-17|1433403|3872339|66.002</t>
  </si>
  <si>
    <t>2017-10-17|1433553|3872940|41.6475</t>
  </si>
  <si>
    <t>2017-10-17|392763|3873720|94.605899999999991</t>
  </si>
  <si>
    <t>2017-10-17|1125063|3872670|47.0165</t>
  </si>
  <si>
    <t>2017-10-17|1433913|3874241|6.7651</t>
  </si>
  <si>
    <t>2017-10-17|1135593|3873109|67.51870000000001</t>
  </si>
  <si>
    <t>2017-10-17|1372023|3873471|61.2308</t>
  </si>
  <si>
    <t>2018-06-30|1475463|4576425|33.7735</t>
  </si>
  <si>
    <t>2018-06-30|414963|4575900|41.0715</t>
  </si>
  <si>
    <t>2017-10-18|1345623|3876022|34.7745</t>
  </si>
  <si>
    <t>2017-10-18|1434483|3876262|181.93810000000002</t>
  </si>
  <si>
    <t>2017-10-18|1223523|3875020|138.58429999999996</t>
  </si>
  <si>
    <t>2017-10-18|1333263|3876152|98.50630000000001</t>
  </si>
  <si>
    <t>2018-07-01|1159653|4578564|66.9191</t>
  </si>
  <si>
    <t>2018-07-01|1620033|4580492|119.6667</t>
  </si>
  <si>
    <t>2018-07-01|1212723|4579880|60.876400000000004</t>
  </si>
  <si>
    <t>2018-07-01|1589013|4579877|17.5346</t>
  </si>
  <si>
    <t>2018-07-01|1599033|4578301|139.0758</t>
  </si>
  <si>
    <t>2018-07-01|1620003|4580367|59.9334</t>
  </si>
  <si>
    <t>2018-07-01|1620093|4580824|44.3231</t>
  </si>
  <si>
    <t>2018-07-01|1578423|4578576|80.4834</t>
  </si>
  <si>
    <t>2018-07-01|1585893|4580193|74.9795</t>
  </si>
  <si>
    <t>2018-07-01|1619553|4578441|174.8041</t>
  </si>
  <si>
    <t>2018-07-01|1102863|4578988|74.0236</t>
  </si>
  <si>
    <t>2017-10-19|1434783|3877396|33.25</t>
  </si>
  <si>
    <t>2017-10-19|1286103|3877398|329.3843</t>
  </si>
  <si>
    <t>2017-10-19|1286103|3877483|390.3118</t>
  </si>
  <si>
    <t>2018-07-02|1089273|4582242|36.3332</t>
  </si>
  <si>
    <t>2018-07-02|1588233|4581936|80.446400000000011</t>
  </si>
  <si>
    <t>2018-07-02|426423|4582556|94.7084</t>
  </si>
  <si>
    <t>2018-07-02|1620633|4583351|91.970999999999989</t>
  </si>
  <si>
    <t>2018-07-02|1620153|4581094|66.853000000000009</t>
  </si>
  <si>
    <t>2018-07-02|1620273|4581710|11.2472</t>
  </si>
  <si>
    <t>2018-07-02|1620123|4581247|90.237</t>
  </si>
  <si>
    <t>2018-07-02|1611213|4583840|82.462100000000021</t>
  </si>
  <si>
    <t>2018-07-02|1416303|4581596|70.548200000000008</t>
  </si>
  <si>
    <t>2017-10-20|1435443|3879797|10.0932</t>
  </si>
  <si>
    <t>2017-10-20|1419603|3879737|74.268399999999986</t>
  </si>
  <si>
    <t>2017-10-20|1435473|3879867|58.0649</t>
  </si>
  <si>
    <t>2018-07-03|1165353|4586404|59.2218</t>
  </si>
  <si>
    <t>2018-07-03|1073343|4585136|16.7441</t>
  </si>
  <si>
    <t>2018-07-03|1397703|4585011|60.2069</t>
  </si>
  <si>
    <t>2018-07-03|1620813|4585889|30.6251</t>
  </si>
  <si>
    <t>2018-07-03|1103823|4585639|97.4962</t>
  </si>
  <si>
    <t>2018-07-03|1621293|4586710|26.541200000000003</t>
  </si>
  <si>
    <t>2017-10-21|186663|3880316|67.698000000000008</t>
  </si>
  <si>
    <t>2017-10-21|1435593|3880267|60.392799999999994</t>
  </si>
  <si>
    <t>2017-10-21|1234173|3880354|38.2275</t>
  </si>
  <si>
    <t>2017-10-21|1341843|3880585|83.092999999999989</t>
  </si>
  <si>
    <t>2017-10-21|1435773|3880848|41.875</t>
  </si>
  <si>
    <t>2017-10-21|278733|3880637|81.7611</t>
  </si>
  <si>
    <t>2017-10-21|1435953|3881460|41.3129</t>
  </si>
  <si>
    <t>2018-07-04|1223523|4589348|32.2562</t>
  </si>
  <si>
    <t>2018-07-04|1594203|4590109|149.8145</t>
  </si>
  <si>
    <t>2018-07-04|1387623|4588944|72.287299999999988</t>
  </si>
  <si>
    <t>2018-07-04|146283|4589789|148.2542</t>
  </si>
  <si>
    <t>2018-07-04|1467843|4589925|84.4348</t>
  </si>
  <si>
    <t>2018-07-04|1434813|4588635|267.55160000000006</t>
  </si>
  <si>
    <t>2017-10-22|1342773|3883812|19.549999999999997</t>
  </si>
  <si>
    <t>2017-10-22|1203693|3884098|34.8791</t>
  </si>
  <si>
    <t>2017-10-22|1436523|3883646|43.632600000000004</t>
  </si>
  <si>
    <t>2017-10-22|1238253|3882474|11.753499999999999</t>
  </si>
  <si>
    <t>2017-10-22|1195233|3882455|53.1728</t>
  </si>
  <si>
    <t>2017-10-22|1436163|3882195|65.9934</t>
  </si>
  <si>
    <t>2017-10-22|1173993|3882076|89.565999999999988</t>
  </si>
  <si>
    <t>2017-10-22|1138083|3882561|133.10999999999999</t>
  </si>
  <si>
    <t>2017-10-22|1436313|3882793|94.8595</t>
  </si>
  <si>
    <t>2018-07-05|1622313|4591174|54.5193</t>
  </si>
  <si>
    <t>2018-07-05|1499133|4592739|97.594</t>
  </si>
  <si>
    <t>2018-07-05|1499133|4592878|99.2926</t>
  </si>
  <si>
    <t>2018-07-05|1622343|4591239|24.7998</t>
  </si>
  <si>
    <t>2017-10-23|221733|3885934|332.829</t>
  </si>
  <si>
    <t>2017-10-23|1230573|3885867|76.51939999999999</t>
  </si>
  <si>
    <t>2017-10-23|1348683|3886923|59.8436</t>
  </si>
  <si>
    <t>2017-10-23|1299153|3884822|39.9302</t>
  </si>
  <si>
    <t>2017-10-23|1434813|3885827|229.29449999999994</t>
  </si>
  <si>
    <t>2017-10-23|1437213|3886485|18.1279</t>
  </si>
  <si>
    <t>2017-10-23|1437033|3885788|13.0711</t>
  </si>
  <si>
    <t>2018-07-06|184683|4594086|70.8517</t>
  </si>
  <si>
    <t>2018-07-06|1450893|4594898|63.4227</t>
  </si>
  <si>
    <t>2018-07-06|1428633|4594909|60.060600000000008</t>
  </si>
  <si>
    <t>2018-07-06|1077423|4594580|150.0181</t>
  </si>
  <si>
    <t>2017-10-24|1310703|3888872|48.3039</t>
  </si>
  <si>
    <t>2017-10-24|1410513|3888591|61.8287</t>
  </si>
  <si>
    <t>2017-10-24|1251393|3889349|42.240399999999994</t>
  </si>
  <si>
    <t>2017-10-24|1253823|3887853|76.02600000000001</t>
  </si>
  <si>
    <t>2017-10-24|1437663|3888438|81.1404</t>
  </si>
  <si>
    <t>2017-10-24|156393|3887464|82.7924</t>
  </si>
  <si>
    <t>2017-10-24|1113423|3889309|65.7284</t>
  </si>
  <si>
    <t>2018-07-07|161793|4595251|23.2326</t>
  </si>
  <si>
    <t>2018-07-07|1128333|4595540|24.4417</t>
  </si>
  <si>
    <t>2018-07-07|1623573|4596338|27.7248</t>
  </si>
  <si>
    <t>2018-07-07|1368123|4595367|72.1242</t>
  </si>
  <si>
    <t>2018-07-07|1435293|4595972|138.9405</t>
  </si>
  <si>
    <t>2018-07-07|161793|4595076|139.8105</t>
  </si>
  <si>
    <t>2018-07-07|1623273|4595222|87.346300000000014</t>
  </si>
  <si>
    <t>2017-10-25|1195233|3891741|78.088799999999992</t>
  </si>
  <si>
    <t>2017-10-25|1204983|3890010|64.0221</t>
  </si>
  <si>
    <t>2017-10-25|1269453|3892014|64.9966</t>
  </si>
  <si>
    <t>2017-10-25|1315173|3892263|62.8164</t>
  </si>
  <si>
    <t>2017-10-25|1261383|3891325|218.10490000000004</t>
  </si>
  <si>
    <t>2018-07-08|1040313|4598448|156.49889999999994</t>
  </si>
  <si>
    <t>2018-07-08|1624083|4598507|34.5653</t>
  </si>
  <si>
    <t>2018-07-08|1624113|4598562|19.7499</t>
  </si>
  <si>
    <t>2017-10-26|1161873|3892977|54.6467</t>
  </si>
  <si>
    <t>2017-10-26|1163223|3894574|72.9734</t>
  </si>
  <si>
    <t>2017-10-26|1438923|3893639|15.1564</t>
  </si>
  <si>
    <t>2017-10-26|1438983|3893787|18.535800000000002</t>
  </si>
  <si>
    <t>2018-07-09|1624353|4600602|46.6775</t>
  </si>
  <si>
    <t>2018-07-09|1624863|4601984|44.726</t>
  </si>
  <si>
    <t>2018-07-09|1533183|4600522|38.780699999999996</t>
  </si>
  <si>
    <t>2018-07-09|1624623|4600954|27</t>
  </si>
  <si>
    <t>2018-07-09|234783|4599782|149.7567</t>
  </si>
  <si>
    <t>2017-10-27|1439163|3895220|23.0806</t>
  </si>
  <si>
    <t>2017-10-27|1439613|3896424|25.0417</t>
  </si>
  <si>
    <t>2017-10-27|1439313|3895264|71.0501</t>
  </si>
  <si>
    <t>2017-10-27|1206753|3896566|62.108200000000004</t>
  </si>
  <si>
    <t>2017-10-27|1439433|3895752|35.6588</t>
  </si>
  <si>
    <t>2017-10-27|1433613|3895575|11.0175</t>
  </si>
  <si>
    <t>2018-07-10|1625283|4604230|80.175</t>
  </si>
  <si>
    <t>2018-07-10|1625133|4603381|21.989</t>
  </si>
  <si>
    <t>2018-07-10|1011633|4603513|98.7783</t>
  </si>
  <si>
    <t>2018-07-10|1625103|4603329|110.8275</t>
  </si>
  <si>
    <t>2018-07-10|1619823|4603083|47.2287</t>
  </si>
  <si>
    <t>2018-07-10|1151883|4602978|101.2817</t>
  </si>
  <si>
    <t>2017-10-28|1433223|3897953|25.239400000000003</t>
  </si>
  <si>
    <t>2017-10-28|206973|3897282|66.777999999999992</t>
  </si>
  <si>
    <t>2018-07-11|1595253|4605161|70.8572</t>
  </si>
  <si>
    <t>2018-07-11|1138083|4605388|167.13429999999997</t>
  </si>
  <si>
    <t>2018-07-11|1510383|4604650|96.7677</t>
  </si>
  <si>
    <t>2018-07-11|1510383|4604657|87.5167</t>
  </si>
  <si>
    <t>2018-07-11|1625463|4605153|66.9218</t>
  </si>
  <si>
    <t>2017-10-29|1412553|3900652|68.708499999999987</t>
  </si>
  <si>
    <t>2017-10-29|1440663|3900383|66.6208</t>
  </si>
  <si>
    <t>2017-10-29|1397703|3901288|72.407800000000009</t>
  </si>
  <si>
    <t>2017-10-29|1440333|3899138|21.25</t>
  </si>
  <si>
    <t>2017-10-29|1141683|3899348|63.865700000000004</t>
  </si>
  <si>
    <t>2018-07-12|1058073|4606990|117.90320000000001</t>
  </si>
  <si>
    <t>2018-07-12|1626003|4607622|99.1667</t>
  </si>
  <si>
    <t>2018-07-12|1625793|4606768|17</t>
  </si>
  <si>
    <t>2018-07-12|1499163|4606734|67.8213</t>
  </si>
  <si>
    <t>2018-07-12|1433553|4607891|146.1334</t>
  </si>
  <si>
    <t>2018-07-12|1433553|4607875|164.56039999999996</t>
  </si>
  <si>
    <t>2018-07-12|1319703|4606995|35.917</t>
  </si>
  <si>
    <t>2017-10-30|1441233|3902908|64.425</t>
  </si>
  <si>
    <t>2017-10-30|996933|3904205|117.9723</t>
  </si>
  <si>
    <t>2017-10-30|1441353|3903452|100.8268</t>
  </si>
  <si>
    <t>2017-10-30|1246893|3903629|48.191900000000011</t>
  </si>
  <si>
    <t>2017-10-30|1399533|3903176|85.1447</t>
  </si>
  <si>
    <t>2017-10-30|106503|3904042|64.2979</t>
  </si>
  <si>
    <t>2017-10-30|1428633|3904683|127.192</t>
  </si>
  <si>
    <t>2017-10-30|220503|3903562|18.25</t>
  </si>
  <si>
    <t>2018-07-13|1626093|4608120|82.3749</t>
  </si>
  <si>
    <t>2017-10-31|485253|3905395|93.5441</t>
  </si>
  <si>
    <t>2017-10-31|1389153|3906051|31.8991</t>
  </si>
  <si>
    <t>2017-10-31|1441833|3905465|26.5269</t>
  </si>
  <si>
    <t>2017-10-31|1441923|3905812|10.5583</t>
  </si>
  <si>
    <t>2017-10-31|1436763|3906333|71.9985</t>
  </si>
  <si>
    <t>2017-10-31|1389153|3906078|31.899100000000004</t>
  </si>
  <si>
    <t>2017-10-31|1238253|3905482|9.6882</t>
  </si>
  <si>
    <t>2017-10-31|1220583|3904976|72.661599999999993</t>
  </si>
  <si>
    <t>2018-07-14|1607913|4609524|143.38729999999998</t>
  </si>
  <si>
    <t>2018-07-14|1372173|4610553|32.3096</t>
  </si>
  <si>
    <t>2018-07-14|1626663|4610731|118.32</t>
  </si>
  <si>
    <t>2018-07-14|1625403|4610685|69.6878</t>
  </si>
  <si>
    <t>2017-11-01|1442343|3908549|70.506099999999989</t>
  </si>
  <si>
    <t>2017-11-01|234783|3907283|101.25170000000001</t>
  </si>
  <si>
    <t>2017-11-01|1406463|3908499|32.7397</t>
  </si>
  <si>
    <t>2017-11-01|1442403|3907758|50.5416</t>
  </si>
  <si>
    <t>2017-11-01|1228443|3908769|102.3735</t>
  </si>
  <si>
    <t>2017-11-01|1352493|3909067|31.2123</t>
  </si>
  <si>
    <t>2017-11-01|228423|3909216|90.5859</t>
  </si>
  <si>
    <t>2017-11-01|1304853|3908033|68.076</t>
  </si>
  <si>
    <t>2018-07-15|1197873|4611851|19.676000000000002</t>
  </si>
  <si>
    <t>2018-07-15|217743|4611527|167.5273</t>
  </si>
  <si>
    <t>2018-07-15|1559583|4612496|69.5947</t>
  </si>
  <si>
    <t>2018-07-15|361563|4611145|38.2515</t>
  </si>
  <si>
    <t>2018-07-15|1626933|4611930|43.3243</t>
  </si>
  <si>
    <t>2018-07-15|1519623|4612444|66.4358</t>
  </si>
  <si>
    <t>2018-07-15|1432323|4610939|47.0254</t>
  </si>
  <si>
    <t>2018-07-15|1626813|4611429|61.824600000000004</t>
  </si>
  <si>
    <t>2017-11-02|1319373|3911130|84.422</t>
  </si>
  <si>
    <t>2017-11-02|1089273|3910108|67.9033</t>
  </si>
  <si>
    <t>2017-11-02|948573|3911506|75.0235</t>
  </si>
  <si>
    <t>2017-11-02|1442253|3910551|67.145599999999988</t>
  </si>
  <si>
    <t>2017-11-02|1435293|3912184|91.996599999999987</t>
  </si>
  <si>
    <t>2017-11-02|1061973|3912359|92.873700000000028</t>
  </si>
  <si>
    <t>2018-07-16|1627173|4613364|39.422</t>
  </si>
  <si>
    <t>2018-07-16|1549083|4614134|40.400999999999996</t>
  </si>
  <si>
    <t>2018-07-16|1627293|4614145|90.6534</t>
  </si>
  <si>
    <t>2018-07-16|1360233|4614503|64.3358</t>
  </si>
  <si>
    <t>2018-07-16|184683|4613416|81.0009</t>
  </si>
  <si>
    <t>2018-07-16|1387113|4614360|131.3587</t>
  </si>
  <si>
    <t>2018-07-16|1592163|4614780|59.9844</t>
  </si>
  <si>
    <t>2017-11-03|306753|3913951|71.652</t>
  </si>
  <si>
    <t>2017-11-03|1296213|3913641|70.0951</t>
  </si>
  <si>
    <t>2018-07-17|1220583|4617398|65.277499999999989</t>
  </si>
  <si>
    <t>2018-07-17|1245363|4617287|83.813699999999983</t>
  </si>
  <si>
    <t>2018-07-17|1627773|4616455|12.1758</t>
  </si>
  <si>
    <t>2018-07-17|1569543|4617251|75.988</t>
  </si>
  <si>
    <t>2018-07-17|384483|4615357|154.28679999999997</t>
  </si>
  <si>
    <t>2017-11-04|1144893|3915769|101.35010000000001</t>
  </si>
  <si>
    <t>2017-11-04|1185843|3915811|73.8482</t>
  </si>
  <si>
    <t>2017-11-04|1444053|3914837|58.8334</t>
  </si>
  <si>
    <t>2017-11-04|1239183|3915510|55.1467</t>
  </si>
  <si>
    <t>2017-11-04|1272693|3916383|109.8844</t>
  </si>
  <si>
    <t>2018-07-18|1269453|4618652|65.2985</t>
  </si>
  <si>
    <t>2018-07-18|1435473|4617871|215.66339999999994</t>
  </si>
  <si>
    <t>2018-07-18|1455903|4618377|74.4624</t>
  </si>
  <si>
    <t>2018-07-18|1447083|4618882|103.22279999999999</t>
  </si>
  <si>
    <t>2017-11-05|848373|3917041|63.3334</t>
  </si>
  <si>
    <t>2017-11-05|1125543|3919498|29.540499999999998</t>
  </si>
  <si>
    <t>2017-11-05|1318413|3917785|68.090600000000009</t>
  </si>
  <si>
    <t>2017-11-05|477903|3917571|33.27</t>
  </si>
  <si>
    <t>2017-11-05|884403|3918817|58.08</t>
  </si>
  <si>
    <t>2017-11-05|410973|3919692|59.3968</t>
  </si>
  <si>
    <t>2017-11-05|1328943|3918094|55.4446</t>
  </si>
  <si>
    <t>2017-11-05|1444863|3917853|37.5</t>
  </si>
  <si>
    <t>2018-07-19|1210233|4620788|69.1032</t>
  </si>
  <si>
    <t>2018-07-19|1546173|4621314|50.2887</t>
  </si>
  <si>
    <t>2018-07-19|1628823|4621174|44.936899999999994</t>
  </si>
  <si>
    <t>2018-07-19|1300023|4621535|66.1334</t>
  </si>
  <si>
    <t>2017-11-06|1247553|3921931|45.183299999999996</t>
  </si>
  <si>
    <t>2017-11-06|1194483|3923334|122.53940000000001</t>
  </si>
  <si>
    <t>2017-11-06|1344573|3921247|341.8318</t>
  </si>
  <si>
    <t>2017-11-06|1446063|3923019|65.1802</t>
  </si>
  <si>
    <t>2017-11-06|1423773|3920758|46.5605</t>
  </si>
  <si>
    <t>2017-11-06|1239273|3920722|94.625199999999992</t>
  </si>
  <si>
    <t>2017-11-06|1433553|3921052|129.20940000000002</t>
  </si>
  <si>
    <t>2018-07-20|1451553|4623197|89.114499999999992</t>
  </si>
  <si>
    <t>2018-07-20|1433223|4623028|17.7795</t>
  </si>
  <si>
    <t>2018-07-20|1428633|4622597|140.21900000000002</t>
  </si>
  <si>
    <t>2018-07-20|1324833|4622351|33.1659</t>
  </si>
  <si>
    <t>2017-11-07|1446603|3925381|9.3103</t>
  </si>
  <si>
    <t>2017-11-07|1046973|3924353|7.7652</t>
  </si>
  <si>
    <t>2017-11-07|1238583|3924503|62.3226</t>
  </si>
  <si>
    <t>2017-11-07|1344243|3924264|36.1245</t>
  </si>
  <si>
    <t>2018-07-21|1427553|4625143|43.4036</t>
  </si>
  <si>
    <t>2018-07-21|152853|4625563|83.8926</t>
  </si>
  <si>
    <t>2018-07-21|1376643|4624263|61.1245</t>
  </si>
  <si>
    <t>2017-11-08|1447083|3927235|143.49159999999998</t>
  </si>
  <si>
    <t>2017-11-08|1237893|3928077|72.711</t>
  </si>
  <si>
    <t>2017-11-08|1278843|3927712|22.158299999999997</t>
  </si>
  <si>
    <t>2017-11-08|1291233|3926911|114.10330000000002</t>
  </si>
  <si>
    <t>2018-07-22|1630293|4626820|10.2771</t>
  </si>
  <si>
    <t>2018-07-22|1251393|4625846|52.248599999999996</t>
  </si>
  <si>
    <t>2018-07-22|1478673|4627909|194.8039</t>
  </si>
  <si>
    <t>2018-07-22|1030023|4626045|113.33429999999997</t>
  </si>
  <si>
    <t>2018-07-22|1630083|4626084|146.6593</t>
  </si>
  <si>
    <t>2018-07-22|1426383|4627473|73.4802</t>
  </si>
  <si>
    <t>2018-07-22|1630473|4627613|13.7482</t>
  </si>
  <si>
    <t>2018-07-22|1441833|4627701|54.746900000000004</t>
  </si>
  <si>
    <t>2018-07-22|1381683|4626619|16.6074</t>
  </si>
  <si>
    <t>2018-07-22|1630143|4626304|18.282</t>
  </si>
  <si>
    <t>2018-07-22|1612473|4626314|25.006999999999998</t>
  </si>
  <si>
    <t>2018-07-22|1195233|4626222|60.177900000000008</t>
  </si>
  <si>
    <t>2017-11-09|1244073|3929850|76.5213</t>
  </si>
  <si>
    <t>2017-11-09|1447983|3930851|69.4036</t>
  </si>
  <si>
    <t>2017-11-09|1345623|3931499|19.9166</t>
  </si>
  <si>
    <t>2017-11-09|1170063|3931255|67.65</t>
  </si>
  <si>
    <t>2018-07-23|1630743|4628882|53.5333</t>
  </si>
  <si>
    <t>2018-07-23|1204983|4630820|65.653600000000012</t>
  </si>
  <si>
    <t>2018-07-23|1368123|4630128|50.7429</t>
  </si>
  <si>
    <t>2018-07-23|358443|4630596|163.0961</t>
  </si>
  <si>
    <t>2018-07-23|1505163|4629481|93.4596</t>
  </si>
  <si>
    <t>2017-11-10|1174743|3932039|67.43719999999999</t>
  </si>
  <si>
    <t>2017-11-10|1162143|3931979|129.9778</t>
  </si>
  <si>
    <t>2017-11-10|1236333|3932140|81.6552</t>
  </si>
  <si>
    <t>2017-11-10|1448643|3933229|72.51230000000001</t>
  </si>
  <si>
    <t>2017-11-10|1127043|3932373|64.0311</t>
  </si>
  <si>
    <t>2018-07-24|1478823|4633177|71.2666</t>
  </si>
  <si>
    <t>2018-07-24|1624143|4632411|574.375</t>
  </si>
  <si>
    <t>2018-07-24|1629573|4632684|199.6083</t>
  </si>
  <si>
    <t>2018-07-24|1345623|4633107|71.126</t>
  </si>
  <si>
    <t>2018-07-24|1592163|4632588|60.109799999999993</t>
  </si>
  <si>
    <t>2018-07-24|221733|4631817|88.270299999999992</t>
  </si>
  <si>
    <t>2018-07-24|1607913|4633482|99.7245</t>
  </si>
  <si>
    <t>2017-11-11|257913|3934957|80.897899999999993</t>
  </si>
  <si>
    <t>2017-11-11|1167393|3934391|32.6579</t>
  </si>
  <si>
    <t>2017-11-11|1448823|3933745|39.4417</t>
  </si>
  <si>
    <t>2017-11-11|1165353|3934837|85.1386</t>
  </si>
  <si>
    <t>2017-11-11|1184643|3935926|192.8574</t>
  </si>
  <si>
    <t>2018-07-25|1184643|4636324|149.4685</t>
  </si>
  <si>
    <t>2018-07-25|1632033|4634441|49.335</t>
  </si>
  <si>
    <t>2018-07-25|1632333|4635761|62.2333</t>
  </si>
  <si>
    <t>2017-11-12|1449633|3936376|63.275</t>
  </si>
  <si>
    <t>2017-11-12|1238253|3936175|16.407600000000002</t>
  </si>
  <si>
    <t>2017-11-12|1450413|3939290|34.5029</t>
  </si>
  <si>
    <t>2017-11-12|1159653|3938531|97.0322</t>
  </si>
  <si>
    <t>2017-11-12|1358253|3939314|16.808300000000003</t>
  </si>
  <si>
    <t>2017-11-12|1128333|3939047|49.6833</t>
  </si>
  <si>
    <t>2018-07-26|1404303|4638752|11.349</t>
  </si>
  <si>
    <t>2018-07-26|1513473|4637647|95.3627</t>
  </si>
  <si>
    <t>2018-07-26|1349433|4637953|77.4003</t>
  </si>
  <si>
    <t>2018-07-26|1533183|4638263|45.7228</t>
  </si>
  <si>
    <t>2018-07-26|1332093|4638923|37.422</t>
  </si>
  <si>
    <t>2018-07-26|1262733|4636545|183.5677</t>
  </si>
  <si>
    <t>2017-11-13|1450893|3941318|21.6399</t>
  </si>
  <si>
    <t>2017-11-13|1450263|3940809|84.6388</t>
  </si>
  <si>
    <t>2017-11-13|1450893|3941277|75.042</t>
  </si>
  <si>
    <t>2017-11-13|1404093|3942550|75.539300000000011</t>
  </si>
  <si>
    <t>2017-11-13|1407333|3941062|120.1525</t>
  </si>
  <si>
    <t>2017-11-13|1450683|3940360|16.6425</t>
  </si>
  <si>
    <t>2017-11-13|1040313|3940758|139.08329999999998</t>
  </si>
  <si>
    <t>2017-11-13|1416303|3939403|42.537000000000006</t>
  </si>
  <si>
    <t>2017-11-13|1321473|3942422|9.384</t>
  </si>
  <si>
    <t>2017-11-13|1450503|3939677|96.6791</t>
  </si>
  <si>
    <t>2017-11-13|1450953|3941345|33.520900000000005</t>
  </si>
  <si>
    <t>2017-11-13|1450713|3940449|20.825</t>
  </si>
  <si>
    <t>2017-11-13|1151013|3939918|141.21409999999997</t>
  </si>
  <si>
    <t>2018-07-27|1179843|4640346|30.7853</t>
  </si>
  <si>
    <t>2018-07-27|1631193|4640838|143.98250000000002</t>
  </si>
  <si>
    <t>2017-11-14|231843|3943505|55.707800000000006</t>
  </si>
  <si>
    <t>2017-11-14|1312893|3942875|86.3066</t>
  </si>
  <si>
    <t>2017-11-14|1238283|3943609|17.4167</t>
  </si>
  <si>
    <t>2017-11-14|1451553|3943849|43.6764</t>
  </si>
  <si>
    <t>2017-11-14|1451793|3944656|20.6666</t>
  </si>
  <si>
    <t>2017-11-14|1438953|3945210|41.133399999999995</t>
  </si>
  <si>
    <t>2018-07-28|1578423|4642619|87.4668</t>
  </si>
  <si>
    <t>2018-07-28|1344573|4643030|99.042</t>
  </si>
  <si>
    <t>2017-11-15|1452273|3946479|41.333600000000004</t>
  </si>
  <si>
    <t>2017-11-15|1039983|3946319|18.8091</t>
  </si>
  <si>
    <t>2017-11-15|221733|3945668|516.2565</t>
  </si>
  <si>
    <t>2017-11-15|1452153|3946039|31.1666</t>
  </si>
  <si>
    <t>2017-11-15|1287393|3947535|74.679</t>
  </si>
  <si>
    <t>2017-11-15|217743|3947239|141.96550000000002</t>
  </si>
  <si>
    <t>2017-11-15|186663|3946564|90.0663</t>
  </si>
  <si>
    <t>2017-11-15|1452693|3947827|51.225</t>
  </si>
  <si>
    <t>2017-11-15|1063383|3946210|48.3767</t>
  </si>
  <si>
    <t>2017-11-15|91623|3945611|38.9832</t>
  </si>
  <si>
    <t>2017-11-15|474633|3947384|70.8438</t>
  </si>
  <si>
    <t>2017-11-15|1452093|3945831|10.35</t>
  </si>
  <si>
    <t>2017-11-15|1452573|3947444|36.52</t>
  </si>
  <si>
    <t>2018-07-29|1089273|4643620|47.320499999999996</t>
  </si>
  <si>
    <t>2018-07-29|228423|4644082|12.4167</t>
  </si>
  <si>
    <t>2018-07-29|1223523|4645657|132.1654</t>
  </si>
  <si>
    <t>2018-07-29|1634223|4643629|22.8528</t>
  </si>
  <si>
    <t>2018-07-29|1528353|4643407|175.5208</t>
  </si>
  <si>
    <t>2018-07-29|120693|4645653|18.9479</t>
  </si>
  <si>
    <t>2018-07-29|1440333|4643338|68.1517</t>
  </si>
  <si>
    <t>2018-07-29|1496013|4643539|87.236399999999989</t>
  </si>
  <si>
    <t>2018-07-29|1604373|4645078|57.316199999999995</t>
  </si>
  <si>
    <t>2017-11-16|1183563|3950306|67.1943</t>
  </si>
  <si>
    <t>2017-11-16|231213|3948223|152.8229</t>
  </si>
  <si>
    <t>2017-11-16|1452873|3948614|119.25</t>
  </si>
  <si>
    <t>2018-07-30|1533513|4648256|89.9096</t>
  </si>
  <si>
    <t>2018-07-30|228423|4647365|181.7397</t>
  </si>
  <si>
    <t>2018-07-30|1635123|4647633|7.92</t>
  </si>
  <si>
    <t>2018-07-30|1041153|4645929|59.2523</t>
  </si>
  <si>
    <t>2018-07-30|1382673|4648243|235.8061</t>
  </si>
  <si>
    <t>2018-07-30|1455873|4647438|70.52</t>
  </si>
  <si>
    <t>2018-07-30|1387113|4648550|305.3477</t>
  </si>
  <si>
    <t>2018-07-30|423153|4646151|100.99510000000001</t>
  </si>
  <si>
    <t>2018-07-30|1149063|4647479|105.79820000000001</t>
  </si>
  <si>
    <t>2018-07-30|1407573|4648215|41.684300000000007</t>
  </si>
  <si>
    <t>2018-07-30|1627473|4647257|70.83720000000001</t>
  </si>
  <si>
    <t>2018-07-30|1635153|4647731|29.902</t>
  </si>
  <si>
    <t>2018-07-30|1351803|4645940|42.5922</t>
  </si>
  <si>
    <t>2018-07-30|1635003|4647114|56.844300000000004</t>
  </si>
  <si>
    <t>2018-07-30|1634943|4646799|44.1239</t>
  </si>
  <si>
    <t>2017-11-17|1453833|3952126|22.9388</t>
  </si>
  <si>
    <t>2017-11-17|1261383|3952300|118.06649999999998</t>
  </si>
  <si>
    <t>2017-11-17|1410633|3952067|59.6977</t>
  </si>
  <si>
    <t>2017-11-17|1454043|3952748|23.3042</t>
  </si>
  <si>
    <t>2017-11-17|1146963|3952537|37.9639</t>
  </si>
  <si>
    <t>2017-11-17|1262733|3952194|246.717</t>
  </si>
  <si>
    <t>2017-11-17|1262733|3952235|201.7577</t>
  </si>
  <si>
    <t>2018-07-31|1606743|4649497|35.146699999999996</t>
  </si>
  <si>
    <t>2018-07-31|948573|4649114|53.358999999999995</t>
  </si>
  <si>
    <t>2018-07-31|1587693|4650529|38.774499999999996</t>
  </si>
  <si>
    <t>2018-07-31|1435293|4650737|145.4235</t>
  </si>
  <si>
    <t>2018-07-31|309093|4650286|73.1055</t>
  </si>
  <si>
    <t>2018-07-31|1635453|4649194|12.8798</t>
  </si>
  <si>
    <t>2017-11-18|1454583|3954287|35.6171</t>
  </si>
  <si>
    <t>2017-11-18|1454223|3953321|39.2</t>
  </si>
  <si>
    <t>2017-11-18|1454373|3953728|12.66</t>
  </si>
  <si>
    <t>2017-11-18|1454433|3953879|20.8267</t>
  </si>
  <si>
    <t>2017-11-18|1454403|3953965|60.8088</t>
  </si>
  <si>
    <t>2018-08-01|1636413|4653204|39.152</t>
  </si>
  <si>
    <t>2018-08-01|1077273|4654270|72.0415</t>
  </si>
  <si>
    <t>2018-08-01|1528503|4653103|74.4842</t>
  </si>
  <si>
    <t>2018-08-01|1376643|4653721|18.6698</t>
  </si>
  <si>
    <t>2017-11-19|1455873|3958306|66.583</t>
  </si>
  <si>
    <t>2017-11-19|278733|3955423|75.4546</t>
  </si>
  <si>
    <t>2017-11-19|1082913|3958017|123.3585</t>
  </si>
  <si>
    <t>2017-11-19|1455903|3958449|53.5763</t>
  </si>
  <si>
    <t>2017-11-19|367683|3957860|36.413900000000005</t>
  </si>
  <si>
    <t>2018-08-02|1637013|4655614|43.436000000000007</t>
  </si>
  <si>
    <t>2018-08-02|1542183|4654904|132.5118</t>
  </si>
  <si>
    <t>2018-08-02|1284513|4655071|65.44080000000001</t>
  </si>
  <si>
    <t>2018-08-02|1168623|4654569|92.186</t>
  </si>
  <si>
    <t>2018-08-02|184683|4656097|82.31580000000001</t>
  </si>
  <si>
    <t>2018-08-02|228423|4654460|72.545</t>
  </si>
  <si>
    <t>2018-08-02|1588233|4655230|97.137499999999989</t>
  </si>
  <si>
    <t>2017-11-20|1350873|3959397|92.2253</t>
  </si>
  <si>
    <t>2017-11-20|1323693|3961190|86.1469</t>
  </si>
  <si>
    <t>2018-08-03|1637823|4658853|61.835100000000004</t>
  </si>
  <si>
    <t>2018-08-03|1043823|4658404|63.8659</t>
  </si>
  <si>
    <t>2018-08-03|1617633|4658672|29.370499999999996</t>
  </si>
  <si>
    <t>2018-08-03|1372173|4658791|57.8463</t>
  </si>
  <si>
    <t>2018-08-03|1637853|4658932|34.1658</t>
  </si>
  <si>
    <t>2018-08-03|1637583|4657968|138.146</t>
  </si>
  <si>
    <t>2017-11-21|1457763|3965487|80.7912</t>
  </si>
  <si>
    <t>2017-11-21|1262643|3964390|38.5518</t>
  </si>
  <si>
    <t>2017-11-21|1283523|3962801|41.303799999999995</t>
  </si>
  <si>
    <t>2018-08-04|1595253|4660697|50.212999999999994</t>
  </si>
  <si>
    <t>2018-08-04|1237893|4659459|78.929600000000008</t>
  </si>
  <si>
    <t>2018-08-04|1010553|4659983|67.9229</t>
  </si>
  <si>
    <t>2018-08-04|367683|4660029|52.939200000000007</t>
  </si>
  <si>
    <t>2018-08-04|1638123|4659800|20.424500000000002</t>
  </si>
  <si>
    <t>2018-08-04|143763|4660330|80.7208</t>
  </si>
  <si>
    <t>2017-11-22|384483|3966133|176.5718</t>
  </si>
  <si>
    <t>2017-11-22|1292643|3966227|50.5065</t>
  </si>
  <si>
    <t>2017-11-22|1418553|3967386|16.916</t>
  </si>
  <si>
    <t>2017-11-22|1151013|3966565|71.785500000000013</t>
  </si>
  <si>
    <t>2017-11-22|1458453|3968180|83.3334</t>
  </si>
  <si>
    <t>2018-08-05|1594203|4662481|147.5287</t>
  </si>
  <si>
    <t>2018-08-05|1638903|4662675|29.2008</t>
  </si>
  <si>
    <t>2018-08-05|1637823|4662671|68.649000000000015</t>
  </si>
  <si>
    <t>2018-08-05|996933|4663172|216.95709999999997</t>
  </si>
  <si>
    <t>2018-08-05|1440663|4661860|66.5414</t>
  </si>
  <si>
    <t>2018-08-05|1638933|4662772|60.9674</t>
  </si>
  <si>
    <t>2017-11-23|1110273|3971647|74.6555</t>
  </si>
  <si>
    <t>2017-11-23|1209243|3971240|13.973199999999999</t>
  </si>
  <si>
    <t>2017-11-23|1458753|3972117|12.4917</t>
  </si>
  <si>
    <t>2017-11-23|1458843|3969634|11.850000000000001</t>
  </si>
  <si>
    <t>2017-11-23|1174743|3969187|36.434700000000007</t>
  </si>
  <si>
    <t>2017-11-23|1134153|3971005|66.1379</t>
  </si>
  <si>
    <t>2017-11-23|1304433|3970313|128.4183</t>
  </si>
  <si>
    <t>2018-08-06|1639173|4663900|55.4338</t>
  </si>
  <si>
    <t>2018-08-06|265773|4666470|87.1518</t>
  </si>
  <si>
    <t>2018-08-06|1127043|4665927|60.461099999999995</t>
  </si>
  <si>
    <t>2018-08-06|1282833|4664357|68.0925</t>
  </si>
  <si>
    <t>2018-08-06|1639203|4664502|67.4925</t>
  </si>
  <si>
    <t>2017-11-24|360483|3975519|75.348399999999984</t>
  </si>
  <si>
    <t>2017-11-24|1159653|3976088|71.836199999999991</t>
  </si>
  <si>
    <t>2017-11-24|1460193|3974574|41.9866</t>
  </si>
  <si>
    <t>2017-11-24|1460463|3975356|32.6</t>
  </si>
  <si>
    <t>2017-11-24|1459893|3973597|84.8584</t>
  </si>
  <si>
    <t>2017-11-24|1460013|3974029|208.4167</t>
  </si>
  <si>
    <t>2017-11-24|1460073|3974237|74.5584</t>
  </si>
  <si>
    <t>2017-11-24|344343|3974266|64.9239</t>
  </si>
  <si>
    <t>2017-11-24|360483|3975252|68.6091</t>
  </si>
  <si>
    <t>2017-11-24|1459533|3972302|71.9334</t>
  </si>
  <si>
    <t>2017-11-24|1434813|3973663|203.81680000000003</t>
  </si>
  <si>
    <t>2017-11-24|1460673|3976191|63.7429</t>
  </si>
  <si>
    <t>2017-11-24|1334643|3972835|59.6816</t>
  </si>
  <si>
    <t>2017-11-24|1460043|3974127|63.298</t>
  </si>
  <si>
    <t>2017-11-24|217743|3974130|118.2195</t>
  </si>
  <si>
    <t>2018-08-07|1405893|4666766|80.6608</t>
  </si>
  <si>
    <t>2018-08-07|473733|4668917|16.65</t>
  </si>
  <si>
    <t>2018-08-07|1081023|4668987|34.249900000000004</t>
  </si>
  <si>
    <t>2018-08-07|1480083|4666807|36.8223</t>
  </si>
  <si>
    <t>2018-08-07|231213|4668559|144.5763</t>
  </si>
  <si>
    <t>2018-08-07|1046973|4666805|64.5005</t>
  </si>
  <si>
    <t>2018-08-07|231213|4668550|136.1531</t>
  </si>
  <si>
    <t>2018-08-07|1567323|4668733|56.272900000000007</t>
  </si>
  <si>
    <t>2018-08-07|426423|4667231|108.608</t>
  </si>
  <si>
    <t>2017-11-25|1461063|3977576|111.82499999999999</t>
  </si>
  <si>
    <t>2017-11-25|1460913|3976866|70.501499999999979</t>
  </si>
  <si>
    <t>2017-11-25|1214823|3977822|65.1018</t>
  </si>
  <si>
    <t>2017-11-25|1461543|3978652|97.827999999999989</t>
  </si>
  <si>
    <t>2018-08-08|161793|4669921|77.6872</t>
  </si>
  <si>
    <t>2018-08-08|1640553|4669740|106.21399999999998</t>
  </si>
  <si>
    <t>2018-08-08|1640733|4670445|20.0001</t>
  </si>
  <si>
    <t>2017-11-26|1462173|3980657|16.6878</t>
  </si>
  <si>
    <t>2017-11-26|1458573|3982827|17.134999999999998</t>
  </si>
  <si>
    <t>2017-11-26|1462053|3980258|64.0875</t>
  </si>
  <si>
    <t>2017-11-26|371613|3982090|97.9398</t>
  </si>
  <si>
    <t>2017-11-26|1462593|3982111|325.8875</t>
  </si>
  <si>
    <t>2017-11-26|63723|3983152|344.25</t>
  </si>
  <si>
    <t>2017-11-26|1452513|3981137|322.5001</t>
  </si>
  <si>
    <t>2017-11-26|267663|3980370|51.4336</t>
  </si>
  <si>
    <t>2017-11-26|1244343|3983558|66.0006</t>
  </si>
  <si>
    <t>2017-11-26|1462473|3981645|16.7629</t>
  </si>
  <si>
    <t>2017-11-26|1461903|3979804|102.16009999999999</t>
  </si>
  <si>
    <t>2018-08-09|1299153|4672050|94.057600000000008</t>
  </si>
  <si>
    <t>2018-08-09|1641183|4671988|89.411</t>
  </si>
  <si>
    <t>2018-08-09|1626093|4671769|93.6892</t>
  </si>
  <si>
    <t>2018-08-09|1641513|4673132|30.2195</t>
  </si>
  <si>
    <t>2017-11-27|1426383|3985849|76.0563</t>
  </si>
  <si>
    <t>2017-11-27|68943|3984125|58.3884</t>
  </si>
  <si>
    <t>2017-11-27|327903|3983659|12.1365</t>
  </si>
  <si>
    <t>2017-11-27|1224573|3987087|26.7286</t>
  </si>
  <si>
    <t>2017-11-27|1338723|3985614|57.8189</t>
  </si>
  <si>
    <t>2017-11-27|1463253|3984636|9.8499</t>
  </si>
  <si>
    <t>2017-11-27|1267803|3985853|74.756</t>
  </si>
  <si>
    <t>2017-11-27|1463703|3986301|41.9375</t>
  </si>
  <si>
    <t>2017-11-27|1418703|3986530|71.018200000000007</t>
  </si>
  <si>
    <t>2017-11-27|444303|3983994|127.90549999999999</t>
  </si>
  <si>
    <t>2018-08-10|1641753|4674057|10.4</t>
  </si>
  <si>
    <t>2018-08-10|1641843|4675843|11.9166</t>
  </si>
  <si>
    <t>2018-08-10|228423|4675123|85.9376</t>
  </si>
  <si>
    <t>2018-08-10|184683|4675314|31.284799999999997</t>
  </si>
  <si>
    <t>2018-08-10|257913|4675400|314.55550000000005</t>
  </si>
  <si>
    <t>2017-11-28|1272693|3990319|86.8436</t>
  </si>
  <si>
    <t>2017-11-28|257913|3990593|101.36359999999998</t>
  </si>
  <si>
    <t>2017-11-28|1333323|3989424|88.5</t>
  </si>
  <si>
    <t>2017-11-28|1151013|3988227|32.167</t>
  </si>
  <si>
    <t>2017-11-28|862653|3990329|28.35</t>
  </si>
  <si>
    <t>2017-11-28|1464993|3990641|48.4193</t>
  </si>
  <si>
    <t>2017-11-28|1410513|3989266|64.7627</t>
  </si>
  <si>
    <t>2018-08-11|1232733|4677239|82.3167</t>
  </si>
  <si>
    <t>2018-08-11|1618173|4676595|133.8948</t>
  </si>
  <si>
    <t>2017-11-29|1387113|3993406|357.19109999999989</t>
  </si>
  <si>
    <t>2017-11-29|1407333|3991213|100.67409999999998</t>
  </si>
  <si>
    <t>2017-11-29|1131483|3991176|38.06</t>
  </si>
  <si>
    <t>2017-11-29|1465833|3993080|32.9972</t>
  </si>
  <si>
    <t>2017-11-29|1247553|3991617|42.4899</t>
  </si>
  <si>
    <t>2017-11-29|234783|3993595|105.6231</t>
  </si>
  <si>
    <t>2017-11-29|1290003|3992489|21.48</t>
  </si>
  <si>
    <t>2017-11-29|199323|3994044|49.500099999999996</t>
  </si>
  <si>
    <t>2018-08-12|1643073|4678426|6.256</t>
  </si>
  <si>
    <t>2018-08-12|1643133|4678687|11.4952</t>
  </si>
  <si>
    <t>2018-08-12|430593|4678565|105.66669999999999</t>
  </si>
  <si>
    <t>2017-11-30|1292223|3995292|47.724</t>
  </si>
  <si>
    <t>2017-11-30|1209063|3995349|131.22369999999998</t>
  </si>
  <si>
    <t>2017-11-30|1466943|3996624|3.0028</t>
  </si>
  <si>
    <t>2017-11-30|1466373|3994933|22</t>
  </si>
  <si>
    <t>2017-11-30|1466163|3994616|11.5833</t>
  </si>
  <si>
    <t>2017-11-30|1466463|3995170|56.445</t>
  </si>
  <si>
    <t>2017-11-30|1466613|3996789|92.2423</t>
  </si>
  <si>
    <t>2017-11-30|1466853|3996411|28.2225</t>
  </si>
  <si>
    <t>2017-11-30|1466523|3995450|44.8425</t>
  </si>
  <si>
    <t>2017-11-30|1467123|3997190|69.6075</t>
  </si>
  <si>
    <t>2018-08-13|437733|4682303|77.2661</t>
  </si>
  <si>
    <t>2018-08-13|1544043|4681648|66.8125</t>
  </si>
  <si>
    <t>2018-08-13|1643583|4680565|46.365899999999996</t>
  </si>
  <si>
    <t>2017-12-01|1467363|3997952|59.713499999999996</t>
  </si>
  <si>
    <t>2017-12-01|1467843|3999329|19.3212</t>
  </si>
  <si>
    <t>2017-12-01|1428633|3999863|241.0729</t>
  </si>
  <si>
    <t>2017-12-01|1121103|3998352|98.5841</t>
  </si>
  <si>
    <t>2018-08-14|1644243|4683078|40.0128</t>
  </si>
  <si>
    <t>2018-08-14|257913|4683671|91.592099999999988</t>
  </si>
  <si>
    <t>2018-08-14|1544253|4682660|88.59859999999999</t>
  </si>
  <si>
    <t>2018-08-14|1644393|4683637|9.6493</t>
  </si>
  <si>
    <t>2018-08-14|1163223|4684549|86.626</t>
  </si>
  <si>
    <t>2018-08-14|234033|4684055|64.505599999999987</t>
  </si>
  <si>
    <t>2018-08-14|1644363|4683510|19.5336</t>
  </si>
  <si>
    <t>2017-12-02|1291233|4002439|70.338</t>
  </si>
  <si>
    <t>2017-12-02|1345623|4000346|77.2766</t>
  </si>
  <si>
    <t>2017-12-02|1351803|4002538|81.2314</t>
  </si>
  <si>
    <t>2017-12-02|1367313|4001558|99.3431</t>
  </si>
  <si>
    <t>2017-12-02|146283|4000725|95.5836</t>
  </si>
  <si>
    <t>2018-08-15|1644843|4685329|52.2654</t>
  </si>
  <si>
    <t>2018-08-15|1179483|4685987|87.4134</t>
  </si>
  <si>
    <t>2018-08-15|1645173|4686480|15.675</t>
  </si>
  <si>
    <t>2018-08-15|1645023|4685952|9.2327</t>
  </si>
  <si>
    <t>2017-12-03|1452273|4003954|66.1849</t>
  </si>
  <si>
    <t>2017-12-03|1184643|4006067|140.1898</t>
  </si>
  <si>
    <t>2017-12-03|1469883|4005323|38.1792</t>
  </si>
  <si>
    <t>2017-12-03|1470033|4005802|48.75</t>
  </si>
  <si>
    <t>2017-12-03|246153|4004867|62.1538</t>
  </si>
  <si>
    <t>2017-12-03|1469763|4004997|36.675</t>
  </si>
  <si>
    <t>2017-12-03|948573|4006028|78.3416</t>
  </si>
  <si>
    <t>2017-12-03|1469943|4005516|46.177900000000008</t>
  </si>
  <si>
    <t>2018-08-16|1413543|4686937|58.527</t>
  </si>
  <si>
    <t>2018-08-16|1612353|4688002|62.777</t>
  </si>
  <si>
    <t>2018-08-16|474633|4686611|196.31560000000005</t>
  </si>
  <si>
    <t>2018-08-16|1645323|4686964|8.1989</t>
  </si>
  <si>
    <t>2018-08-16|1505073|4687238|52.2018</t>
  </si>
  <si>
    <t>2018-08-16|1173993|4686606|112.0381</t>
  </si>
  <si>
    <t>2018-08-16|1626093|4687653|12.4167</t>
  </si>
  <si>
    <t>2018-08-16|1645383|4687160|21.3671</t>
  </si>
  <si>
    <t>2018-08-16|1626093|4687705|84.669999999999987</t>
  </si>
  <si>
    <t>2017-12-04|1470573|4008038|93.3967</t>
  </si>
  <si>
    <t>2017-12-04|1372173|4007285|155.6825</t>
  </si>
  <si>
    <t>2017-12-04|1442403|4009684|77.225999999999985</t>
  </si>
  <si>
    <t>2017-12-04|491733|4007006|77.152</t>
  </si>
  <si>
    <t>2017-12-04|996933|4010106|100.40109999999999</t>
  </si>
  <si>
    <t>2017-12-04|1107963|4007959|59.9925</t>
  </si>
  <si>
    <t>2017-12-04|1469433|4010500|39.9179</t>
  </si>
  <si>
    <t>2017-12-04|1471263|4010295|41.2624</t>
  </si>
  <si>
    <t>2017-12-04|331473|4007571|32.3</t>
  </si>
  <si>
    <t>2017-12-04|1409553|4009146|79.1791</t>
  </si>
  <si>
    <t>2017-12-04|1470933|4009272|6.654</t>
  </si>
  <si>
    <t>2017-12-04|1470453|4007612|17.9583</t>
  </si>
  <si>
    <t>2017-12-04|1469103|4006946|37.9167</t>
  </si>
  <si>
    <t>2017-12-04|1470813|4008851|35.9751</t>
  </si>
  <si>
    <t>2018-08-17|33993|4690255|85.184600000000017</t>
  </si>
  <si>
    <t>2018-08-17|1645653|4689754|18.9479</t>
  </si>
  <si>
    <t>2018-08-17|1547883|4689610|73.32</t>
  </si>
  <si>
    <t>2018-08-17|1645953|4689101|85.835899999999981</t>
  </si>
  <si>
    <t>2018-08-17|1390533|4690235|44.381</t>
  </si>
  <si>
    <t>2018-08-17|474633|4690570|115.09</t>
  </si>
  <si>
    <t>2017-12-05|366003|4011808|115.4126</t>
  </si>
  <si>
    <t>2017-12-05|1380573|4013326|42.4292</t>
  </si>
  <si>
    <t>2017-12-05|1471713|4011952|20.175</t>
  </si>
  <si>
    <t>2017-12-05|1384563|4011836|68.0625</t>
  </si>
  <si>
    <t>2017-12-05|1471743|4012023|60.647999999999996</t>
  </si>
  <si>
    <t>2018-08-18|1423773|4691349|150.44629999999998</t>
  </si>
  <si>
    <t>2018-08-18|415473|4691795|107.8204</t>
  </si>
  <si>
    <t>2018-08-18|1162143|4691630|74.6696</t>
  </si>
  <si>
    <t>2018-08-18|1646493|4691084|69.0149</t>
  </si>
  <si>
    <t>2017-12-06|1473093|4016205|92.9167</t>
  </si>
  <si>
    <t>2017-12-06|1010553|4014420|62.335199999999993</t>
  </si>
  <si>
    <t>2017-12-06|1194483|4016506|170.71210000000002</t>
  </si>
  <si>
    <t>2017-12-06|1472523|4014390|72.492300000000014</t>
  </si>
  <si>
    <t>2017-12-06|1423773|4016499|62.4375</t>
  </si>
  <si>
    <t>2017-12-06|262083|4016946|83.7278</t>
  </si>
  <si>
    <t>2017-12-06|481893|4016511|86.5527</t>
  </si>
  <si>
    <t>2018-08-19|1261383|4692921|96.06880000000001</t>
  </si>
  <si>
    <t>2017-12-07|1100373|4019008|77.66879999999999</t>
  </si>
  <si>
    <t>2017-12-07|1473153|4020411|23.2949</t>
  </si>
  <si>
    <t>2017-12-07|1387443|4018343|105.5512</t>
  </si>
  <si>
    <t>2017-12-07|63723|4020568|122.86970000000001</t>
  </si>
  <si>
    <t>2017-12-07|1468563|4019589|3.6598</t>
  </si>
  <si>
    <t>2017-12-07|1473483|4017448|73.172100000000015</t>
  </si>
  <si>
    <t>2017-12-07|171213|4019026|79.2667</t>
  </si>
  <si>
    <t>2018-08-20|1534623|4696189|75.950399999999988</t>
  </si>
  <si>
    <t>2018-08-20|1648083|4696980|23.128</t>
  </si>
  <si>
    <t>2018-08-20|1647693|4695449|9.6161</t>
  </si>
  <si>
    <t>2018-08-20|1644393|4695216|11.9224</t>
  </si>
  <si>
    <t>2018-08-20|1648203|4697493|15.25</t>
  </si>
  <si>
    <t>2017-12-08|1228443|4022569|78.8339</t>
  </si>
  <si>
    <t>2017-12-08|1474983|4022626|55.575</t>
  </si>
  <si>
    <t>2017-12-08|1474443|4022339|36.8414</t>
  </si>
  <si>
    <t>2017-12-08|1430133|4021719|18.000899999999998</t>
  </si>
  <si>
    <t>2017-12-08|1474593|4021385|85.5411</t>
  </si>
  <si>
    <t>2017-12-08|1173993|4022747|71.6751</t>
  </si>
  <si>
    <t>2017-12-08|1474503|4021061|20.682499999999997</t>
  </si>
  <si>
    <t>2017-12-08|1077423|4021493|198.42960000000002</t>
  </si>
  <si>
    <t>2017-12-08|1077273|4022907|83.3219</t>
  </si>
  <si>
    <t>2017-12-08|1468713|4020664|40.707899999999995</t>
  </si>
  <si>
    <t>2017-12-08|1387683|4020853|28.647699999999997</t>
  </si>
  <si>
    <t>2017-12-08|1474893|4022334|84.3749</t>
  </si>
  <si>
    <t>2018-08-21|223263|4698300|92.708199999999991</t>
  </si>
  <si>
    <t>2018-08-21|1077813|4699880|98.6315</t>
  </si>
  <si>
    <t>2018-08-21|1648683|4699361|197.88949999999994</t>
  </si>
  <si>
    <t>2017-12-09|1475313|4023677|12.0207</t>
  </si>
  <si>
    <t>2017-12-09|1465233|4024430|126.31720000000001</t>
  </si>
  <si>
    <t>2017-12-09|1415343|4025279|44.078</t>
  </si>
  <si>
    <t>2017-12-09|1475463|4024196|141.3025</t>
  </si>
  <si>
    <t>2017-12-09|1475553|4024494|48.477000000000004</t>
  </si>
  <si>
    <t>2017-12-09|1452273|4023277|29.0259</t>
  </si>
  <si>
    <t>2017-12-09|1341843|4024374|130.3084</t>
  </si>
  <si>
    <t>2017-12-09|331473|4024198|56.005399999999995</t>
  </si>
  <si>
    <t>2017-12-09|1223673|4025543|72.3163</t>
  </si>
  <si>
    <t>2017-12-09|1475793|4025196|29.925</t>
  </si>
  <si>
    <t>2017-12-09|1381413|4025102|66.8181</t>
  </si>
  <si>
    <t>2018-08-22|1442343|4701878|38.6432</t>
  </si>
  <si>
    <t>2018-08-22|1649283|4701920|38.8649</t>
  </si>
  <si>
    <t>2017-12-10|1476003|4025909|15.1277</t>
  </si>
  <si>
    <t>2017-12-10|1476873|4028939|27.7004</t>
  </si>
  <si>
    <t>2017-12-10|228423|4028317|73.6312</t>
  </si>
  <si>
    <t>2017-12-10|1196013|4026811|206.87490000000003</t>
  </si>
  <si>
    <t>2017-12-10|1475943|4025730|62.1948</t>
  </si>
  <si>
    <t>2017-12-10|1476093|4026203|132.6</t>
  </si>
  <si>
    <t>2017-12-10|1455903|4025983|53.5405</t>
  </si>
  <si>
    <t>2018-08-23|1046973|4703155|90.6004</t>
  </si>
  <si>
    <t>2018-08-23|1649883|4704267|130.55060000000003</t>
  </si>
  <si>
    <t>2018-08-23|1649583|4703018|108.13029999999999</t>
  </si>
  <si>
    <t>2018-08-23|1478463|4702751|128.1686</t>
  </si>
  <si>
    <t>2018-08-23|1262733|4702486|172.76960000000003</t>
  </si>
  <si>
    <t>2018-08-23|1626933|4704319|43.3249</t>
  </si>
  <si>
    <t>2017-12-11|273093|4030975|47.4269</t>
  </si>
  <si>
    <t>2017-12-11|1477293|4030602|180.1413</t>
  </si>
  <si>
    <t>2017-12-11|1380573|4032266|35.2528</t>
  </si>
  <si>
    <t>2017-12-11|1477113|4029804|135.8293</t>
  </si>
  <si>
    <t>2017-12-11|473733|4030154|43.6017</t>
  </si>
  <si>
    <t>2017-12-11|1316463|4029873|60.4117</t>
  </si>
  <si>
    <t>2018-08-24|1650423|4706089|49.394</t>
  </si>
  <si>
    <t>2018-08-24|1433553|4705228|313.16140000000007</t>
  </si>
  <si>
    <t>2018-08-24|1409553|4705800|73.3752</t>
  </si>
  <si>
    <t>2018-08-24|1428633|4706711|123.12400000000001</t>
  </si>
  <si>
    <t>2018-08-24|1650513|4706389|68.6789</t>
  </si>
  <si>
    <t>2017-12-12|1478673|4035694|70.6282</t>
  </si>
  <si>
    <t>2017-12-12|1478643|4035510|56.2417</t>
  </si>
  <si>
    <t>2017-12-12|231843|4033941|58.611900000000006</t>
  </si>
  <si>
    <t>2017-12-12|1156593|4035703|41.9072</t>
  </si>
  <si>
    <t>2017-12-12|1399533|4036394|38.9478</t>
  </si>
  <si>
    <t>2017-12-12|217743|4035852|91.756199999999993</t>
  </si>
  <si>
    <t>2017-12-12|1478823|4036085|73.1158</t>
  </si>
  <si>
    <t>2017-12-12|251463|4034866|82.388</t>
  </si>
  <si>
    <t>2017-12-12|1478463|4035032|42.3512</t>
  </si>
  <si>
    <t>2018-08-25|1304853|4707279|67.1517</t>
  </si>
  <si>
    <t>2018-08-25|1304793|4707041|26.333399999999997</t>
  </si>
  <si>
    <t>2018-08-25|1465233|4708468|114.95340000000002</t>
  </si>
  <si>
    <t>2018-08-25|126813|4707561|44.6137</t>
  </si>
  <si>
    <t>2018-08-25|1321323|4708079|32.6666</t>
  </si>
  <si>
    <t>2018-08-25|1128333|4707060|11.4124</t>
  </si>
  <si>
    <t>2017-12-13|1479873|4039658|17.4583</t>
  </si>
  <si>
    <t>2017-12-13|1416303|4040207|39.581100000000006</t>
  </si>
  <si>
    <t>2017-12-13|278733|4040226|114.98859999999998</t>
  </si>
  <si>
    <t>2017-12-13|1261023|4038942|46.733599999999996</t>
  </si>
  <si>
    <t>2017-12-13|1479513|4038439|84.5131</t>
  </si>
  <si>
    <t>2017-12-13|1455873|4039501|71.803400000000011</t>
  </si>
  <si>
    <t>2017-12-13|1407333|4038619|28.4982</t>
  </si>
  <si>
    <t>2017-12-13|257913|4037617|101.7464</t>
  </si>
  <si>
    <t>2017-12-13|363183|4038733|39.7919</t>
  </si>
  <si>
    <t>2017-12-13|1479183|4037370|56</t>
  </si>
  <si>
    <t>2017-12-13|1479543|4038541|19.3334</t>
  </si>
  <si>
    <t>2017-12-13|1480083|4040331|35.825</t>
  </si>
  <si>
    <t>2018-08-26|1341843|4710768|88.9565</t>
  </si>
  <si>
    <t>2018-08-26|1651563|4711071|12.1887</t>
  </si>
  <si>
    <t>2018-08-26|1532013|4709634|23.0128</t>
  </si>
  <si>
    <t>2018-08-26|1543983|4708898|63.5375</t>
  </si>
  <si>
    <t>2018-08-26|1651653|4710517|112.44010000000002</t>
  </si>
  <si>
    <t>2018-08-26|1651263|4708865|41.8413</t>
  </si>
  <si>
    <t>2018-08-26|1538703|4709398|4.1879</t>
  </si>
  <si>
    <t>2018-08-26|1410633|4708943|97.0736</t>
  </si>
  <si>
    <t>2018-08-26|1165353|4710364|95.1606</t>
  </si>
  <si>
    <t>2017-12-14|1416123|4041106|106.0856</t>
  </si>
  <si>
    <t>2017-12-14|1089273|4040926|52.1</t>
  </si>
  <si>
    <t>2017-12-14|1328943|4042431|49.755599999999994</t>
  </si>
  <si>
    <t>2017-12-14|1480473|4041967|31.4925</t>
  </si>
  <si>
    <t>2017-12-14|1480353|4041550|68.5612</t>
  </si>
  <si>
    <t>2017-12-14|1387113|4041382|164.14279999999997</t>
  </si>
  <si>
    <t>2018-08-27|1077423|4712542|119.00389999999997</t>
  </si>
  <si>
    <t>2018-08-27|1236333|4713823|102.97970000000001</t>
  </si>
  <si>
    <t>2018-08-27|1291233|4712933|120.04540000000001</t>
  </si>
  <si>
    <t>2018-08-27|1040313|4712007|103.64419999999998</t>
  </si>
  <si>
    <t>2018-08-27|1652043|4711975|50.9309</t>
  </si>
  <si>
    <t>2018-08-27|273093|4713264|96.2704</t>
  </si>
  <si>
    <t>2018-08-27|1575603|4712349|306.52990000000005</t>
  </si>
  <si>
    <t>2018-08-27|1652463|4713658|4.9331</t>
  </si>
  <si>
    <t>2017-12-15|1481313|4045268|66.6</t>
  </si>
  <si>
    <t>2017-12-15|1387113|4044266|73.124400000000009</t>
  </si>
  <si>
    <t>2017-12-15|884283|4046727|43.4171</t>
  </si>
  <si>
    <t>2017-12-15|1410633|4044672|73.503700000000009</t>
  </si>
  <si>
    <t>2017-12-15|1481583|4046046|67.6144</t>
  </si>
  <si>
    <t>2017-12-15|392763|4046396|130.4408</t>
  </si>
  <si>
    <t>2017-12-15|1304433|4045701|100.4021</t>
  </si>
  <si>
    <t>2017-12-15|1479333|4046499|16.5833</t>
  </si>
  <si>
    <t>2017-12-15|1262733|4044714|140.3748</t>
  </si>
  <si>
    <t>2018-08-28|1651503|4716428|77.3119</t>
  </si>
  <si>
    <t>2018-08-28|1652943|4715654|33.8264</t>
  </si>
  <si>
    <t>2018-08-28|1527813|4716784|64.5844</t>
  </si>
  <si>
    <t>2018-08-28|1652793|4715050|22.8928</t>
  </si>
  <si>
    <t>2017-12-16|1153263|4048925|80.205999999999989</t>
  </si>
  <si>
    <t>2017-12-16|1436763|4047544|109.9907</t>
  </si>
  <si>
    <t>2017-12-16|1482513|4049150|64.4679</t>
  </si>
  <si>
    <t>2017-12-16|1344573|4047747|74.4776</t>
  </si>
  <si>
    <t>2018-08-29|1653543|4717887|19.9184</t>
  </si>
  <si>
    <t>2018-08-29|1296213|4718051|66.1386</t>
  </si>
  <si>
    <t>2018-08-29|1489683|4717491|89.8366</t>
  </si>
  <si>
    <t>2018-08-29|423153|4718032|200.9459</t>
  </si>
  <si>
    <t>2018-08-29|1650663|4718255|36.8167</t>
  </si>
  <si>
    <t>2018-08-29|1648203|4717945|1.7747</t>
  </si>
  <si>
    <t>2017-12-17|430593|4049980|17.8334</t>
  </si>
  <si>
    <t>2017-12-17|1432323|4052892|34.4492</t>
  </si>
  <si>
    <t>2017-12-17|1108803|4050451|20.75</t>
  </si>
  <si>
    <t>2018-08-30|1654503|4721522|43.4251</t>
  </si>
  <si>
    <t>2018-08-30|1653453|4720313|65.671500000000009</t>
  </si>
  <si>
    <t>2018-08-30|223263|4721420|62.1088</t>
  </si>
  <si>
    <t>2018-08-30|1177893|4719901|61.2939</t>
  </si>
  <si>
    <t>2018-08-30|415293|4720515|62.625099999999996</t>
  </si>
  <si>
    <t>2018-08-30|1323693|4721442|116.8635</t>
  </si>
  <si>
    <t>2017-12-18|1039983|4055761|106.61770000000001</t>
  </si>
  <si>
    <t>2017-12-18|1433553|4054891|78.0144</t>
  </si>
  <si>
    <t>2017-12-18|1319373|4056365|86.6658</t>
  </si>
  <si>
    <t>2017-12-18|1427553|4055694|62.26</t>
  </si>
  <si>
    <t>2017-12-18|1223523|4054052|98.808799999999977</t>
  </si>
  <si>
    <t>2017-12-18|1405383|4054576|43.05</t>
  </si>
  <si>
    <t>2017-12-18|1366413|4053912|18.9779</t>
  </si>
  <si>
    <t>2017-12-18|1144893|4056113|58.742200000000004</t>
  </si>
  <si>
    <t>2017-12-18|1483833|4053752|109.2848</t>
  </si>
  <si>
    <t>2018-08-31|20583|4723625|34.765299999999996</t>
  </si>
  <si>
    <t>2018-08-31|1035903|4723065|21.168599999999998</t>
  </si>
  <si>
    <t>2018-08-31|338793|4723643|94.1856</t>
  </si>
  <si>
    <t>2018-08-31|1644393|4723271|41.744600000000005</t>
  </si>
  <si>
    <t>2018-08-31|1223523|4723157|103.78130000000002</t>
  </si>
  <si>
    <t>2018-08-31|1655163|4723918|35.6034</t>
  </si>
  <si>
    <t>2017-12-19|1256073|4057974|26.4738</t>
  </si>
  <si>
    <t>2017-12-19|1485003|4058566|19.4334</t>
  </si>
  <si>
    <t>2017-12-19|1423773|4058295|81.928</t>
  </si>
  <si>
    <t>2017-12-19|935073|4057543|70.125</t>
  </si>
  <si>
    <t>2017-12-19|1484733|4057291|122.8125</t>
  </si>
  <si>
    <t>2018-09-01|1655673|4725562|98.9787</t>
  </si>
  <si>
    <t>2018-09-01|1215273|4725220|48.3071</t>
  </si>
  <si>
    <t>2018-09-01|1655643|4725481|19.6368</t>
  </si>
  <si>
    <t>2018-09-01|1543983|4726107|61.3664</t>
  </si>
  <si>
    <t>2018-09-01|1214823|4725005|67.6469</t>
  </si>
  <si>
    <t>2018-09-01|1348683|4724957|61.4242</t>
  </si>
  <si>
    <t>2018-09-01|1595253|4725124|48.7123</t>
  </si>
  <si>
    <t>2017-12-20|1485573|4060952|142.28790000000004</t>
  </si>
  <si>
    <t>2017-12-20|1209573|4061276|31.7789</t>
  </si>
  <si>
    <t>2017-12-20|142743|4059911|41.3837</t>
  </si>
  <si>
    <t>2017-12-20|1485753|4061716|4.6445</t>
  </si>
  <si>
    <t>2018-09-02|1656093|4727108|113.3333</t>
  </si>
  <si>
    <t>2018-09-02|1220583|4729129|77.7634</t>
  </si>
  <si>
    <t>2018-09-02|1656453|4728496|58.914500000000004</t>
  </si>
  <si>
    <t>2018-09-02|1437663|4727962|61.4122</t>
  </si>
  <si>
    <t>2018-09-02|1656633|4729225|21.1792</t>
  </si>
  <si>
    <t>2018-09-02|1418703|4726712|96.65679999999999</t>
  </si>
  <si>
    <t>2018-09-02|1323963|4726838|44.787</t>
  </si>
  <si>
    <t>2018-09-02|1656423|4728397|25.6392</t>
  </si>
  <si>
    <t>2018-09-02|1656153|4727331|24.4408</t>
  </si>
  <si>
    <t>2018-09-02|1210233|4728992|23.5185</t>
  </si>
  <si>
    <t>2018-09-02|1061973|4729369|137.31099999999998</t>
  </si>
  <si>
    <t>2018-09-02|1267803|4727564|45.4534</t>
  </si>
  <si>
    <t>2018-09-02|1434813|4727418|321.05040000000008</t>
  </si>
  <si>
    <t>2017-12-21|1485873|4062214|12.3128</t>
  </si>
  <si>
    <t>2017-12-21|1485663|4063214|98.2796</t>
  </si>
  <si>
    <t>2017-12-21|1272693|4062459|138.9498</t>
  </si>
  <si>
    <t>2017-12-21|1486083|4063180|43.542</t>
  </si>
  <si>
    <t>2017-12-21|1474983|4063593|29.925</t>
  </si>
  <si>
    <t>2017-12-21|1125063|4063240|61.5</t>
  </si>
  <si>
    <t>2017-12-21|1486293|4063975|6.1125</t>
  </si>
  <si>
    <t>2018-09-03|1324833|4730318|29.186</t>
  </si>
  <si>
    <t>2018-09-03|1649883|4729699|141.8787</t>
  </si>
  <si>
    <t>2018-09-03|473733|4731956|24.9752</t>
  </si>
  <si>
    <t>2018-09-03|1657263|4731963|61.665300000000016</t>
  </si>
  <si>
    <t>2018-09-03|25173|4731573|73.073299999999989</t>
  </si>
  <si>
    <t>2018-09-03|1626093|4729735|65.4519</t>
  </si>
  <si>
    <t>2018-09-03|384483|4732449|92.235100000000017</t>
  </si>
  <si>
    <t>2018-09-03|1427553|4731822|44.665099999999995</t>
  </si>
  <si>
    <t>2018-09-03|1389153|4731373|40.580999999999996</t>
  </si>
  <si>
    <t>2018-09-03|1451553|4731040|48.6941</t>
  </si>
  <si>
    <t>2018-09-03|1605693|4730121|44.918000000000006</t>
  </si>
  <si>
    <t>2018-09-03|1580073|4730382|37.1085</t>
  </si>
  <si>
    <t>2018-09-03|1278843|4731800|54.019</t>
  </si>
  <si>
    <t>2018-09-03|1588233|4731143|237.02799999999996</t>
  </si>
  <si>
    <t>2018-09-03|1321473|4732069|6.256</t>
  </si>
  <si>
    <t>2018-09-03|1334643|4731844|89.1213</t>
  </si>
  <si>
    <t>2017-12-22|1486653|4065287|43.9875</t>
  </si>
  <si>
    <t>2017-12-22|1262643|4065020|13.616</t>
  </si>
  <si>
    <t>2017-12-22|1212753|4064817|30.400000000000002</t>
  </si>
  <si>
    <t>2017-12-22|1486473|4064707|67.4925</t>
  </si>
  <si>
    <t>2018-09-04|1513473|4733975|112.4339</t>
  </si>
  <si>
    <t>2018-09-04|1216383|4734452|89.305799999999991</t>
  </si>
  <si>
    <t>2018-09-04|1657653|4733363|22.4999</t>
  </si>
  <si>
    <t>2018-09-04|1513473|4733836|12.4167</t>
  </si>
  <si>
    <t>2018-09-04|426423|4734114|109.9137</t>
  </si>
  <si>
    <t>2018-09-04|1652463|4733439|27.227899999999998</t>
  </si>
  <si>
    <t>2018-09-04|1657563|4733041|12.5701</t>
  </si>
  <si>
    <t>2018-09-04|1265883|4734339|60.042</t>
  </si>
  <si>
    <t>2018-09-04|1373283|4733055|66.5739</t>
  </si>
  <si>
    <t>2018-09-04|1253943|4733822|62.2542</t>
  </si>
  <si>
    <t>2018-09-04|477483|4735476|74.265999999999991</t>
  </si>
  <si>
    <t>2017-12-23|1486743|4065561|107.5</t>
  </si>
  <si>
    <t>2017-12-23|1487043|4066624|76.1974</t>
  </si>
  <si>
    <t>2017-12-23|1487013|4066506|78.713300000000018</t>
  </si>
  <si>
    <t>2017-12-23|1346493|4066066|60.500200000000007</t>
  </si>
  <si>
    <t>2018-09-05|1573383|4735934|39.8692</t>
  </si>
  <si>
    <t>2018-09-05|14343|4737005|8.3442</t>
  </si>
  <si>
    <t>2018-09-05|1194483|4735912|91.1275</t>
  </si>
  <si>
    <t>2018-09-05|1392573|4737856|98.272600000000011</t>
  </si>
  <si>
    <t>2018-09-05|1658883|4737954|62.3634</t>
  </si>
  <si>
    <t>2018-09-05|1435293|4738071|128.1374</t>
  </si>
  <si>
    <t>2018-09-05|1397703|4736608|58.381399999999992</t>
  </si>
  <si>
    <t>2018-09-05|1628463|4737778|32.050399999999996</t>
  </si>
  <si>
    <t>2018-09-05|1620033|4738269|119.6667</t>
  </si>
  <si>
    <t>2017-12-24|1348683|4066756|122.5</t>
  </si>
  <si>
    <t>2017-12-24|367683|4067174|40.481100000000005</t>
  </si>
  <si>
    <t>2018-09-06|1567323|4740709|167.0881</t>
  </si>
  <si>
    <t>2018-09-06|234783|4740291|126.5851</t>
  </si>
  <si>
    <t>2018-09-06|1535193|4739046|58.741400000000006</t>
  </si>
  <si>
    <t>2018-09-06|1605423|4738963|83.295399999999987</t>
  </si>
  <si>
    <t>2018-09-06|1351803|4740608|80.46629999999999</t>
  </si>
  <si>
    <t>2018-09-06|1528503|4739770|121.9033</t>
  </si>
  <si>
    <t>2018-09-06|1527513|4740243|62.4216</t>
  </si>
  <si>
    <t>2018-09-06|1351803|4740450|12.4167</t>
  </si>
  <si>
    <t>2017-12-25|1487403|4067869|27.375</t>
  </si>
  <si>
    <t>2017-12-25|1334643|4067766|86.8436</t>
  </si>
  <si>
    <t>2017-12-25|1487553|4068390|60.921299999999995</t>
  </si>
  <si>
    <t>2017-12-25|848373|4068246|71.25</t>
  </si>
  <si>
    <t>2018-09-07|1653453|4742447|64.6843</t>
  </si>
  <si>
    <t>2018-09-07|1519623|4743022|64.735</t>
  </si>
  <si>
    <t>2018-09-07|1407333|4742994|150.4275</t>
  </si>
  <si>
    <t>2018-09-07|1482513|4742938|98.700099999999992</t>
  </si>
  <si>
    <t>2018-09-07|1332093|4742743|39.6838</t>
  </si>
  <si>
    <t>2017-12-26|1398153|4069068|27.2108</t>
  </si>
  <si>
    <t>2017-12-26|1488063|4070503|57.673300000000005</t>
  </si>
  <si>
    <t>2017-12-26|1315143|4070255|87.2735</t>
  </si>
  <si>
    <t>2017-12-26|1432653|4069589|20.8333</t>
  </si>
  <si>
    <t>2017-12-26|1184643|4070732|317.45580000000007</t>
  </si>
  <si>
    <t>2018-09-08|1478823|4743798|71.2666</t>
  </si>
  <si>
    <t>2018-09-08|1478823|4743784|71.2666</t>
  </si>
  <si>
    <t>2018-09-08|1194483|4743844|185.67520000000002</t>
  </si>
  <si>
    <t>2018-09-08|1594203|4744405|150.3715</t>
  </si>
  <si>
    <t>2018-09-08|1546173|4744314|52.163</t>
  </si>
  <si>
    <t>2018-09-08|1336623|4743990|49.5017</t>
  </si>
  <si>
    <t>2018-09-08|1194483|4743792|12.4167</t>
  </si>
  <si>
    <t>2018-09-08|1344573|4745301|63.9567</t>
  </si>
  <si>
    <t>2018-09-08|1660503|4744009|65.358399999999989</t>
  </si>
  <si>
    <t>2018-09-08|1056543|4744870|43.0921</t>
  </si>
  <si>
    <t>2017-12-27|1488693|4072931|19.3608</t>
  </si>
  <si>
    <t>2017-12-27|1314993|4071616|68.86</t>
  </si>
  <si>
    <t>2017-12-27|1214823|4072620|83.9785</t>
  </si>
  <si>
    <t>2017-12-27|862653|4072840|99.161</t>
  </si>
  <si>
    <t>2017-12-27|1369833|4071325|50.083400000000005</t>
  </si>
  <si>
    <t>2017-12-27|1435473|4073202|96.860100000000017</t>
  </si>
  <si>
    <t>2017-12-27|1438953|4071507|39.0833</t>
  </si>
  <si>
    <t>2018-09-09|1416123|4747506|51.3883</t>
  </si>
  <si>
    <t>2018-09-09|430593|4745920|138.6925</t>
  </si>
  <si>
    <t>2018-09-09|1661073|4745810|5.2557</t>
  </si>
  <si>
    <t>2018-09-09|257913|4746994|146.6195</t>
  </si>
  <si>
    <t>2017-12-28|1489173|4074817|64.8347</t>
  </si>
  <si>
    <t>2017-12-28|1419603|4073919|76.102899999999991</t>
  </si>
  <si>
    <t>2017-12-28|1188213|4075513|10.125</t>
  </si>
  <si>
    <t>2017-12-28|1488723|4074756|17.1292</t>
  </si>
  <si>
    <t>2017-12-28|1299153|4073726|51.180900000000015</t>
  </si>
  <si>
    <t>2017-12-28|1489323|4075376|30.4938</t>
  </si>
  <si>
    <t>2018-09-10|414843|4750831|65.106</t>
  </si>
  <si>
    <t>2018-09-10|1634943|4749437|44.4405</t>
  </si>
  <si>
    <t>2017-12-29|1489713|4076818|93.729199999999992</t>
  </si>
  <si>
    <t>2017-12-29|234783|4078350|143.9982</t>
  </si>
  <si>
    <t>2017-12-29|996933|4077412|104.30769999999998</t>
  </si>
  <si>
    <t>2017-12-29|1489893|4077504|217.8102</t>
  </si>
  <si>
    <t>2017-12-29|1195233|4078056|16.0245</t>
  </si>
  <si>
    <t>2017-12-29|1489653|4076619|29.7501</t>
  </si>
  <si>
    <t>2017-12-29|234783|4078327|154.69559999999998</t>
  </si>
  <si>
    <t>2017-12-29|1490043|4078022|11.5867</t>
  </si>
  <si>
    <t>2018-09-11|1662993|4753359|38.8984</t>
  </si>
  <si>
    <t>2018-09-11|1452153|4752236|65.413000000000011</t>
  </si>
  <si>
    <t>2018-09-11|1520613|4752645|113.2722</t>
  </si>
  <si>
    <t>2018-09-11|112923|4751462|92.0992</t>
  </si>
  <si>
    <t>2018-09-11|459393|4752370|33.1583</t>
  </si>
  <si>
    <t>2017-12-30|1490253|4078870|33.4382</t>
  </si>
  <si>
    <t>2017-12-30|1204983|4079761|65.6435</t>
  </si>
  <si>
    <t>2017-12-30|1429053|4080210|66.4251</t>
  </si>
  <si>
    <t>2017-12-30|91623|4079956|33.9025</t>
  </si>
  <si>
    <t>2018-09-12|1030023|4754244|129.86180000000004</t>
  </si>
  <si>
    <t>2018-09-12|1663893|4756671|38.2718</t>
  </si>
  <si>
    <t>2018-09-12|1491483|4754536|141.0565</t>
  </si>
  <si>
    <t>2018-09-12|1663863|4756584|12.4041</t>
  </si>
  <si>
    <t>2018-09-12|1392573|4755209|15.120600000000003</t>
  </si>
  <si>
    <t>2018-09-12|458853|4756995|13.0534</t>
  </si>
  <si>
    <t>2017-12-31|1491273|4082939|76.1933</t>
  </si>
  <si>
    <t>2017-12-31|1416303|4082018|29.85</t>
  </si>
  <si>
    <t>2017-12-31|1434813|4081529|213.3652</t>
  </si>
  <si>
    <t>2017-12-31|1491033|4081881|37.5038</t>
  </si>
  <si>
    <t>2017-12-31|1491093|4082088|14.985</t>
  </si>
  <si>
    <t>2018-09-13|1543983|4759272|46.402</t>
  </si>
  <si>
    <t>2018-09-13|184683|4758572|80.6635</t>
  </si>
  <si>
    <t>2018-09-13|444303|4757336|14.97</t>
  </si>
  <si>
    <t>2018-09-13|1664163|4757738|45.3793</t>
  </si>
  <si>
    <t>2018-09-13|1513953|4759952|96.3887</t>
  </si>
  <si>
    <t>2018-09-13|1664463|4759234|15.5688</t>
  </si>
  <si>
    <t>2018-09-13|1645653|4757174|8.6256</t>
  </si>
  <si>
    <t>2018-09-13|1292223|4757936|69.583199999999991</t>
  </si>
  <si>
    <t>2018-01-01|165933|4083225|105.4016</t>
  </si>
  <si>
    <t>2018-01-01|1310703|4085385|109.99020000000002</t>
  </si>
  <si>
    <t>2018-01-01|1310703|4085280|103.99769999999997</t>
  </si>
  <si>
    <t>2018-01-01|1310703|4085365|92.72359999999999</t>
  </si>
  <si>
    <t>2018-01-01|1491483|4083928|67.3318</t>
  </si>
  <si>
    <t>2018-01-01|1491723|4084967|72.7612</t>
  </si>
  <si>
    <t>2018-01-01|1491783|4085361|32.010099999999994</t>
  </si>
  <si>
    <t>2018-01-01|1433613|4084346|100.36010000000002</t>
  </si>
  <si>
    <t>2018-09-14|1664763|4760952|29.365</t>
  </si>
  <si>
    <t>2018-09-14|450963|4760751|57.8827</t>
  </si>
  <si>
    <t>2018-09-14|1665003|4762061|8.055</t>
  </si>
  <si>
    <t>2018-09-14|1496013|4761267|41.2199</t>
  </si>
  <si>
    <t>2018-09-14|1214823|4761717|65.1376</t>
  </si>
  <si>
    <t>2018-01-02|1382673|4087375|65.7415</t>
  </si>
  <si>
    <t>2018-01-02|1407333|4086490|68.0064</t>
  </si>
  <si>
    <t>2018-01-02|1492563|4088414|36.5893</t>
  </si>
  <si>
    <t>2018-01-02|1270893|4086784|40.2096</t>
  </si>
  <si>
    <t>2018-01-02|1188393|4087551|39.36</t>
  </si>
  <si>
    <t>2018-01-02|1489683|4088316|84.7019</t>
  </si>
  <si>
    <t>2018-01-02|1298553|4087155|12</t>
  </si>
  <si>
    <t>2018-01-02|1492143|4086910|83.2608</t>
  </si>
  <si>
    <t>2018-09-15|1665633|4764538|55.2541</t>
  </si>
  <si>
    <t>2018-09-15|1630083|4763355|51.658300000000004</t>
  </si>
  <si>
    <t>2018-09-15|1665603|4764422|58.697500000000005</t>
  </si>
  <si>
    <t>2018-09-15|367683|4763622|96.1527</t>
  </si>
  <si>
    <t>2018-01-03|1063383|4090126|76.8189</t>
  </si>
  <si>
    <t>2018-01-03|1493283|4091157|25.5829</t>
  </si>
  <si>
    <t>2018-01-03|392763|4091481|72.8488</t>
  </si>
  <si>
    <t>2018-01-03|1452153|4089758|47.7996</t>
  </si>
  <si>
    <t>2018-01-03|1485873|4091166|72.3081</t>
  </si>
  <si>
    <t>2018-01-03|1493103|4090440|28.7925</t>
  </si>
  <si>
    <t>2018-01-03|1236333|4090209|63.825</t>
  </si>
  <si>
    <t>2018-01-03|1247553|4091716|34.145</t>
  </si>
  <si>
    <t>2018-01-03|1141683|4090529|75.4779</t>
  </si>
  <si>
    <t>2018-09-16|1372023|4765402|57.026700000000005</t>
  </si>
  <si>
    <t>2018-09-16|266283|4767406|97.8702</t>
  </si>
  <si>
    <t>2018-09-16|1128333|4766501|42.0416</t>
  </si>
  <si>
    <t>2018-09-16|1666023|4765841|17.981099999999998</t>
  </si>
  <si>
    <t>2018-09-16|1350243|4767258|40.077699999999993</t>
  </si>
  <si>
    <t>2018-09-16|1666203|4766528|8.36</t>
  </si>
  <si>
    <t>2018-09-16|1646493|4767180|67.137</t>
  </si>
  <si>
    <t>2018-01-04|1493643|4092502|61.995</t>
  </si>
  <si>
    <t>2018-01-04|1485873|4092131|72.1798</t>
  </si>
  <si>
    <t>2018-01-04|1261383|4093763|120.72270000000002</t>
  </si>
  <si>
    <t>2018-01-04|1173993|4094331|78.005500000000012</t>
  </si>
  <si>
    <t>2018-01-04|1093383|4094652|40.066</t>
  </si>
  <si>
    <t>2018-01-04|415473|4093613|102.8522</t>
  </si>
  <si>
    <t>2018-01-04|1399533|4093061|113.706</t>
  </si>
  <si>
    <t>2018-01-04|1081713|4093545|78.232799999999983</t>
  </si>
  <si>
    <t>2018-09-17|1561293|4767664|31.013099999999998</t>
  </si>
  <si>
    <t>2018-09-17|1081713|4768391|101.2325</t>
  </si>
  <si>
    <t>2018-09-17|1666593|4768271|86.339</t>
  </si>
  <si>
    <t>2018-09-17|1663203|4768120|61.111200000000004</t>
  </si>
  <si>
    <t>2018-09-17|423153|4770344|83.972599999999986</t>
  </si>
  <si>
    <t>2018-09-17|1110273|4770391|90.3162</t>
  </si>
  <si>
    <t>2018-09-17|1663203|4768456|56.330400000000004</t>
  </si>
  <si>
    <t>2018-09-17|1551003|4768812|163.616</t>
  </si>
  <si>
    <t>2018-09-17|1657053|4768429|30.3447</t>
  </si>
  <si>
    <t>2018-09-17|1470573|4770143|96.046</t>
  </si>
  <si>
    <t>2018-09-17|1291233|4768929|105.88879999999999</t>
  </si>
  <si>
    <t>2018-01-05|1475943|4097310|69.9167</t>
  </si>
  <si>
    <t>2018-01-05|1451553|4095613|46.659</t>
  </si>
  <si>
    <t>2018-01-05|1494813|4097055|64.0488</t>
  </si>
  <si>
    <t>2018-01-05|1177893|4095515|129.4303</t>
  </si>
  <si>
    <t>2018-09-18|1167393|4773225|91.8969</t>
  </si>
  <si>
    <t>2018-09-18|1056543|4771434|46.6446</t>
  </si>
  <si>
    <t>2018-09-18|1542783|4771564|64.0213</t>
  </si>
  <si>
    <t>2018-09-18|1667733|4772721|84.3203</t>
  </si>
  <si>
    <t>2018-09-18|1252173|4772859|69.2671</t>
  </si>
  <si>
    <t>2018-01-06|1128333|4099473|60.0252</t>
  </si>
  <si>
    <t>2018-01-06|1491153|4099342|77.5749</t>
  </si>
  <si>
    <t>2018-01-06|1495473|4099113|65.9169</t>
  </si>
  <si>
    <t>2018-01-06|1074813|4099979|64.3534</t>
  </si>
  <si>
    <t>2018-09-19|1668063|4774079|11.05</t>
  </si>
  <si>
    <t>2018-09-19|1039533|4776072|120.0079</t>
  </si>
  <si>
    <t>2018-09-19|1640883|4774140|20.7513</t>
  </si>
  <si>
    <t>2018-09-19|257913|4775276|81.744</t>
  </si>
  <si>
    <t>2018-01-07|1495983|4100797|62.7166</t>
  </si>
  <si>
    <t>2018-01-07|1495833|4100302|31.956300000000002</t>
  </si>
  <si>
    <t>2018-01-07|1496013|4100894|75.6667</t>
  </si>
  <si>
    <t>2018-01-07|1495923|4100669|132.5622</t>
  </si>
  <si>
    <t>2018-09-20|1556523|4777685|61.960300000000004</t>
  </si>
  <si>
    <t>2018-09-20|1668933|4777519|208.4626</t>
  </si>
  <si>
    <t>2018-09-20|1461543|4776482|111.35549999999999</t>
  </si>
  <si>
    <t>2018-01-08|1162143|4105193|78.5907</t>
  </si>
  <si>
    <t>2018-01-08|1153263|4103813|41.038000000000004</t>
  </si>
  <si>
    <t>2018-01-08|1497543|4106742|66.7984</t>
  </si>
  <si>
    <t>2018-01-08|1497003|4104590|65.3441</t>
  </si>
  <si>
    <t>2018-01-08|1238253|4104734|16.3846</t>
  </si>
  <si>
    <t>2018-01-08|184683|4105326|75.331999999999979</t>
  </si>
  <si>
    <t>2018-01-08|1239273|4103934|108.8448</t>
  </si>
  <si>
    <t>2018-01-08|1496763|4103545|14.4175</t>
  </si>
  <si>
    <t>2018-01-08|1039983|4105860|81.7732</t>
  </si>
  <si>
    <t>2018-01-08|1267803|4104213|121.7436</t>
  </si>
  <si>
    <t>2018-01-08|427893|4106799|91.6165</t>
  </si>
  <si>
    <t>2018-09-21|1669353|4779110|97.1661</t>
  </si>
  <si>
    <t>2018-09-21|58503|4779723|63.683799999999991</t>
  </si>
  <si>
    <t>2018-09-21|1669473|4779582|43.719899999999988</t>
  </si>
  <si>
    <t>2018-09-21|1668213|4780224|47.8263</t>
  </si>
  <si>
    <t>2018-09-21|1130163|4780257|9.2463</t>
  </si>
  <si>
    <t>2018-01-09|1498143|4109465|47.8334</t>
  </si>
  <si>
    <t>2018-01-09|1198923|4107521|35.974</t>
  </si>
  <si>
    <t>2018-01-09|33993|4109372|26.474999999999998</t>
  </si>
  <si>
    <t>2018-01-09|1497663|4107338|11.85</t>
  </si>
  <si>
    <t>2018-01-09|407643|4107142|100.4137</t>
  </si>
  <si>
    <t>2018-01-09|1110273|4109378|78.2598</t>
  </si>
  <si>
    <t>2018-01-09|1389153|4107594|17.2277</t>
  </si>
  <si>
    <t>2018-09-22|1670283|4782444|21.7673</t>
  </si>
  <si>
    <t>2018-09-22|1519503|4780720|47.528</t>
  </si>
  <si>
    <t>2018-09-22|1604373|4781082|76.969699999999989</t>
  </si>
  <si>
    <t>2018-09-22|1409553|4781404|61.262700000000009</t>
  </si>
  <si>
    <t>2018-01-10|1498473|4110694|13.2666</t>
  </si>
  <si>
    <t>2018-01-10|1497723|4110589|52.761</t>
  </si>
  <si>
    <t>2018-01-10|1396413|4112461|45.4198</t>
  </si>
  <si>
    <t>2018-01-10|1499163|4113445|29.5812</t>
  </si>
  <si>
    <t>2018-01-10|1498623|4111368|35.4583</t>
  </si>
  <si>
    <t>2018-01-10|1245363|4114149|80.5521</t>
  </si>
  <si>
    <t>2018-01-10|1499223|4113672|36.646100000000004</t>
  </si>
  <si>
    <t>2018-01-10|1291233|4114518|173.61570000000003</t>
  </si>
  <si>
    <t>2018-01-10|301203|4112407|95</t>
  </si>
  <si>
    <t>2018-01-10|1498593|4112888|37.8763</t>
  </si>
  <si>
    <t>2018-01-10|1490913|4112783|48.7446</t>
  </si>
  <si>
    <t>2018-01-10|1485663|4111272|162.26850000000002</t>
  </si>
  <si>
    <t>2018-09-23|1204983|4785732|80.241900000000015</t>
  </si>
  <si>
    <t>2018-09-23|1670763|4784522|41.93</t>
  </si>
  <si>
    <t>2018-09-23|1670703|4784270|42.076899999999995</t>
  </si>
  <si>
    <t>2018-01-11|1439613|4117404|40.2539</t>
  </si>
  <si>
    <t>2018-01-11|1261383|4117363|64.73490000000001</t>
  </si>
  <si>
    <t>2018-01-11|1127043|4117643|92.0477</t>
  </si>
  <si>
    <t>2018-01-11|1406463|4114928|28.0046</t>
  </si>
  <si>
    <t>2018-01-11|1254663|4115902|59.5173</t>
  </si>
  <si>
    <t>2018-01-11|1483683|4115822|28.570199999999996</t>
  </si>
  <si>
    <t>2018-09-24|1671513|4787688|71.448</t>
  </si>
  <si>
    <t>2018-09-24|1081713|4787310|38.0257</t>
  </si>
  <si>
    <t>2018-09-24|1671123|4786327|22.3542</t>
  </si>
  <si>
    <t>2018-01-12|473733|4119354|24.75</t>
  </si>
  <si>
    <t>2018-01-12|1159653|4120813|65.2483</t>
  </si>
  <si>
    <t>2018-01-12|1501053|4120322|100.7776</t>
  </si>
  <si>
    <t>2018-01-12|1046973|4119203|7.958400000000001</t>
  </si>
  <si>
    <t>2018-01-12|1501143|4120613|261.625</t>
  </si>
  <si>
    <t>2018-01-12|1344573|4119973|84.042899999999989</t>
  </si>
  <si>
    <t>2018-09-25|1435473|4790960|241.6611</t>
  </si>
  <si>
    <t>2018-09-25|124323|4790063|34.2988</t>
  </si>
  <si>
    <t>2018-09-25|1666593|4790111|14.8077</t>
  </si>
  <si>
    <t>2018-09-25|1340253|4788949|34.9</t>
  </si>
  <si>
    <t>2018-09-25|1542783|4789743|41.4798</t>
  </si>
  <si>
    <t>2018-09-25|1595253|4790198|89.291600000000017</t>
  </si>
  <si>
    <t>2018-09-25|1435293|4790738|90.3015</t>
  </si>
  <si>
    <t>2018-01-13|1418553|4124043|102.4369</t>
  </si>
  <si>
    <t>2018-01-13|1418553|4122653|226.355</t>
  </si>
  <si>
    <t>2018-01-13|1501803|4122825|17.495</t>
  </si>
  <si>
    <t>2018-01-13|1501563|4122105|23.2799</t>
  </si>
  <si>
    <t>2018-01-13|1165353|4123726|65.2721</t>
  </si>
  <si>
    <t>2018-01-13|1089273|4123073|63.658100000000005</t>
  </si>
  <si>
    <t>2018-01-13|1220073|4122600|97.1489</t>
  </si>
  <si>
    <t>2018-01-13|1428633|4122011|156.114</t>
  </si>
  <si>
    <t>2018-09-26|1455903|4792092|51.999399999999994</t>
  </si>
  <si>
    <t>2018-09-26|1329663|4793836|162.98440000000002</t>
  </si>
  <si>
    <t>2018-09-26|1672713|4791927|25.3435</t>
  </si>
  <si>
    <t>2018-09-26|1672773|4792884|231.217</t>
  </si>
  <si>
    <t>2018-09-26|1300023|4793776|66.4036</t>
  </si>
  <si>
    <t>2018-09-26|1533183|4792743|39.3648</t>
  </si>
  <si>
    <t>2018-01-14|1503183|4127345|26.8208</t>
  </si>
  <si>
    <t>2018-01-14|1406043|4124718|55.482200000000006</t>
  </si>
  <si>
    <t>2018-01-14|1236333|4124848|84.1701</t>
  </si>
  <si>
    <t>2018-01-14|1478823|4127050|72.1792</t>
  </si>
  <si>
    <t>2018-01-14|1440663|4127853|76.9837</t>
  </si>
  <si>
    <t>2018-01-14|1410633|4125919|74.254</t>
  </si>
  <si>
    <t>2018-01-14|1502343|4124583|63</t>
  </si>
  <si>
    <t>2018-01-14|164763|4125015|81.6934</t>
  </si>
  <si>
    <t>2018-01-14|1336473|4125980|200.193</t>
  </si>
  <si>
    <t>2018-01-14|1173993|4127454|139.62430000000003</t>
  </si>
  <si>
    <t>2018-01-14|948573|4128230|87.3422</t>
  </si>
  <si>
    <t>2018-01-14|1502553|4125318|45.75</t>
  </si>
  <si>
    <t>2018-01-14|1381413|4126037|77.5832</t>
  </si>
  <si>
    <t>2018-09-27|1671873|4795983|10.9908</t>
  </si>
  <si>
    <t>2018-09-27|450963|4795822|45.1495</t>
  </si>
  <si>
    <t>2018-09-27|1672743|4795531|65.7835</t>
  </si>
  <si>
    <t>2018-09-27|1184643|4795034|163.4627</t>
  </si>
  <si>
    <t>2018-01-15|228423|4132204|145.3654</t>
  </si>
  <si>
    <t>2018-01-15|1082913|4132681|123.3559</t>
  </si>
  <si>
    <t>2018-01-15|1504683|4132802|77.8663</t>
  </si>
  <si>
    <t>2018-01-15|1324833|4131158|24.8744</t>
  </si>
  <si>
    <t>2018-09-28|1428633|4796687|168.9144</t>
  </si>
  <si>
    <t>2018-09-28|1674423|4798717|66.5891</t>
  </si>
  <si>
    <t>2018-09-28|1427553|4797720|205.90800000000002</t>
  </si>
  <si>
    <t>2018-09-28|1427553|4797610|205.90800000000002</t>
  </si>
  <si>
    <t>2018-09-28|426423|4797938|116.22839999999998</t>
  </si>
  <si>
    <t>2018-09-28|1674183|4797669|29.7738</t>
  </si>
  <si>
    <t>2018-09-28|1089873|4798703|89.704299999999989</t>
  </si>
  <si>
    <t>2018-09-28|1344573|4797031|94.170200000000023</t>
  </si>
  <si>
    <t>2018-01-16|1074813|4136013|39.9274</t>
  </si>
  <si>
    <t>2018-01-16|1103823|4134260|62.1248</t>
  </si>
  <si>
    <t>2018-01-16|1433553|4136046|156.06719999999999</t>
  </si>
  <si>
    <t>2018-01-16|1196493|4135674|139.92079999999999</t>
  </si>
  <si>
    <t>2018-01-16|1237893|4135136|86.1704</t>
  </si>
  <si>
    <t>2018-01-16|1505163|4134474|77.8</t>
  </si>
  <si>
    <t>2018-01-16|1505493|4135711|72.4368</t>
  </si>
  <si>
    <t>2018-01-16|1505013|4134007|34.6652</t>
  </si>
  <si>
    <t>2018-01-16|1505073|4134196|47.7</t>
  </si>
  <si>
    <t>2018-01-16|1373283|4133363|67.31</t>
  </si>
  <si>
    <t>2018-01-16|408813|4134296|222.4692</t>
  </si>
  <si>
    <t>2018-09-29|1460043|4800267|65.3027</t>
  </si>
  <si>
    <t>2018-09-29|1588233|4801295|168.78580000000002</t>
  </si>
  <si>
    <t>2018-09-29|1635813|4799914|76.7595</t>
  </si>
  <si>
    <t>2018-09-29|414843|4801760|69.423</t>
  </si>
  <si>
    <t>2018-09-29|1674573|4799350|38.941399999999994</t>
  </si>
  <si>
    <t>2018-09-29|1348683|4801089|54.644999999999996</t>
  </si>
  <si>
    <t>2018-09-29|1675173|4801645|86.9175</t>
  </si>
  <si>
    <t>2018-09-29|1505163|4800642|53.606799999999993</t>
  </si>
  <si>
    <t>2018-09-29|1261383|4799413|165.25749999999996</t>
  </si>
  <si>
    <t>2018-09-29|1517673|4799695|137.76950000000002</t>
  </si>
  <si>
    <t>2018-01-17|1450893|4139698|84.7464</t>
  </si>
  <si>
    <t>2018-01-17|1306983|4138570|135.0418</t>
  </si>
  <si>
    <t>2018-01-17|274113|4138927|51.856100000000012</t>
  </si>
  <si>
    <t>2018-01-17|1198923|4137954|34.8557</t>
  </si>
  <si>
    <t>2018-01-17|1286103|4139453|198.416</t>
  </si>
  <si>
    <t>2018-01-17|1506543|4139556|25.308</t>
  </si>
  <si>
    <t>2018-01-17|1506633|4139523|32.7605</t>
  </si>
  <si>
    <t>2018-09-30|1151013|4803574|130.43079999999998</t>
  </si>
  <si>
    <t>2018-09-30|1676133|4805529|79.0521</t>
  </si>
  <si>
    <t>2018-09-30|1426383|4803004|97.0116</t>
  </si>
  <si>
    <t>2018-09-30|266283|4804635|43.043099999999995</t>
  </si>
  <si>
    <t>2018-09-30|1419393|4802955|40.4092</t>
  </si>
  <si>
    <t>2018-09-30|1675803|4804159|41.540499999999994</t>
  </si>
  <si>
    <t>2018-09-30|1676103|4805439|105.07249999999999</t>
  </si>
  <si>
    <t>2018-09-30|1645653|4802020|61.049400000000006</t>
  </si>
  <si>
    <t>2018-09-30|165933|4803885|38.0834</t>
  </si>
  <si>
    <t>2018-01-18|1474893|4142824|98.0803</t>
  </si>
  <si>
    <t>2018-01-18|1506993|4140855|58.569599999999994</t>
  </si>
  <si>
    <t>2018-01-18|1423773|4141683|66.3301</t>
  </si>
  <si>
    <t>2018-01-18|1477113|4142780|37.8958</t>
  </si>
  <si>
    <t>2018-10-01|1676793|4808455|91.4332</t>
  </si>
  <si>
    <t>2018-10-01|1478673|4809050|103.2299</t>
  </si>
  <si>
    <t>2018-10-01|273093|4806258|83.704299999999989</t>
  </si>
  <si>
    <t>2018-10-01|1410633|4808510|76.2156</t>
  </si>
  <si>
    <t>2018-10-01|1676193|4805813|122.7217</t>
  </si>
  <si>
    <t>2018-10-01|1344573|4806888|120.61430000000001</t>
  </si>
  <si>
    <t>2018-10-01|1658883|4807113|138.45110000000003</t>
  </si>
  <si>
    <t>2018-10-01|1676193|4805824|61.267300000000006</t>
  </si>
  <si>
    <t>2018-01-19|1344573|4143621|61.7316</t>
  </si>
  <si>
    <t>2018-01-19|1344573|4143640|90.775</t>
  </si>
  <si>
    <t>2018-10-02|1677693|4811775|15.9846</t>
  </si>
  <si>
    <t>2018-10-02|1677213|4810272|39.506299999999996</t>
  </si>
  <si>
    <t>2018-10-02|1163523|4810906|42.8649</t>
  </si>
  <si>
    <t>2018-10-02|1677573|4811603|37.1852</t>
  </si>
  <si>
    <t>2018-10-02|486093|4811251|23.267400000000002</t>
  </si>
  <si>
    <t>2018-01-20|1372173|4146446|131.4229</t>
  </si>
  <si>
    <t>2018-01-20|1477113|4146642|48.109</t>
  </si>
  <si>
    <t>2018-01-20|1239183|4145787|69.733100000000007</t>
  </si>
  <si>
    <t>2018-01-20|1407333|4147000|61.9844</t>
  </si>
  <si>
    <t>2018-01-20|367683|4146595|49.7044</t>
  </si>
  <si>
    <t>2018-01-20|1422333|4147426|44.6421</t>
  </si>
  <si>
    <t>2018-01-20|1452633|4147962|108.57499999999999</t>
  </si>
  <si>
    <t>2018-10-03|1677843|4812341|17.2493</t>
  </si>
  <si>
    <t>2018-10-03|1223523|4813216|136.98269999999997</t>
  </si>
  <si>
    <t>2018-10-03|1653453|4814480|71.714700000000008</t>
  </si>
  <si>
    <t>2018-10-03|1678233|4814073|24.055</t>
  </si>
  <si>
    <t>2018-10-03|1452153|4813105|113.5384</t>
  </si>
  <si>
    <t>2018-10-03|1454403|4814205|35.1979</t>
  </si>
  <si>
    <t>2018-10-03|1286103|4813080|162.83249999999998</t>
  </si>
  <si>
    <t>2018-10-03|1609023|4812494|60.0914</t>
  </si>
  <si>
    <t>2018-10-03|1678143|4813672|65.0883</t>
  </si>
  <si>
    <t>2018-01-21|1475943|4150332|28.916700000000002</t>
  </si>
  <si>
    <t>2018-01-21|1204983|4151320|60.7716</t>
  </si>
  <si>
    <t>2018-01-21|186663|4149499|82.483399999999989</t>
  </si>
  <si>
    <t>2018-01-21|1149063|4149568|69.1166</t>
  </si>
  <si>
    <t>2018-01-21|1510293|4151746|4.9749</t>
  </si>
  <si>
    <t>2018-01-21|1510383|4152024|113.47550000000001</t>
  </si>
  <si>
    <t>2018-01-21|323493|4150343|191.8583</t>
  </si>
  <si>
    <t>2018-01-21|1509843|4150164|4.05</t>
  </si>
  <si>
    <t>2018-01-21|1061973|4149106|52.890899999999995</t>
  </si>
  <si>
    <t>2018-01-21|1509663|4149621|13.4585</t>
  </si>
  <si>
    <t>2018-10-04|1475943|4816138|43.676999999999992</t>
  </si>
  <si>
    <t>2018-10-04|1610733|4816225|47.2536</t>
  </si>
  <si>
    <t>2018-10-04|1679253|4817732|26.4626</t>
  </si>
  <si>
    <t>2018-10-04|1065213|4816806|212.7616</t>
  </si>
  <si>
    <t>2018-10-04|1564293|4817988|38.413000000000004</t>
  </si>
  <si>
    <t>2018-10-04|1678953|4816689|36.75</t>
  </si>
  <si>
    <t>2018-10-04|1665633|4815923|59.0496</t>
  </si>
  <si>
    <t>2018-10-04|1595193|4817296|22.558500000000002</t>
  </si>
  <si>
    <t>2018-10-04|1679043|4816988|28.627100000000002</t>
  </si>
  <si>
    <t>2018-01-22|1510953|4154314|33.829299999999996</t>
  </si>
  <si>
    <t>2018-01-22|1214823|4153188|40.5271</t>
  </si>
  <si>
    <t>2018-01-22|1450893|4152337|65.6653</t>
  </si>
  <si>
    <t>2018-01-22|1470573|4155479|69.357</t>
  </si>
  <si>
    <t>2018-01-22|1409583|4152536|77.4225</t>
  </si>
  <si>
    <t>2018-01-22|1510443|4152375|41.704199999999993</t>
  </si>
  <si>
    <t>2018-10-05|413523|4819190|184.77100000000002</t>
  </si>
  <si>
    <t>2018-10-05|1273263|4819544|37.7221</t>
  </si>
  <si>
    <t>2018-10-05|1496013|4818130|146.0421</t>
  </si>
  <si>
    <t>2018-10-05|1611213|4819620|46.144800000000004</t>
  </si>
  <si>
    <t>2018-10-05|481893|4818819|64.3061</t>
  </si>
  <si>
    <t>2018-01-23|1505493|4157746|27.5956</t>
  </si>
  <si>
    <t>2018-01-23|1405893|4157517|55.663399999999996</t>
  </si>
  <si>
    <t>2018-01-23|1121703|4156401|30.7868</t>
  </si>
  <si>
    <t>2018-01-23|1292223|4156506|37.3267</t>
  </si>
  <si>
    <t>2018-01-23|1038963|4157575|28.9</t>
  </si>
  <si>
    <t>2018-01-23|1131483|4157568|38.6871</t>
  </si>
  <si>
    <t>2018-01-23|217743|4157798|79.7158</t>
  </si>
  <si>
    <t>2018-01-23|231783|4158440|112.517</t>
  </si>
  <si>
    <t>2018-01-23|1427553|4157612|148.6792</t>
  </si>
  <si>
    <t>2018-01-23|1511763|4157546|20.75</t>
  </si>
  <si>
    <t>2018-01-23|1511583|4156883|28.625</t>
  </si>
  <si>
    <t>2018-01-23|1511853|4158243|73.2203</t>
  </si>
  <si>
    <t>2018-10-06|1389153|4821762|10.4167</t>
  </si>
  <si>
    <t>2018-10-06|1679673|4820620|60.217299999999994</t>
  </si>
  <si>
    <t>2018-10-06|463353|4822659|78.6</t>
  </si>
  <si>
    <t>2018-10-06|1503183|4821710|85.5662</t>
  </si>
  <si>
    <t>2018-10-06|1626093|4820868|93.1111</t>
  </si>
  <si>
    <t>2018-10-06|1680003|4820658|7.375</t>
  </si>
  <si>
    <t>2018-10-06|1149063|4822210|86.4941</t>
  </si>
  <si>
    <t>2018-01-24|1269453|4159099|44.386</t>
  </si>
  <si>
    <t>2018-01-24|1224573|4160995|31.5386</t>
  </si>
  <si>
    <t>2018-01-24|1416303|4158692|48.75</t>
  </si>
  <si>
    <t>2018-10-07|1102863|4824578|13.0998</t>
  </si>
  <si>
    <t>2018-10-07|1679073|4827129|97.6772</t>
  </si>
  <si>
    <t>2018-10-07|1220073|4824609|115.54009999999998</t>
  </si>
  <si>
    <t>2018-10-07|1678983|4826986|60.5013</t>
  </si>
  <si>
    <t>2018-10-07|1232733|4824287|157.1333</t>
  </si>
  <si>
    <t>2018-10-07|1318413|4824903|66.670799999999986</t>
  </si>
  <si>
    <t>2018-10-07|1204983|4825871|64.8209</t>
  </si>
  <si>
    <t>2018-01-25|1409553|4162643|65.8809</t>
  </si>
  <si>
    <t>2018-01-25|1422333|4161199|40.746399999999994</t>
  </si>
  <si>
    <t>2018-01-25|1144893|4161325|128.1583</t>
  </si>
  <si>
    <t>2018-01-25|1333293|4163345|36.1231</t>
  </si>
  <si>
    <t>2018-01-25|1234923|4161906|11.6595</t>
  </si>
  <si>
    <t>2018-01-25|1450893|4161633|155.21570000000003</t>
  </si>
  <si>
    <t>2018-01-25|1455873|4161388|71.5121</t>
  </si>
  <si>
    <t>2018-10-08|1236333|4828818|81.4851</t>
  </si>
  <si>
    <t>2018-10-08|1262733|4829785|146.3932</t>
  </si>
  <si>
    <t>2018-10-08|1682163|4828651|45.2969</t>
  </si>
  <si>
    <t>2018-10-08|1681953|4828444|38.2082</t>
  </si>
  <si>
    <t>2018-10-08|1238283|4830078|106.6914</t>
  </si>
  <si>
    <t>2018-10-08|1525533|4829223|30.0553</t>
  </si>
  <si>
    <t>2018-10-08|147243|4827565|85.391600000000011</t>
  </si>
  <si>
    <t>2018-10-08|1650513|4829970|43.7419</t>
  </si>
  <si>
    <t>2018-10-08|1682313|4829016|42.102199999999996</t>
  </si>
  <si>
    <t>2018-01-26|1513533|4163890|37.050200000000004</t>
  </si>
  <si>
    <t>2018-10-09|1594203|4832430|114.34760000000001</t>
  </si>
  <si>
    <t>2018-10-09|1626933|4832444|50.911500000000004</t>
  </si>
  <si>
    <t>2018-10-09|1436763|4833142|115.939</t>
  </si>
  <si>
    <t>2018-10-09|156393|4831401|56.8057</t>
  </si>
  <si>
    <t>2018-10-09|1128333|4830942|77.310200000000009</t>
  </si>
  <si>
    <t>2018-10-09|444303|4831453|60.0845</t>
  </si>
  <si>
    <t>2018-10-09|1319343|4832463|40.5665</t>
  </si>
  <si>
    <t>2018-10-09|1611873|4831744|62.0417</t>
  </si>
  <si>
    <t>2018-01-27|1372023|4165666|49.84020000000001</t>
  </si>
  <si>
    <t>2018-01-27|1514433|4166789|3</t>
  </si>
  <si>
    <t>2018-01-27|1514463|4166834|75.6527</t>
  </si>
  <si>
    <t>2018-01-27|1271673|4167547|77.4555</t>
  </si>
  <si>
    <t>2018-01-27|1514643|4167379|35.0584</t>
  </si>
  <si>
    <t>2018-10-10|1684383|4836549|18.7135</t>
  </si>
  <si>
    <t>2018-10-10|484533|4836091|11.0469</t>
  </si>
  <si>
    <t>2018-10-10|1683723|4834444|49.9284</t>
  </si>
  <si>
    <t>2018-10-10|1513473|4835439|79.7101</t>
  </si>
  <si>
    <t>2018-10-10|1237893|4835321|86.484799999999993</t>
  </si>
  <si>
    <t>2018-01-28|1515303|4169540|22.425</t>
  </si>
  <si>
    <t>2018-01-28|1514883|4168185|36.784000000000006</t>
  </si>
  <si>
    <t>2018-01-28|1478673|4169833|103.91969999999999</t>
  </si>
  <si>
    <t>2018-10-11|1433553|4837599|111.4675</t>
  </si>
  <si>
    <t>2018-10-11|1207683|4838443|69.2426</t>
  </si>
  <si>
    <t>2018-10-11|1282833|4837367|83.6987</t>
  </si>
  <si>
    <t>2018-10-11|306303|4839533|65.943300000000008</t>
  </si>
  <si>
    <t>2018-10-11|1407333|4837052|97.244800000000026</t>
  </si>
  <si>
    <t>2018-10-11|1332093|4839171|44.9862</t>
  </si>
  <si>
    <t>2018-10-11|1685133|4839488|62.3174</t>
  </si>
  <si>
    <t>2018-10-11|1519983|4837134|67.150900000000007</t>
  </si>
  <si>
    <t>2018-10-11|1685163|4839542|12.6</t>
  </si>
  <si>
    <t>2018-10-11|1207683|4838434|14.0833</t>
  </si>
  <si>
    <t>2018-01-29|1515963|4172099|10.3981</t>
  </si>
  <si>
    <t>2018-01-29|1426233|4172319|38.4916</t>
  </si>
  <si>
    <t>2018-01-29|1516263|4173317|36.5729</t>
  </si>
  <si>
    <t>2018-01-29|1350873|4173115|135.33280000000002</t>
  </si>
  <si>
    <t>2018-01-29|257913|4173349|167.72240000000002</t>
  </si>
  <si>
    <t>2018-01-29|1515603|4170695|32.475</t>
  </si>
  <si>
    <t>2018-01-29|1125063|4171872|107.20670000000001</t>
  </si>
  <si>
    <t>2018-01-29|1096713|4172317|119.59</t>
  </si>
  <si>
    <t>2018-01-29|1334313|4173382|50.7823</t>
  </si>
  <si>
    <t>2018-01-29|1185843|4172278|75.765999999999991</t>
  </si>
  <si>
    <t>2018-01-29|1210233|4171695|62.020100000000006</t>
  </si>
  <si>
    <t>2018-01-29|1516233|4173166|34.2254</t>
  </si>
  <si>
    <t>2018-01-29|1272693|4170850|119.78</t>
  </si>
  <si>
    <t>2018-01-29|1495923|4172318|34.3275</t>
  </si>
  <si>
    <t>2018-01-29|1157373|4173430|64.2654</t>
  </si>
  <si>
    <t>2018-01-29|306753|4172849|38.405</t>
  </si>
  <si>
    <t>2018-01-29|1515993|4173418|111.5038</t>
  </si>
  <si>
    <t>2018-10-12|1677813|4840360|11.4331</t>
  </si>
  <si>
    <t>2018-10-12|1685493|4840700|32.3984</t>
  </si>
  <si>
    <t>2018-01-30|1081713|4175501|67.2304</t>
  </si>
  <si>
    <t>2018-01-30|1333413|4174145|83.318500000000014</t>
  </si>
  <si>
    <t>2018-10-13|1686003|4842435|43.312400000000004</t>
  </si>
  <si>
    <t>2018-10-13|1372173|4842174|47.8062</t>
  </si>
  <si>
    <t>2018-10-13|1389093|4843353|15.0738</t>
  </si>
  <si>
    <t>2018-10-13|1600803|4844156|18.4545</t>
  </si>
  <si>
    <t>2018-01-31|1202073|4179510|69.914700000000011</t>
  </si>
  <si>
    <t>2018-01-31|1497273|4178058|44.46</t>
  </si>
  <si>
    <t>2018-01-31|481893|4177078|60.3367</t>
  </si>
  <si>
    <t>2018-01-31|1517613|4178539|90.4084</t>
  </si>
  <si>
    <t>2018-01-31|1341843|4178381|77.1556</t>
  </si>
  <si>
    <t>2018-01-31|89313|4178606|42.9862</t>
  </si>
  <si>
    <t>2018-01-31|1517673|4178899|60.2455</t>
  </si>
  <si>
    <t>2018-01-31|1439733|4179675|67.6024</t>
  </si>
  <si>
    <t>2018-01-31|1327233|4177289|41.962</t>
  </si>
  <si>
    <t>2018-10-14|358443|4847473|140.5464</t>
  </si>
  <si>
    <t>2018-10-14|1633593|4844290|30.1679</t>
  </si>
  <si>
    <t>2018-10-14|1165353|4846716|106.056</t>
  </si>
  <si>
    <t>2018-10-14|91623|4844439|38.2583</t>
  </si>
  <si>
    <t>2018-10-14|1684983|4845713|42.6035</t>
  </si>
  <si>
    <t>2018-10-14|1686393|4845313|23.7213</t>
  </si>
  <si>
    <t>2018-10-14|1620813|4846279|38.2891</t>
  </si>
  <si>
    <t>2018-10-14|1478673|4847389|70.125</t>
  </si>
  <si>
    <t>2018-02-01|426423|4181331|69.9595</t>
  </si>
  <si>
    <t>2018-02-01|1223523|4180950|218.83329999999998</t>
  </si>
  <si>
    <t>2018-02-01|1518483|4181899|72.4516</t>
  </si>
  <si>
    <t>2018-02-01|1489683|4182690|88.874000000000009</t>
  </si>
  <si>
    <t>2018-02-01|1492143|4182377|157.17309999999998</t>
  </si>
  <si>
    <t>2018-02-01|1518603|4182380|41.65</t>
  </si>
  <si>
    <t>2018-02-01|1038093|4181977|48.196</t>
  </si>
  <si>
    <t>2018-02-01|1329663|4180839|61.7684</t>
  </si>
  <si>
    <t>2018-02-01|1518033|4180238|13.2666</t>
  </si>
  <si>
    <t>2018-02-01|1292943|4182527|78.3442</t>
  </si>
  <si>
    <t>2018-02-01|210783|4181261|14.7583</t>
  </si>
  <si>
    <t>2018-02-01|1518723|4182873|56.3275</t>
  </si>
  <si>
    <t>2018-10-15|1547133|4850766|88.2593</t>
  </si>
  <si>
    <t>2018-10-15|1687713|4848979|21.1209</t>
  </si>
  <si>
    <t>2018-10-15|1010553|4849655|72.8552</t>
  </si>
  <si>
    <t>2018-10-15|1077423|4850056|150.5793</t>
  </si>
  <si>
    <t>2018-02-02|1510953|4184985|69.1341</t>
  </si>
  <si>
    <t>2018-02-02|1518903|4183570|27.575</t>
  </si>
  <si>
    <t>2018-02-02|1334643|4184554|84.9138</t>
  </si>
  <si>
    <t>2018-02-02|1284513|4183781|195.8536</t>
  </si>
  <si>
    <t>2018-02-02|1519083|4184288|114.5267</t>
  </si>
  <si>
    <t>2018-10-16|1543983|4851795|32.587</t>
  </si>
  <si>
    <t>2018-10-16|1689003|4854100|72.9169</t>
  </si>
  <si>
    <t>2018-10-16|1688973|4853986|136.6325</t>
  </si>
  <si>
    <t>2018-02-03|1519503|4185651|39.228500000000004</t>
  </si>
  <si>
    <t>2018-02-03|1519713|4186277|49.775</t>
  </si>
  <si>
    <t>2018-02-03|1351143|4185786|47.836899999999993</t>
  </si>
  <si>
    <t>2018-10-17|1687653|4856839|97.4006</t>
  </si>
  <si>
    <t>2018-10-17|1286103|4854469|130.5412</t>
  </si>
  <si>
    <t>2018-10-17|1442013|4856770|95.2423</t>
  </si>
  <si>
    <t>2018-10-17|1544253|4857051|55.0552</t>
  </si>
  <si>
    <t>2018-10-17|1689333|4855272|21.2417</t>
  </si>
  <si>
    <t>2018-02-04|1520613|4189664|86.4753</t>
  </si>
  <si>
    <t>2018-02-04|1046973|4191446|8.1314</t>
  </si>
  <si>
    <t>2018-02-04|1437663|4189190|137.4325</t>
  </si>
  <si>
    <t>2018-02-04|1520733|4190002|22.9167</t>
  </si>
  <si>
    <t>2018-02-04|1505163|4189904|56.0135</t>
  </si>
  <si>
    <t>2018-10-18|1673853|4857757|119.97460000000002</t>
  </si>
  <si>
    <t>2018-02-05|1521753|4194896|69.5</t>
  </si>
  <si>
    <t>2018-02-05|1397703|4194280|50.5167</t>
  </si>
  <si>
    <t>2018-02-05|1521963|4194903|9.9526</t>
  </si>
  <si>
    <t>2018-02-05|1275813|4192247|103.78679999999999</t>
  </si>
  <si>
    <t>2018-02-05|1521693|4193849|18.8698</t>
  </si>
  <si>
    <t>2018-02-05|1521093|4191638|92.5</t>
  </si>
  <si>
    <t>2018-10-19|1690593|4859758|13.7989</t>
  </si>
  <si>
    <t>2018-10-19|1690803|4860537|21.9583</t>
  </si>
  <si>
    <t>2018-10-19|1691013|4861293|26.7732</t>
  </si>
  <si>
    <t>2018-10-19|1691103|4861674|28.082</t>
  </si>
  <si>
    <t>2018-10-19|1139103|4860015|70.5579</t>
  </si>
  <si>
    <t>2018-02-06|278733|4195909|71.5166</t>
  </si>
  <si>
    <t>2018-02-06|1234593|4195585|68.9931</t>
  </si>
  <si>
    <t>2018-02-06|1381413|4195721|71.8805</t>
  </si>
  <si>
    <t>2018-02-06|1382673|4196787|36.679</t>
  </si>
  <si>
    <t>2018-02-06|1319343|4196160|46.912099999999995</t>
  </si>
  <si>
    <t>2018-02-06|485253|4197765|92.2557</t>
  </si>
  <si>
    <t>2018-10-20|1223673|4864041|132.5757</t>
  </si>
  <si>
    <t>2018-10-20|1691163|4861901|62.4167</t>
  </si>
  <si>
    <t>2018-10-20|1691823|4864121|9.0256</t>
  </si>
  <si>
    <t>2018-10-20|1341843|4863243|133.2374</t>
  </si>
  <si>
    <t>2018-10-20|1254663|4863541|60.7481</t>
  </si>
  <si>
    <t>2018-10-20|1299153|4863565|98.276800000000023</t>
  </si>
  <si>
    <t>2018-10-20|1209573|4862379|22.7948</t>
  </si>
  <si>
    <t>2018-02-07|1384563|4198653|82.5625</t>
  </si>
  <si>
    <t>2018-02-07|1184643|4200329|455.28360000000004</t>
  </si>
  <si>
    <t>2018-02-07|1138083|4200367|143.7558</t>
  </si>
  <si>
    <t>2018-02-07|1522173|4199559|60.585</t>
  </si>
  <si>
    <t>2018-02-07|1256073|4198788|72.2021</t>
  </si>
  <si>
    <t>2018-02-07|1220583|4200229|67.0127</t>
  </si>
  <si>
    <t>2018-02-07|1478673|4200371|41.0203</t>
  </si>
  <si>
    <t>2018-10-21|1692243|4865659|61.9559</t>
  </si>
  <si>
    <t>2018-10-21|1594203|4864264|145.22179999999997</t>
  </si>
  <si>
    <t>2018-10-21|1063383|4867309|43.688199999999995</t>
  </si>
  <si>
    <t>2018-10-21|1692033|4864828|84.2208</t>
  </si>
  <si>
    <t>2018-10-21|1692153|4865263|41.069500000000005</t>
  </si>
  <si>
    <t>2018-10-21|1645953|4865537|121.8139</t>
  </si>
  <si>
    <t>2018-10-21|1435293|4867171|73.9191</t>
  </si>
  <si>
    <t>2018-10-21|1692093|4865068|65.582000000000008</t>
  </si>
  <si>
    <t>2018-02-08|1457763|4203126|115.625</t>
  </si>
  <si>
    <t>2018-02-08|1030023|4202139|89.882200000000012</t>
  </si>
  <si>
    <t>2018-02-08|1523943|4202533|22.1059</t>
  </si>
  <si>
    <t>2018-02-08|358443|4202982|103.2188</t>
  </si>
  <si>
    <t>2018-02-08|1458843|4201867|13</t>
  </si>
  <si>
    <t>2018-10-22|1693023|4869049|69.0728</t>
  </si>
  <si>
    <t>2018-10-22|1690563|4869919|11.175</t>
  </si>
  <si>
    <t>2018-10-22|1693233|4869805|35.5352</t>
  </si>
  <si>
    <t>2018-10-22|1635813|4869130|89.9658</t>
  </si>
  <si>
    <t>2018-10-22|1457763|4868242|83.625</t>
  </si>
  <si>
    <t>2018-10-22|1588233|4869903|100.9622</t>
  </si>
  <si>
    <t>2018-10-22|217743|4868444|80.183100000000024</t>
  </si>
  <si>
    <t>2018-10-22|306303|4870326|82.324</t>
  </si>
  <si>
    <t>2018-10-22|414963|4867993|80.5424</t>
  </si>
  <si>
    <t>2018-10-22|1030023|4869995|114.36660000000002</t>
  </si>
  <si>
    <t>2018-10-22|1058073|4869041|72.4951</t>
  </si>
  <si>
    <t>2018-10-22|1611333|4868089|20.1875</t>
  </si>
  <si>
    <t>2018-10-22|1434813|4868847|258.49000000000007</t>
  </si>
  <si>
    <t>2018-10-22|1692993|4869090|70.5292</t>
  </si>
  <si>
    <t>2018-02-09|1435473|4203765|82.275</t>
  </si>
  <si>
    <t>2018-02-09|1516323|4204774|74.0718</t>
  </si>
  <si>
    <t>2018-02-09|1524393|4204196|64.4</t>
  </si>
  <si>
    <t>2018-02-09|1019493|4204399|118.7594</t>
  </si>
  <si>
    <t>2018-10-23|1612653|4872995|50.0407</t>
  </si>
  <si>
    <t>2018-10-23|1612473|4874534|26.8875</t>
  </si>
  <si>
    <t>2018-02-10|217743|4207076|75.843799999999987</t>
  </si>
  <si>
    <t>2018-02-10|1524873|4206136|68.7437</t>
  </si>
  <si>
    <t>2018-02-10|1463253|4206861|10.8333</t>
  </si>
  <si>
    <t>2018-02-10|1426383|4206331|112.84579999999998</t>
  </si>
  <si>
    <t>2018-02-10|1426383|4206342|99.391899999999993</t>
  </si>
  <si>
    <t>2018-02-10|1288833|4206901|13.302100000000001</t>
  </si>
  <si>
    <t>2018-02-10|1520883|4206413|68.6537</t>
  </si>
  <si>
    <t>2018-02-10|17043|4206847|34.2943</t>
  </si>
  <si>
    <t>2018-10-24|1489683|4878459|85.2004</t>
  </si>
  <si>
    <t>2018-10-24|1324833|4882458|31.5076</t>
  </si>
  <si>
    <t>2018-10-24|317883|4882497|18.0358</t>
  </si>
  <si>
    <t>2018-10-24|1696383|4882807|54.7987</t>
  </si>
  <si>
    <t>2018-10-24|1694823|4882533|11.282</t>
  </si>
  <si>
    <t>2018-10-24|1695903|4880949|92.2019</t>
  </si>
  <si>
    <t>2018-10-24|120693|4883814|18.9479</t>
  </si>
  <si>
    <t>2018-10-24|1692513|4878640|64.49839999999999</t>
  </si>
  <si>
    <t>2018-02-11|1525383|4207906|133.3333</t>
  </si>
  <si>
    <t>2018-02-11|1407573|4209022|77.7712</t>
  </si>
  <si>
    <t>2018-02-11|1455903|4208495|61.46540000000001</t>
  </si>
  <si>
    <t>2018-02-11|1038093|4209847|46.881199999999993</t>
  </si>
  <si>
    <t>2018-02-11|231783|4209580|126.01400000000001</t>
  </si>
  <si>
    <t>2018-02-11|1526073|4210506|45</t>
  </si>
  <si>
    <t>2018-02-11|1526163|4210955|30.055499999999995</t>
  </si>
  <si>
    <t>2018-10-25|343203|4889070|38.9858</t>
  </si>
  <si>
    <t>2018-10-25|1410633|4887076|78.316099999999992</t>
  </si>
  <si>
    <t>2018-10-25|1511583|4885932|51.4558</t>
  </si>
  <si>
    <t>2018-10-25|1696743|4884349|19.0212</t>
  </si>
  <si>
    <t>2018-02-12|384483|4212512|82.008600000000015</t>
  </si>
  <si>
    <t>2018-02-12|366003|4212432|110.53780000000002</t>
  </si>
  <si>
    <t>2018-02-12|884403|4212271|66.6668</t>
  </si>
  <si>
    <t>2018-02-12|1526223|4212799|49.9583</t>
  </si>
  <si>
    <t>2018-10-26|1592163|4892740|33.798500000000004</t>
  </si>
  <si>
    <t>2018-10-26|457413|4897346|75.1734</t>
  </si>
  <si>
    <t>2018-10-26|1546173|4897434|134.8836</t>
  </si>
  <si>
    <t>2018-10-26|1580073|4894842|49.4784</t>
  </si>
  <si>
    <t>2018-10-26|1700253|4898198|61.4261</t>
  </si>
  <si>
    <t>2018-10-26|1173993|4898938|79.8499</t>
  </si>
  <si>
    <t>2018-10-26|1442013|4895334|82.4662</t>
  </si>
  <si>
    <t>2018-10-26|1360593|4896621|23.9584</t>
  </si>
  <si>
    <t>2018-10-26|467223|4898809|92.9167</t>
  </si>
  <si>
    <t>2018-10-26|1134153|4898001|85.2128</t>
  </si>
  <si>
    <t>2018-02-13|1380573|4214114|33.25</t>
  </si>
  <si>
    <t>2018-02-13|1491273|4216183|70.66</t>
  </si>
  <si>
    <t>2018-02-13|1162143|4216058|124.4379</t>
  </si>
  <si>
    <t>2018-02-13|1527513|4216381|68.745</t>
  </si>
  <si>
    <t>2018-02-13|1128333|4214719|60.2502</t>
  </si>
  <si>
    <t>2018-02-13|1527213|4215182|2.9083</t>
  </si>
  <si>
    <t>2018-02-13|1410633|4215256|64.2807</t>
  </si>
  <si>
    <t>2018-10-27|485253|4903726|103.365</t>
  </si>
  <si>
    <t>2018-10-27|278733|4903777|67.1905</t>
  </si>
  <si>
    <t>2018-10-27|1110273|4899870|84.7124</t>
  </si>
  <si>
    <t>2018-10-27|1702293|4905302|88.0933</t>
  </si>
  <si>
    <t>2018-10-27|1701573|4902977|24.7701</t>
  </si>
  <si>
    <t>2018-10-27|1680573|4902126|40.122</t>
  </si>
  <si>
    <t>2018-10-27|1701633|4903146|65.8314</t>
  </si>
  <si>
    <t>2018-10-27|1141683|4904082|78.717199999999991</t>
  </si>
  <si>
    <t>2018-10-27|1245363|4904809|86.6259</t>
  </si>
  <si>
    <t>2018-10-27|1701393|4902341|70.116199999999992</t>
  </si>
  <si>
    <t>2018-02-14|1527813|4217594|39.483000000000004</t>
  </si>
  <si>
    <t>2018-02-14|1527693|4217088|42.607</t>
  </si>
  <si>
    <t>2018-10-28|1703133|4908594|66.5751</t>
  </si>
  <si>
    <t>2018-10-28|1255503|4907233|84.551300000000012</t>
  </si>
  <si>
    <t>2018-10-28|1672743|4908605|62.9154</t>
  </si>
  <si>
    <t>2018-10-28|1704633|4915930|55.5374</t>
  </si>
  <si>
    <t>2018-10-28|1618653|4909614|53.380300000000005</t>
  </si>
  <si>
    <t>2018-10-28|1428633|4909762|137.49829999999997</t>
  </si>
  <si>
    <t>2018-10-28|1261383|4911682|76.274999999999991</t>
  </si>
  <si>
    <t>2018-10-28|1163223|4916070|57.6413</t>
  </si>
  <si>
    <t>2018-10-28|328023|4906910|61.2953</t>
  </si>
  <si>
    <t>2018-10-28|1704873|4916630|30.120800000000003</t>
  </si>
  <si>
    <t>2018-10-28|1423773|4911741|126.84209999999999</t>
  </si>
  <si>
    <t>2018-02-15|1322583|4219352|68.745</t>
  </si>
  <si>
    <t>2018-02-15|1528053|4221371|80.720400000000012</t>
  </si>
  <si>
    <t>2018-02-15|1528773|4221263|14.6846</t>
  </si>
  <si>
    <t>2018-02-15|1528503|4220344|125.5934</t>
  </si>
  <si>
    <t>2018-02-15|1446543|4219628|38.6239</t>
  </si>
  <si>
    <t>2018-02-15|1528353|4219686|64.9892</t>
  </si>
  <si>
    <t>2018-02-15|1267803|4221240|63.105</t>
  </si>
  <si>
    <t>2018-02-15|1176873|4220859|70.712</t>
  </si>
  <si>
    <t>2018-10-29|212493|4923458|79.0342</t>
  </si>
  <si>
    <t>2018-10-29|1433613|4923730|29.8425</t>
  </si>
  <si>
    <t>2018-10-29|1707273|4925893|62.5212</t>
  </si>
  <si>
    <t>2018-10-29|197373|4919057|54.5459</t>
  </si>
  <si>
    <t>2018-10-29|1705413|4919677|65.2739</t>
  </si>
  <si>
    <t>2018-10-29|1699773|4925670|53.0895</t>
  </si>
  <si>
    <t>2018-10-29|1706313|4922622|40.922200000000004</t>
  </si>
  <si>
    <t>2018-10-29|1636413|4923530|56.3831</t>
  </si>
  <si>
    <t>2018-10-29|1369833|4918625|84.965499999999992</t>
  </si>
  <si>
    <t>2018-02-16|1529133|4222584|20.1819</t>
  </si>
  <si>
    <t>2018-02-16|1426383|4222969|111.5962</t>
  </si>
  <si>
    <t>2018-02-16|1529193|4222741|44.6321</t>
  </si>
  <si>
    <t>2018-02-16|1253823|4223149|69.2666</t>
  </si>
  <si>
    <t>2018-10-30|1144893|4934293|53.3125</t>
  </si>
  <si>
    <t>2018-10-30|426423|4930437|99.487199999999987</t>
  </si>
  <si>
    <t>2018-10-30|1709013|4932465|20.425</t>
  </si>
  <si>
    <t>2018-10-30|1426383|4928813|97.0116</t>
  </si>
  <si>
    <t>2018-10-30|1369353|4933209|43.7916</t>
  </si>
  <si>
    <t>2018-10-30|1709133|4933465|24.4633</t>
  </si>
  <si>
    <t>2018-10-30|948573|4933373|29.2408</t>
  </si>
  <si>
    <t>2018-10-30|1709073|4932657|15.8912</t>
  </si>
  <si>
    <t>2018-10-30|1397703|4929713|55.4416</t>
  </si>
  <si>
    <t>2018-02-17|1236333|4223631|94.5557</t>
  </si>
  <si>
    <t>2018-02-17|1529913|4225210|54.4389</t>
  </si>
  <si>
    <t>2018-02-17|1237893|4224520|69.461700000000008</t>
  </si>
  <si>
    <t>2018-02-17|1248333|4224433|33.1666</t>
  </si>
  <si>
    <t>2018-02-17|1438953|4223921|32.4501</t>
  </si>
  <si>
    <t>2018-10-31|1708653|4940473|54.5524</t>
  </si>
  <si>
    <t>2018-10-31|1618173|4943293|46.2542</t>
  </si>
  <si>
    <t>2018-10-31|1709433|4942049|21.2166</t>
  </si>
  <si>
    <t>2018-10-31|1214823|4940773|98.6003</t>
  </si>
  <si>
    <t>2018-10-31|1495833|4943737|59.0081</t>
  </si>
  <si>
    <t>2018-10-31|1669353|4935121|62.079499999999996</t>
  </si>
  <si>
    <t>2018-10-31|367683|4942473|59.776499999999992</t>
  </si>
  <si>
    <t>2018-10-31|1291233|4944749|83.0471</t>
  </si>
  <si>
    <t>2018-02-18|1491483|4228095|59.688100000000006</t>
  </si>
  <si>
    <t>2018-02-18|1060173|4227747|62.475799999999992</t>
  </si>
  <si>
    <t>2018-02-18|1204983|4226207|64.6328</t>
  </si>
  <si>
    <t>2018-02-18|1428633|4225997|143.6362</t>
  </si>
  <si>
    <t>2018-02-18|1530243|4226431|68.13</t>
  </si>
  <si>
    <t>2018-02-18|1530153|4226149|20.6234</t>
  </si>
  <si>
    <t>2018-11-01|1334643|4947449|136.1136</t>
  </si>
  <si>
    <t>2018-11-01|1713333|4949681|50.0437</t>
  </si>
  <si>
    <t>2018-11-01|1703733|4947561|202.9058</t>
  </si>
  <si>
    <t>2018-11-01|1048983|4952681|41.0834</t>
  </si>
  <si>
    <t>2018-11-01|1713393|4951005|139.8881</t>
  </si>
  <si>
    <t>2018-11-01|1666593|4950101|35.8023</t>
  </si>
  <si>
    <t>2018-11-01|1713693|4951145|44.6076</t>
  </si>
  <si>
    <t>2018-11-01|1478463|4954381|38.860099999999996</t>
  </si>
  <si>
    <t>2018-11-01|1156023|4948497|52.2951</t>
  </si>
  <si>
    <t>2018-11-01|1102863|4955961|48.8151</t>
  </si>
  <si>
    <t>2018-11-01|1567323|4955737|105.58129999999998</t>
  </si>
  <si>
    <t>2018-11-01|1714173|4952909|17.794</t>
  </si>
  <si>
    <t>2018-02-19|1519083|4229780|114.5912</t>
  </si>
  <si>
    <t>2018-02-19|392763|4230584|141.9572</t>
  </si>
  <si>
    <t>2018-02-19|1531503|4231129|28.685499999999998</t>
  </si>
  <si>
    <t>2018-02-19|1530993|4229339|111.8484</t>
  </si>
  <si>
    <t>2018-02-19|1455873|4228619|74.3893</t>
  </si>
  <si>
    <t>2018-11-02|1717773|4965445|19.16</t>
  </si>
  <si>
    <t>2018-11-02|1716813|4962481|62.6583</t>
  </si>
  <si>
    <t>2018-11-02|1715973|4959165|19.9917</t>
  </si>
  <si>
    <t>2018-11-02|1716513|4961141|34.07</t>
  </si>
  <si>
    <t>2018-11-02|1717833|4965689|249.2964</t>
  </si>
  <si>
    <t>2018-11-02|1718073|4966509|21.3037</t>
  </si>
  <si>
    <t>2018-02-20|1345623|4233721|39.3333</t>
  </si>
  <si>
    <t>2018-02-20|1077423|4233080|201.0529</t>
  </si>
  <si>
    <t>2018-02-20|1530873|4231899|73.03649999999999</t>
  </si>
  <si>
    <t>2018-02-20|1433553|4232270|51.7703</t>
  </si>
  <si>
    <t>2018-02-20|1531563|4231375|35.4408</t>
  </si>
  <si>
    <t>2018-11-03|1137723|4971945|116.1214</t>
  </si>
  <si>
    <t>2018-11-03|1719333|4970629|40.2893</t>
  </si>
  <si>
    <t>2018-11-03|1715553|4967953|45.4208</t>
  </si>
  <si>
    <t>2018-11-03|1561233|4974993|72.6789</t>
  </si>
  <si>
    <t>2018-11-03|1648083|4976509|73.7425</t>
  </si>
  <si>
    <t>2018-11-03|1653453|4968865|63.951000000000008</t>
  </si>
  <si>
    <t>2018-11-03|1287393|4969601|135.69270000000003</t>
  </si>
  <si>
    <t>2018-02-21|1089273|4235184|72.8164</t>
  </si>
  <si>
    <t>2018-02-21|996933|4234573|191.67300000000003</t>
  </si>
  <si>
    <t>2018-02-21|1286103|4236320|195.44209999999995</t>
  </si>
  <si>
    <t>2018-02-21|1306983|4235751|139.9049</t>
  </si>
  <si>
    <t>2018-11-04|1547883|4988373|64.971</t>
  </si>
  <si>
    <t>2018-11-04|1046973|4990881|128.3237</t>
  </si>
  <si>
    <t>2018-11-04|1542783|4987217|40.392199999999995</t>
  </si>
  <si>
    <t>2018-11-04|1725153|4990897|69.7571</t>
  </si>
  <si>
    <t>2018-11-04|1405893|4984369|136.3213</t>
  </si>
  <si>
    <t>2018-02-22|1533183|4238398|92.771599999999992</t>
  </si>
  <si>
    <t>2018-02-22|1379253|4237679|87.8023</t>
  </si>
  <si>
    <t>2018-02-22|1533273|4238191|149.9925</t>
  </si>
  <si>
    <t>2018-02-22|1318413|4238284|65.9238</t>
  </si>
  <si>
    <t>2018-02-22|1504203|4236492|184.575</t>
  </si>
  <si>
    <t>2018-11-05|1723353|5001337|94.452999999999989</t>
  </si>
  <si>
    <t>2018-11-05|473733|4995509|29.97</t>
  </si>
  <si>
    <t>2018-11-05|1426383|4997497|86.526299999999992</t>
  </si>
  <si>
    <t>2018-11-05|1728633|5005025|14.5577</t>
  </si>
  <si>
    <t>2018-11-05|1334313|5004785|38.4722</t>
  </si>
  <si>
    <t>2018-11-05|1217883|4996017|100.19219999999999</t>
  </si>
  <si>
    <t>2018-11-05|1725633|4993005|59.7498</t>
  </si>
  <si>
    <t>2018-11-05|1726653|5007249|63.0739</t>
  </si>
  <si>
    <t>2018-11-05|1727013|4999101|73.8661</t>
  </si>
  <si>
    <t>2018-11-05|1727193|5002085|15.25</t>
  </si>
  <si>
    <t>2018-11-05|1722093|5006305|64.9425</t>
  </si>
  <si>
    <t>2018-11-05|174933|4996749|85.8708</t>
  </si>
  <si>
    <t>2018-02-23|1510953|4239262|189.35289999999998</t>
  </si>
  <si>
    <t>2018-02-23|1532433|4239554|10.532699999999998</t>
  </si>
  <si>
    <t>2018-11-06|1305483|5017352|72.7959</t>
  </si>
  <si>
    <t>2018-11-06|1712253|5008681|129.8483</t>
  </si>
  <si>
    <t>2018-11-06|1732233|5018490|12.1011</t>
  </si>
  <si>
    <t>2018-11-06|1729773|5009285|26.2084</t>
  </si>
  <si>
    <t>2018-11-06|1729293|5007705|68.258</t>
  </si>
  <si>
    <t>2018-11-06|265773|5015921|81.571300000000008</t>
  </si>
  <si>
    <t>2018-11-06|1452153|5015571|42.107600000000005</t>
  </si>
  <si>
    <t>2018-11-06|1719633|5012345|74</t>
  </si>
  <si>
    <t>2018-11-06|1732233|5018537|12.1011</t>
  </si>
  <si>
    <t>2018-11-06|1151883|5012253|82.2524</t>
  </si>
  <si>
    <t>2018-11-06|1077423|5018199|65.582199999999986</t>
  </si>
  <si>
    <t>2018-02-24|1292223|4241945|57.585</t>
  </si>
  <si>
    <t>2018-02-24|1534473|4242528|47.094799999999992</t>
  </si>
  <si>
    <t>2018-02-24|1413543|4242207|110.68709999999997</t>
  </si>
  <si>
    <t>2018-02-24|1534623|4243026|36.1186</t>
  </si>
  <si>
    <t>2018-11-07|1734513|5026839|7.4925</t>
  </si>
  <si>
    <t>2018-11-07|1732683|5019903|21.9253</t>
  </si>
  <si>
    <t>2018-11-07|231213|5021800|122.7764</t>
  </si>
  <si>
    <t>2018-11-07|1733913|5024571|63.125</t>
  </si>
  <si>
    <t>2018-11-07|1733643|5026836|60.465199999999989</t>
  </si>
  <si>
    <t>2018-11-07|1194483|5026983|96.0927</t>
  </si>
  <si>
    <t>2018-11-07|1594803|5028006|26.645599999999998</t>
  </si>
  <si>
    <t>2018-11-07|1733193|5021830|28.1916</t>
  </si>
  <si>
    <t>2018-02-25|1535313|4245647|21.1868</t>
  </si>
  <si>
    <t>2018-02-25|234783|4246063|280.8655</t>
  </si>
  <si>
    <t>2018-02-25|1535193|4245185|72.3672</t>
  </si>
  <si>
    <t>2018-02-25|1535343|4245835|13.871400000000001</t>
  </si>
  <si>
    <t>2018-02-25|437733|4245824|63.809799999999996</t>
  </si>
  <si>
    <t>2018-02-25|367683|4245184|47.053099999999993</t>
  </si>
  <si>
    <t>2018-02-25|1533513|4244424|105.9297</t>
  </si>
  <si>
    <t>2018-02-25|1389153|4245404|29.7536</t>
  </si>
  <si>
    <t>2018-02-25|1074813|4246217|58.863499999999995</t>
  </si>
  <si>
    <t>2018-11-08|1736403|5033751|15.8738</t>
  </si>
  <si>
    <t>2018-11-08|1737573|5037864|13.2227</t>
  </si>
  <si>
    <t>2018-11-08|1736073|5035581|19.6818</t>
  </si>
  <si>
    <t>2018-11-08|1628463|5035521|38.420599999999993</t>
  </si>
  <si>
    <t>2018-11-08|1736763|5035032|16.3317</t>
  </si>
  <si>
    <t>2018-11-08|1499163|5032128|100.7644</t>
  </si>
  <si>
    <t>2018-11-08|1128333|5034666|67.9974</t>
  </si>
  <si>
    <t>2018-11-08|1733463|5032332|25.6944</t>
  </si>
  <si>
    <t>2018-11-08|1513473|5030750|105.33489999999999</t>
  </si>
  <si>
    <t>2018-11-08|1737453|5037390|41.4021</t>
  </si>
  <si>
    <t>2018-02-26|1511583|4247828|69.3168</t>
  </si>
  <si>
    <t>2018-02-26|1536243|4249206|166</t>
  </si>
  <si>
    <t>2018-02-26|1536243|4249257|145.3334</t>
  </si>
  <si>
    <t>2018-02-26|1511853|4247049|43.899799999999992</t>
  </si>
  <si>
    <t>2018-02-26|1155453|4247986|52.310599999999994</t>
  </si>
  <si>
    <t>2018-02-26|248073|4249721|67.0313</t>
  </si>
  <si>
    <t>2018-02-26|1400133|4250150|20.4849</t>
  </si>
  <si>
    <t>2018-02-26|1261383|4248159|128.42220000000003</t>
  </si>
  <si>
    <t>2018-11-09|1737153|5040309|34.8134</t>
  </si>
  <si>
    <t>2018-11-09|1739193|5043999|7.123</t>
  </si>
  <si>
    <t>2018-11-09|1604373|5043408|69.367499999999993</t>
  </si>
  <si>
    <t>2018-11-09|1739073|5043555|25.579900000000002</t>
  </si>
  <si>
    <t>2018-11-09|1678863|5040588|49.2912</t>
  </si>
  <si>
    <t>2018-11-09|1737723|5038503|39.0833</t>
  </si>
  <si>
    <t>2018-11-09|1738623|5041920|7.1175</t>
  </si>
  <si>
    <t>2018-11-09|1630143|5038026|13.8</t>
  </si>
  <si>
    <t>2018-11-09|1626093|5045655|94.0054</t>
  </si>
  <si>
    <t>2018-02-27|481893|4251056|88.2918</t>
  </si>
  <si>
    <t>2018-02-27|1427553|4251787|96.7128</t>
  </si>
  <si>
    <t>2018-02-27|1151883|4250452|68.642299999999992</t>
  </si>
  <si>
    <t>2018-02-27|323583|4252001|120.2137</t>
  </si>
  <si>
    <t>2018-02-27|1537083|4252460|23.1787</t>
  </si>
  <si>
    <t>2018-02-27|1536903|4251840|49.2479</t>
  </si>
  <si>
    <t>2018-02-27|1440333|4252138|62.9332</t>
  </si>
  <si>
    <t>2018-02-27|1536813|4251568|13.825</t>
  </si>
  <si>
    <t>2018-02-27|1447083|4253213|129.0496</t>
  </si>
  <si>
    <t>2018-02-27|1537203|4253124|30.59</t>
  </si>
  <si>
    <t>2018-11-10|1197873|5051592|54.5919</t>
  </si>
  <si>
    <t>2018-11-10|1738983|5047890|108.8089</t>
  </si>
  <si>
    <t>2018-11-10|1740243|5051352|64.7388</t>
  </si>
  <si>
    <t>2018-11-10|1740963|5049714|5.6881</t>
  </si>
  <si>
    <t>2018-11-10|1741833|5052600|28.200000000000003</t>
  </si>
  <si>
    <t>2018-11-10|1607913|5051721|216.6608</t>
  </si>
  <si>
    <t>2018-11-10|1740453|5048148|85.8334</t>
  </si>
  <si>
    <t>2018-11-10|1138083|5052156|149.9933</t>
  </si>
  <si>
    <t>2018-02-28|1478823|4253760|69.7266</t>
  </si>
  <si>
    <t>2018-02-28|1339833|4255698|44.810999999999993</t>
  </si>
  <si>
    <t>2018-02-28|473733|4254211|29.04</t>
  </si>
  <si>
    <t>2018-02-28|1405383|4253765|111.95920000000001</t>
  </si>
  <si>
    <t>2018-02-28|359103|4253645|2.75</t>
  </si>
  <si>
    <t>2018-02-28|1335123|4254075|87.731699999999989</t>
  </si>
  <si>
    <t>2018-02-28|1058073|4253943|96.412200000000013</t>
  </si>
  <si>
    <t>2018-11-11|1744533|5061690|12.6792</t>
  </si>
  <si>
    <t>2018-11-11|1496013|5055957|169.72959999999998</t>
  </si>
  <si>
    <t>2018-11-11|1744983|5063154|28.2084</t>
  </si>
  <si>
    <t>2018-11-11|1073343|5064483|29.249999999999996</t>
  </si>
  <si>
    <t>2018-11-11|359853|5066556|203.3333</t>
  </si>
  <si>
    <t>2018-11-11|1151013|5056890|133.08040000000003</t>
  </si>
  <si>
    <t>2018-11-11|1745733|5065905|52.8938</t>
  </si>
  <si>
    <t>2018-11-11|1741923|5055984|31.8679</t>
  </si>
  <si>
    <t>2018-11-11|1625403|5056821|38.7392</t>
  </si>
  <si>
    <t>2018-11-11|228423|5063478|216.0071</t>
  </si>
  <si>
    <t>2018-11-11|1745193|5064225|39.626</t>
  </si>
  <si>
    <t>2018-11-11|1743963|5059869|20.186000000000003</t>
  </si>
  <si>
    <t>2018-11-11|1744563|5066946|70.1958</t>
  </si>
  <si>
    <t>2018-11-11|1745163|5063793|19.485</t>
  </si>
  <si>
    <t>2018-11-11|1743453|5058084|28.9834</t>
  </si>
  <si>
    <t>2018-11-11|423153|5057751|152.2211</t>
  </si>
  <si>
    <t>2018-11-11|1744893|5062782|118.65399999999998</t>
  </si>
  <si>
    <t>2018-11-11|1744383|5061162|19.7499</t>
  </si>
  <si>
    <t>2018-11-11|1741863|5055894|11.925</t>
  </si>
  <si>
    <t>2018-11-11|1746063|5067201|53.734600000000007</t>
  </si>
  <si>
    <t>2018-11-11|1455903|5061933|74.995100000000008</t>
  </si>
  <si>
    <t>2018-03-01|63963|4258897|38.9617</t>
  </si>
  <si>
    <t>2018-03-01|91623|4256827|37.5816</t>
  </si>
  <si>
    <t>2018-03-01|1539003|4259936|51.51</t>
  </si>
  <si>
    <t>2018-03-01|477483|4257682|69.035199999999989</t>
  </si>
  <si>
    <t>2018-03-01|1538223|4256777|15.825</t>
  </si>
  <si>
    <t>2018-03-01|1539063|4260154|12.276</t>
  </si>
  <si>
    <t>2018-11-12|1748823|5077821|36.3786</t>
  </si>
  <si>
    <t>2018-11-12|1748163|5075238|40.4829</t>
  </si>
  <si>
    <t>2018-11-12|1748493|5076462|21.6083</t>
  </si>
  <si>
    <t>2018-11-12|996933|5074290|252.41929999999994</t>
  </si>
  <si>
    <t>2018-11-12|1533513|5069709|124.35959999999999</t>
  </si>
  <si>
    <t>2018-11-12|1409553|5069094|95.806899999999985</t>
  </si>
  <si>
    <t>2018-11-12|1749123|5079285|24.925199999999997</t>
  </si>
  <si>
    <t>2018-11-12|1615683|5077995|20.870800000000003</t>
  </si>
  <si>
    <t>2018-11-12|1588893|5073861|22.524</t>
  </si>
  <si>
    <t>2018-11-12|146283|5076405|120.0834</t>
  </si>
  <si>
    <t>2018-11-12|306303|5077800|97.092100000000016</t>
  </si>
  <si>
    <t>2018-11-12|77973|5068383|15.7332</t>
  </si>
  <si>
    <t>2018-11-12|1236333|5076342|83.578499999999991</t>
  </si>
  <si>
    <t>2018-11-12|1736523|5069304|52.2549</t>
  </si>
  <si>
    <t>2018-11-12|1747713|5073891|29.5951</t>
  </si>
  <si>
    <t>2018-03-02|1296513|4260995|45.003000000000007</t>
  </si>
  <si>
    <t>2018-03-02|1327233|4260861|41.962</t>
  </si>
  <si>
    <t>2018-03-02|1188093|4262623|36.0433</t>
  </si>
  <si>
    <t>2018-03-02|1539153|4260471|14.8096</t>
  </si>
  <si>
    <t>2018-03-02|1030023|4260798|76.811300000000017</t>
  </si>
  <si>
    <t>2018-03-02|1210233|4261754|33.781800000000004</t>
  </si>
  <si>
    <t>2018-03-02|1407333|4262022|57.101699999999994</t>
  </si>
  <si>
    <t>2018-11-13|1749693|5082060|65.403</t>
  </si>
  <si>
    <t>2018-11-13|1505163|5080434|101.10109999999999</t>
  </si>
  <si>
    <t>2018-11-13|1750653|5085018|31.941799999999997</t>
  </si>
  <si>
    <t>2018-11-13|1750683|5085102|20.838</t>
  </si>
  <si>
    <t>2018-11-13|1750443|5084250|71.7</t>
  </si>
  <si>
    <t>2018-11-13|1750533|5084574|55.9341</t>
  </si>
  <si>
    <t>2018-11-13|1750323|5083827|8.75</t>
  </si>
  <si>
    <t>2018-11-13|1718313|5086428|90.625</t>
  </si>
  <si>
    <t>2018-11-13|1751253|5086965|13.8239</t>
  </si>
  <si>
    <t>2018-11-13|1519623|5087631|65.0312</t>
  </si>
  <si>
    <t>2018-11-13|1669353|5079981|71.8741</t>
  </si>
  <si>
    <t>2018-11-13|1407333|5085777|131.98229999999998</t>
  </si>
  <si>
    <t>2018-11-13|450963|5086302|66.421</t>
  </si>
  <si>
    <t>2018-03-03|1423773|4263934|86.2032</t>
  </si>
  <si>
    <t>2018-03-03|1046973|4263943|7.1104</t>
  </si>
  <si>
    <t>2018-03-03|1434813|4263710|298.7627</t>
  </si>
  <si>
    <t>2018-03-03|1167393|4264485|96.2865</t>
  </si>
  <si>
    <t>2018-03-03|1441353|4264146|112.7866</t>
  </si>
  <si>
    <t>2018-03-03|1458843|4263636|34.370099999999994</t>
  </si>
  <si>
    <t>2018-11-14|1754043|5096802|78.1847</t>
  </si>
  <si>
    <t>2018-11-14|1332093|5089167|38.5596</t>
  </si>
  <si>
    <t>2018-11-14|1753053|5093655|25.0165</t>
  </si>
  <si>
    <t>2018-11-14|217743|5094702|128.18110000000001</t>
  </si>
  <si>
    <t>2018-11-14|1752333|5091009|33.2917</t>
  </si>
  <si>
    <t>2018-11-14|1754103|5097078|50.6261</t>
  </si>
  <si>
    <t>2018-11-14|1535193|5092110|30.0199</t>
  </si>
  <si>
    <t>2018-11-14|1752663|5092173|35.552299999999995</t>
  </si>
  <si>
    <t>2018-11-14|1753773|5095848|54.576400000000007</t>
  </si>
  <si>
    <t>2018-11-14|62733|5096391|29.7</t>
  </si>
  <si>
    <t>2018-11-14|1753443|5094837|35.072100000000006</t>
  </si>
  <si>
    <t>2018-11-14|1752153|5090427|78.8539</t>
  </si>
  <si>
    <t>2018-03-04|257913|4269055|209.48489999999998</t>
  </si>
  <si>
    <t>2018-03-04|1530873|4267949|17.732799999999997</t>
  </si>
  <si>
    <t>2018-03-04|1397703|4265624|44.604600000000005</t>
  </si>
  <si>
    <t>2018-03-04|1333263|4265496|110.57130000000001</t>
  </si>
  <si>
    <t>2018-03-04|491733|4267144|80.3816</t>
  </si>
  <si>
    <t>2018-11-15|120213|5098704|65.6198</t>
  </si>
  <si>
    <t>2018-11-15|1752903|5098719|65.780599999999993</t>
  </si>
  <si>
    <t>2018-11-15|1360233|5103993|60.655399999999993</t>
  </si>
  <si>
    <t>2018-11-15|334263|5099856|53.5336</t>
  </si>
  <si>
    <t>2018-11-15|1756143|5105115|72.2358</t>
  </si>
  <si>
    <t>2018-11-15|1755453|5102163|28.3263</t>
  </si>
  <si>
    <t>2018-11-15|1754433|5098143|17.2763</t>
  </si>
  <si>
    <t>2018-11-15|1367703|5102112|42.8498</t>
  </si>
  <si>
    <t>2018-03-05|1541583|4269377|25.7361</t>
  </si>
  <si>
    <t>2018-03-05|1058073|4270740|5.7333</t>
  </si>
  <si>
    <t>2018-03-05|1418553|4269637|57.412800000000004</t>
  </si>
  <si>
    <t>2018-03-05|1542183|4271813|87.427</t>
  </si>
  <si>
    <t>2018-03-05|1344573|4269663|93.066600000000008</t>
  </si>
  <si>
    <t>2018-03-05|1286103|4269301|180.393</t>
  </si>
  <si>
    <t>2018-03-05|1542243|4271939|12.366700000000002</t>
  </si>
  <si>
    <t>2018-03-05|242553|4272076|49.8576</t>
  </si>
  <si>
    <t>2018-11-16|1757463|5109249|57.2068</t>
  </si>
  <si>
    <t>2018-11-16|423153|5112255|60.5423</t>
  </si>
  <si>
    <t>2018-11-16|1341933|5110290|34.8904</t>
  </si>
  <si>
    <t>2018-11-16|1738923|5111967|53.068000000000005</t>
  </si>
  <si>
    <t>2018-11-16|63723|5107212|51.820400000000006</t>
  </si>
  <si>
    <t>2018-11-16|1757493|5109231|53.0427</t>
  </si>
  <si>
    <t>2018-11-16|1746933|5109831|58.3553</t>
  </si>
  <si>
    <t>2018-11-16|1757193|5108364|99.033</t>
  </si>
  <si>
    <t>2018-11-16|1757973|5110875|45.9166</t>
  </si>
  <si>
    <t>2018-11-16|1758423|5112333|17.5355</t>
  </si>
  <si>
    <t>2018-03-06|1543143|4275340|64.4381</t>
  </si>
  <si>
    <t>2018-03-06|1185603|4274771|58.7314</t>
  </si>
  <si>
    <t>2018-03-06|366003|4274384|99.519999999999982</t>
  </si>
  <si>
    <t>2018-03-06|1543353|4276005|25.7338</t>
  </si>
  <si>
    <t>2018-03-06|1542783|4274593|36.875</t>
  </si>
  <si>
    <t>2018-03-06|1542573|4273404|14.9917</t>
  </si>
  <si>
    <t>2018-03-06|318843|4274927|38.1946</t>
  </si>
  <si>
    <t>2018-03-06|1542813|4274215|29.9834</t>
  </si>
  <si>
    <t>2018-11-17|1760403|5119611|115.8333</t>
  </si>
  <si>
    <t>2018-11-17|1759473|5116098|31.666600000000003</t>
  </si>
  <si>
    <t>2018-11-17|1759143|5114967|27.1191</t>
  </si>
  <si>
    <t>2018-11-17|1759533|5116644|57.801899999999996</t>
  </si>
  <si>
    <t>2018-11-17|1407333|5117631|104.5679</t>
  </si>
  <si>
    <t>2018-11-17|1237893|5118333|108.59119999999999</t>
  </si>
  <si>
    <t>2018-11-17|1510383|5118624|80.551300000000012</t>
  </si>
  <si>
    <t>2018-11-17|1759293|5115546|24.9167</t>
  </si>
  <si>
    <t>2018-11-17|1245363|5120928|71.651</t>
  </si>
  <si>
    <t>2018-11-17|1760613|5120085|68.845099999999988</t>
  </si>
  <si>
    <t>2018-11-17|1760313|5119047|35.0493</t>
  </si>
  <si>
    <t>2018-11-17|1758993|5114592|21.1084</t>
  </si>
  <si>
    <t>2018-11-17|1759023|5114637|7.2109</t>
  </si>
  <si>
    <t>2018-11-17|1409583|5113572|85.6526</t>
  </si>
  <si>
    <t>2018-11-17|1760643|5120187|31.1875</t>
  </si>
  <si>
    <t>2018-03-07|1423773|4278428|69.635500000000008</t>
  </si>
  <si>
    <t>2018-03-07|1543923|4278089|60.3976</t>
  </si>
  <si>
    <t>2018-03-07|1341843|4279128|122.55879999999999</t>
  </si>
  <si>
    <t>2018-03-07|1291233|4278107|80.230899999999991</t>
  </si>
  <si>
    <t>2018-03-07|1368123|4276826|39.4393</t>
  </si>
  <si>
    <t>2018-03-07|1544253|4279189|82.1712</t>
  </si>
  <si>
    <t>2018-03-07|1543953|4278170|13.2365</t>
  </si>
  <si>
    <t>2018-11-18|1762653|5127111|46.0346</t>
  </si>
  <si>
    <t>2018-11-18|1763853|5131566|27.3583</t>
  </si>
  <si>
    <t>2018-11-18|1761573|5123493|74.2334</t>
  </si>
  <si>
    <t>2018-11-18|1351803|5125812|100.90530000000001</t>
  </si>
  <si>
    <t>2018-11-18|1764093|5132481|38.9667</t>
  </si>
  <si>
    <t>2018-11-18|1759203|5124984|53.0542</t>
  </si>
  <si>
    <t>2018-11-18|1762683|5127237|26.8458</t>
  </si>
  <si>
    <t>2018-11-18|1758333|5125986|72.90570000000001</t>
  </si>
  <si>
    <t>2018-11-18|1125543|5132808|64.0038</t>
  </si>
  <si>
    <t>2018-11-18|1763583|5130369|71.5873</t>
  </si>
  <si>
    <t>2018-11-18|1040523|5126868|67.281700000000015</t>
  </si>
  <si>
    <t>2018-11-18|1220073|5124441|118.4296</t>
  </si>
  <si>
    <t>2018-11-18|1763553|5130252|19.6288</t>
  </si>
  <si>
    <t>2018-11-18|1763133|5128788|27.1154</t>
  </si>
  <si>
    <t>2018-11-18|1762263|5125782|31.7536</t>
  </si>
  <si>
    <t>2018-11-18|1651263|5126298|29.0167</t>
  </si>
  <si>
    <t>2018-11-18|1676103|5132799|113.9623</t>
  </si>
  <si>
    <t>2018-11-18|1635813|5124447|84.6518</t>
  </si>
  <si>
    <t>2018-11-18|1762443|5126502|5.656</t>
  </si>
  <si>
    <t>2018-11-18|1761633|5123661|12.4563</t>
  </si>
  <si>
    <t>2018-03-08|1544523|4280251|95.26</t>
  </si>
  <si>
    <t>2018-03-08|1478673|4281781|69.8318</t>
  </si>
  <si>
    <t>2018-03-08|1544043|4279493|134.7</t>
  </si>
  <si>
    <t>2018-03-08|1545003|4282000|23.4603</t>
  </si>
  <si>
    <t>2018-03-08|1145583|4281912|64.2482</t>
  </si>
  <si>
    <t>2018-11-19|1741203|5140881|50.1415</t>
  </si>
  <si>
    <t>2018-11-19|1765713|5139159|8.5806</t>
  </si>
  <si>
    <t>2018-11-19|1765233|5137140|47.4209</t>
  </si>
  <si>
    <t>2018-11-19|1767423|5145396|11.6167</t>
  </si>
  <si>
    <t>2018-11-19|344343|5139621|66.4671</t>
  </si>
  <si>
    <t>2018-11-19|1722513|5137782|64.3366</t>
  </si>
  <si>
    <t>2018-11-19|1602633|5138205|33.076800000000006</t>
  </si>
  <si>
    <t>2018-11-19|1442013|5138718|110.6591</t>
  </si>
  <si>
    <t>2018-11-19|1767603|5145981|34.5033</t>
  </si>
  <si>
    <t>2018-11-19|1766133|5141163|339.625</t>
  </si>
  <si>
    <t>2018-11-19|1767813|5146773|16.26</t>
  </si>
  <si>
    <t>2018-11-19|1711593|5143536|57.4</t>
  </si>
  <si>
    <t>2018-11-19|1764993|5136105|62.7094</t>
  </si>
  <si>
    <t>2018-11-19|1766343|5141877|69.111</t>
  </si>
  <si>
    <t>2018-11-19|1348683|5142702|72.7054</t>
  </si>
  <si>
    <t>2018-11-19|1767873|5147379|334.0383</t>
  </si>
  <si>
    <t>2018-11-19|1149063|5142555|84.640999999999991</t>
  </si>
  <si>
    <t>2018-11-19|1752753|5135937|21.8333</t>
  </si>
  <si>
    <t>2018-11-19|1595253|5139975|116.9797</t>
  </si>
  <si>
    <t>2018-11-19|1714293|5143509|27.4375</t>
  </si>
  <si>
    <t>2018-03-09|1137153|4283372|10.12</t>
  </si>
  <si>
    <t>2018-03-09|1149063|4283022|69.684600000000017</t>
  </si>
  <si>
    <t>2018-11-20|1454223|5147880|28.7788</t>
  </si>
  <si>
    <t>2018-11-20|1770063|5155083|24.9167</t>
  </si>
  <si>
    <t>2018-11-20|1451553|5152797|83.954600000000013</t>
  </si>
  <si>
    <t>2018-11-20|392763|5158818|14.0833</t>
  </si>
  <si>
    <t>2018-11-20|1611873|5157624|68.0562</t>
  </si>
  <si>
    <t>2018-11-20|392763|5159043|203.44270000000003</t>
  </si>
  <si>
    <t>2018-11-20|1768623|5149908|28.8</t>
  </si>
  <si>
    <t>2018-11-20|1702653|5159718|69.8846</t>
  </si>
  <si>
    <t>2018-11-20|1265883|5150790|72.119</t>
  </si>
  <si>
    <t>2018-11-20|1770333|5155872|56.8334</t>
  </si>
  <si>
    <t>2018-11-20|1648683|5157582|93.8844</t>
  </si>
  <si>
    <t>2018-11-20|1771053|5158203|11.2625</t>
  </si>
  <si>
    <t>2018-11-20|58503|5150829|36.0792</t>
  </si>
  <si>
    <t>2018-11-20|1769823|5154210|33.9489</t>
  </si>
  <si>
    <t>2018-11-20|1060173|5151786|62.6037</t>
  </si>
  <si>
    <t>2018-11-20|1657713|5150016|53.7756</t>
  </si>
  <si>
    <t>2018-11-20|1151013|5158809|37.5751</t>
  </si>
  <si>
    <t>2018-03-10|1432323|4285841|38.440099999999994</t>
  </si>
  <si>
    <t>2018-03-10|1545483|4285043|51.3483</t>
  </si>
  <si>
    <t>2018-03-10|1546173|4286094|42.3166</t>
  </si>
  <si>
    <t>2018-03-10|186663|4285721|71.9741</t>
  </si>
  <si>
    <t>2018-03-10|1286103|4284887|115.1867</t>
  </si>
  <si>
    <t>2018-03-10|1544463|4285165|29.0763</t>
  </si>
  <si>
    <t>2018-03-10|1545843|4285010|9.384</t>
  </si>
  <si>
    <t>2018-11-21|1011093|5166483|75.059300000000007</t>
  </si>
  <si>
    <t>2018-11-21|1773693|5167626|34.0458</t>
  </si>
  <si>
    <t>2018-11-21|1774143|5169096|14.0284</t>
  </si>
  <si>
    <t>2018-11-21|409203|5165124|73.76639999999999</t>
  </si>
  <si>
    <t>2018-11-21|1770423|5168244|224.315</t>
  </si>
  <si>
    <t>2018-11-21|1771503|5171487|19.4212</t>
  </si>
  <si>
    <t>2018-11-21|1127043|5171844|79.4346</t>
  </si>
  <si>
    <t>2018-11-21|257913|5161971|14.0833</t>
  </si>
  <si>
    <t>2018-11-21|1767783|5160363|26.3415</t>
  </si>
  <si>
    <t>2018-11-21|1774293|5169543|65.8333</t>
  </si>
  <si>
    <t>2018-11-21|1774743|5171151|136.6325</t>
  </si>
  <si>
    <t>2018-11-21|1773423|5166600|82.858400000000017</t>
  </si>
  <si>
    <t>2018-11-21|257913|5163036|316.1973</t>
  </si>
  <si>
    <t>2018-11-21|1701633|5168346|51.560700000000004</t>
  </si>
  <si>
    <t>2018-11-21|1752483|5162577|50.3548</t>
  </si>
  <si>
    <t>2018-11-21|1772253|5163153|105.44879999999999</t>
  </si>
  <si>
    <t>2018-03-11|1547133|4289517|54.4961</t>
  </si>
  <si>
    <t>2018-03-11|1547043|4289162|23.7996</t>
  </si>
  <si>
    <t>2018-03-11|370953|4289006|39.6668</t>
  </si>
  <si>
    <t>2018-03-11|1546953|4288826|65.0833</t>
  </si>
  <si>
    <t>2018-03-11|1410633|4289380|82.214300000000009</t>
  </si>
  <si>
    <t>2018-11-22|1409553|5174337|77.462300000000013</t>
  </si>
  <si>
    <t>2018-11-22|1528503|5176317|72.613899999999987</t>
  </si>
  <si>
    <t>2018-11-22|1771743|5177130|52.0205</t>
  </si>
  <si>
    <t>2018-11-22|1544523|5175561|25.32</t>
  </si>
  <si>
    <t>2018-11-22|1751163|5180286|80.419800000000009</t>
  </si>
  <si>
    <t>2018-11-22|1775253|5172966|14.0284</t>
  </si>
  <si>
    <t>2018-11-22|1775493|5173737|51.6881</t>
  </si>
  <si>
    <t>2018-11-22|1672743|5177373|67.0153</t>
  </si>
  <si>
    <t>2018-11-22|1776003|5176833|60.6402</t>
  </si>
  <si>
    <t>2018-11-22|484533|5181330|19.8192</t>
  </si>
  <si>
    <t>2018-11-22|1777383|5180154|14.1596</t>
  </si>
  <si>
    <t>2018-11-22|1162143|5180490|64.075700000000012</t>
  </si>
  <si>
    <t>2018-11-22|1775463|5173683|2.3801</t>
  </si>
  <si>
    <t>2018-11-22|1592163|5174703|91.694</t>
  </si>
  <si>
    <t>2018-11-22|1134153|5178693|62.3251</t>
  </si>
  <si>
    <t>2018-11-22|1778343|5183100|24.1704</t>
  </si>
  <si>
    <t>2018-11-22|1770243|5178096|63.3068</t>
  </si>
  <si>
    <t>2018-03-12|262083|4293619|66.6968</t>
  </si>
  <si>
    <t>2018-03-12|1545273|4292986|31.2177</t>
  </si>
  <si>
    <t>2018-03-12|217743|4293713|159.6589</t>
  </si>
  <si>
    <t>2018-03-12|1442013|4292992|106.19639999999998</t>
  </si>
  <si>
    <t>2018-03-12|1548303|4294156|15.825</t>
  </si>
  <si>
    <t>2018-11-23|1780833|5192355|67.3764</t>
  </si>
  <si>
    <t>2018-11-23|1781793|5195565|12.0802</t>
  </si>
  <si>
    <t>2018-11-23|1780173|5189991|32.5125</t>
  </si>
  <si>
    <t>2018-11-23|1782333|5198151|125.3334</t>
  </si>
  <si>
    <t>2018-11-23|1782543|5198472|68.0756</t>
  </si>
  <si>
    <t>2018-11-23|1344573|5186811|75.983</t>
  </si>
  <si>
    <t>2018-11-23|1780413|5191173|94.4252</t>
  </si>
  <si>
    <t>2018-11-23|1776663|5186697|66.9375</t>
  </si>
  <si>
    <t>2018-11-23|1778643|5184069|87.348700000000008</t>
  </si>
  <si>
    <t>2018-11-23|1113423|5195049|124.1566</t>
  </si>
  <si>
    <t>2018-11-23|1782783|5198970|106.2075</t>
  </si>
  <si>
    <t>2018-11-23|1774953|5193978|15.1848</t>
  </si>
  <si>
    <t>2018-11-23|1030023|5185869|103.84689999999999</t>
  </si>
  <si>
    <t>2018-11-23|1184643|5192835|72.1442</t>
  </si>
  <si>
    <t>2018-11-23|1433553|5193351|76.399299999999982</t>
  </si>
  <si>
    <t>2018-11-23|1774953|5191584|73.8785</t>
  </si>
  <si>
    <t>2018-11-23|1683903|5187783|51.945</t>
  </si>
  <si>
    <t>2018-11-23|1782093|5196648|82.6417</t>
  </si>
  <si>
    <t>2018-11-23|1781853|5195712|51.675</t>
  </si>
  <si>
    <t>2018-03-13|1128333|4296422|43.980100000000007</t>
  </si>
  <si>
    <t>2018-03-13|1549083|4296999|18.7678</t>
  </si>
  <si>
    <t>2018-03-13|1262733|4294870|109.1379</t>
  </si>
  <si>
    <t>2018-03-13|1149063|4296280|88.7443</t>
  </si>
  <si>
    <t>2018-03-13|1333263|4296866|46.664300000000004</t>
  </si>
  <si>
    <t>2018-03-13|1262733|4294888|109.1379</t>
  </si>
  <si>
    <t>2018-03-13|1465233|4295995|76.78309999999999</t>
  </si>
  <si>
    <t>2018-03-13|1262733|4294866|109.1379</t>
  </si>
  <si>
    <t>2018-11-24|1785843|5208903|24.9167</t>
  </si>
  <si>
    <t>2018-11-24|1783833|5202870|38.5258</t>
  </si>
  <si>
    <t>2018-11-24|1784403|5204613|62.7363</t>
  </si>
  <si>
    <t>2018-11-24|1786053|5209647|48.8042</t>
  </si>
  <si>
    <t>2018-11-24|1784793|5205810|45.7703</t>
  </si>
  <si>
    <t>2018-11-24|1035903|5208660|25.256</t>
  </si>
  <si>
    <t>2018-11-24|1785453|5209725|104.07450000000001</t>
  </si>
  <si>
    <t>2018-11-24|1784763|5205654|39.1283</t>
  </si>
  <si>
    <t>2018-11-24|1454223|5210817|59.9925</t>
  </si>
  <si>
    <t>2018-11-24|1776153|5204145|66.1362</t>
  </si>
  <si>
    <t>2018-11-24|1783353|5201376|28.2625</t>
  </si>
  <si>
    <t>2018-11-24|1204983|5201379|68.618000000000009</t>
  </si>
  <si>
    <t>2018-11-24|1786113|5209818|61.449600000000004</t>
  </si>
  <si>
    <t>2018-11-24|1783923|5203038|60.0739</t>
  </si>
  <si>
    <t>2018-03-14|1541013|4298896|75.6174</t>
  </si>
  <si>
    <t>2018-03-14|1405893|4298936|79.3971</t>
  </si>
  <si>
    <t>2018-03-14|1549383|4298161|62.587399999999995</t>
  </si>
  <si>
    <t>2018-03-14|1040313|4298420|146.84279999999998</t>
  </si>
  <si>
    <t>2018-11-25|1763463|5223816|62.601</t>
  </si>
  <si>
    <t>2018-11-25|1281993|5213544|89.9148</t>
  </si>
  <si>
    <t>2018-11-25|353883|5222199|77.5936</t>
  </si>
  <si>
    <t>2018-11-25|1689333|5216991|216.75909999999993</t>
  </si>
  <si>
    <t>2018-11-25|1588233|5227797|90.934699999999978</t>
  </si>
  <si>
    <t>2018-11-25|1786743|5212053|35.0833</t>
  </si>
  <si>
    <t>2018-11-25|1709133|5223972|62.647900000000007</t>
  </si>
  <si>
    <t>2018-11-25|1744893|5215329|108.21209999999999</t>
  </si>
  <si>
    <t>2018-11-25|1426233|5224131|86.485499999999988</t>
  </si>
  <si>
    <t>2018-11-25|1754253|5227224|74.4833</t>
  </si>
  <si>
    <t>2018-11-25|1789023|5220960|21.1792</t>
  </si>
  <si>
    <t>2018-11-25|1787163|5213817|54.1583</t>
  </si>
  <si>
    <t>2018-11-25|437733|5224059|63.381199999999993</t>
  </si>
  <si>
    <t>2018-11-25|1611603|5229813|67.3078</t>
  </si>
  <si>
    <t>2018-11-25|491733|5225892|70.8078</t>
  </si>
  <si>
    <t>2018-11-25|1645653|5213814|20.372999999999998</t>
  </si>
  <si>
    <t>2018-11-25|1790433|5226663|31.8042</t>
  </si>
  <si>
    <t>2018-11-25|1626093|5219820|112.16480000000001</t>
  </si>
  <si>
    <t>2018-11-25|1790463|5226744|36.996700000000004</t>
  </si>
  <si>
    <t>2018-11-25|1790013|5224884|67.05</t>
  </si>
  <si>
    <t>2018-11-25|1663203|5230368|74.735700000000008</t>
  </si>
  <si>
    <t>2018-11-25|1286103|5213103|168.3931</t>
  </si>
  <si>
    <t>2018-11-25|1760253|5227533|39.1283</t>
  </si>
  <si>
    <t>2018-11-25|1450893|5224962|70.967000000000013</t>
  </si>
  <si>
    <t>2018-11-25|71403|5221854|61.7025</t>
  </si>
  <si>
    <t>2018-11-25|1788183|5217768|116.84299999999999</t>
  </si>
  <si>
    <t>2018-11-25|1789353|5222397|20.4</t>
  </si>
  <si>
    <t>2018-11-25|1669353|5225724|66.393499999999989</t>
  </si>
  <si>
    <t>2018-11-25|1789443|5223390|45.198800000000006</t>
  </si>
  <si>
    <t>2018-03-15|1162143|4302161|101.8241</t>
  </si>
  <si>
    <t>2018-03-15|1550493|4302171|16.275199999999998</t>
  </si>
  <si>
    <t>2018-03-15|1379253|4302824|49.20920000000001</t>
  </si>
  <si>
    <t>2018-03-15|1433553|4300591|126.94360000000002</t>
  </si>
  <si>
    <t>2018-03-15|1352493|4301854|29.0053</t>
  </si>
  <si>
    <t>2018-03-15|1550073|4300522|34.0852</t>
  </si>
  <si>
    <t>2018-11-26|43533|5237946|224.87289999999996</t>
  </si>
  <si>
    <t>2018-11-26|1791423|5231307|79.6153</t>
  </si>
  <si>
    <t>2018-11-26|1113423|5243883|222.9942</t>
  </si>
  <si>
    <t>2018-11-26|1792893|5237379|24.0267</t>
  </si>
  <si>
    <t>2018-11-26|1791873|5233623|60.7433</t>
  </si>
  <si>
    <t>2018-11-26|1794423|5242998|31.8042</t>
  </si>
  <si>
    <t>2018-11-26|1791423|5231085|113.32160000000002</t>
  </si>
  <si>
    <t>2018-11-26|1392573|5234943|147.9495</t>
  </si>
  <si>
    <t>2018-11-26|1676133|5243382|91.5296</t>
  </si>
  <si>
    <t>2018-11-26|1792773|5238243|93.263200000000012</t>
  </si>
  <si>
    <t>2018-11-26|1792233|5236260|43.9418</t>
  </si>
  <si>
    <t>2018-11-26|1577733|5245290|22.834000000000003</t>
  </si>
  <si>
    <t>2018-11-26|1793373|5239014|24.4055</t>
  </si>
  <si>
    <t>2018-11-26|1794033|5243481|120.0176</t>
  </si>
  <si>
    <t>2018-11-26|1782693|5236956|60.9883</t>
  </si>
  <si>
    <t>2018-03-16|1252173|4304617|151.7708</t>
  </si>
  <si>
    <t>2018-03-16|1184643|4303548|274.8701</t>
  </si>
  <si>
    <t>2018-03-16|1551003|4303977|140.924</t>
  </si>
  <si>
    <t>2018-03-16|474633|4305092|193.3475</t>
  </si>
  <si>
    <t>2018-03-16|1010553|4302925|68.7602</t>
  </si>
  <si>
    <t>2018-11-27|1529913|5248271|11.475</t>
  </si>
  <si>
    <t>2018-11-27|1795353|5246823|66.8795</t>
  </si>
  <si>
    <t>2018-11-27|426423|5248423|130.6977</t>
  </si>
  <si>
    <t>2018-11-27|1796073|5249007|40.368</t>
  </si>
  <si>
    <t>2018-03-17|1261383|4305218|113.18200000000003</t>
  </si>
  <si>
    <t>2018-03-17|1299153|4307144|82.452700000000007</t>
  </si>
  <si>
    <t>2018-03-17|1528503|4305818|118.1572</t>
  </si>
  <si>
    <t>2018-03-17|1551363|4305096|87.8668</t>
  </si>
  <si>
    <t>2018-03-17|1442013|4305585|115.9404</t>
  </si>
  <si>
    <t>2018-11-28|1470573|5253338|64.525</t>
  </si>
  <si>
    <t>2018-11-28|1410633|5252802|79.7466</t>
  </si>
  <si>
    <t>2018-11-28|1794393|5251764|68.0127</t>
  </si>
  <si>
    <t>2018-11-28|1606233|5250727|67.2775</t>
  </si>
  <si>
    <t>2018-11-28|898443|5252778|75</t>
  </si>
  <si>
    <t>2018-11-28|1712253|5250247|110.3711</t>
  </si>
  <si>
    <t>2018-11-28|147243|5251993|44.4298</t>
  </si>
  <si>
    <t>2018-11-28|1796883|5252244|57.335</t>
  </si>
  <si>
    <t>2018-11-28|1732233|5251936|68.6465</t>
  </si>
  <si>
    <t>2018-03-18|1491153|4308516|59.959299999999992</t>
  </si>
  <si>
    <t>2018-03-18|414843|4309201|74.3279</t>
  </si>
  <si>
    <t>2018-03-18|1535343|4308185|26.650199999999998</t>
  </si>
  <si>
    <t>2018-03-18|1552833|4310031|14.9391</t>
  </si>
  <si>
    <t>2018-03-18|1552443|4308607|40.485</t>
  </si>
  <si>
    <t>2018-03-18|1333263|4307759|67.6182</t>
  </si>
  <si>
    <t>2018-03-18|1428003|4309647|56.2522</t>
  </si>
  <si>
    <t>2018-03-18|848373|4307950|63.675</t>
  </si>
  <si>
    <t>2018-11-29|1740843|5254095|90.058299999999988</t>
  </si>
  <si>
    <t>2018-11-29|1489683|5254115|66.7245</t>
  </si>
  <si>
    <t>2018-11-29|1783563|5256388|59.4167</t>
  </si>
  <si>
    <t>2018-11-29|1504203|5254394|33.0805</t>
  </si>
  <si>
    <t>2018-11-29|1797933|5254391|139.9934</t>
  </si>
  <si>
    <t>2018-03-19|91623|4313707|34.6275</t>
  </si>
  <si>
    <t>2018-03-19|1553223|4311537|46.468199999999996</t>
  </si>
  <si>
    <t>2018-03-19|1323963|4311271|43.791</t>
  </si>
  <si>
    <t>2018-03-19|384483|4313784|148.9581</t>
  </si>
  <si>
    <t>2018-11-30|1417053|5258581|46.4282</t>
  </si>
  <si>
    <t>2018-11-30|1798953|5257690|65.5416</t>
  </si>
  <si>
    <t>2018-11-30|1144893|5259825|112.98000000000002</t>
  </si>
  <si>
    <t>2018-11-30|1350603|5258824|38.7192</t>
  </si>
  <si>
    <t>2018-11-30|430593|5259481|60.8182</t>
  </si>
  <si>
    <t>2018-11-30|1799403|5259148|65.9927</t>
  </si>
  <si>
    <t>2018-11-30|1799373|5259164|63.0417</t>
  </si>
  <si>
    <t>2018-11-30|1491483|5258852|111.13319999999999</t>
  </si>
  <si>
    <t>2018-11-30|1350603|5258558|23.1249</t>
  </si>
  <si>
    <t>2018-03-20|1478673|4316119|115.98559999999999</t>
  </si>
  <si>
    <t>2018-03-20|1328943|4314759|68.3124</t>
  </si>
  <si>
    <t>2018-03-20|1554063|4314852|79.408</t>
  </si>
  <si>
    <t>2018-12-01|471153|5263832|92.6666</t>
  </si>
  <si>
    <t>2018-12-01|430593|5261905|59.9167</t>
  </si>
  <si>
    <t>2018-12-01|491553|5262484|73.9491</t>
  </si>
  <si>
    <t>2018-12-01|1168623|5263404|51.802500000000009</t>
  </si>
  <si>
    <t>2018-12-01|1676793|5260970|67.3494</t>
  </si>
  <si>
    <t>2018-12-01|1795413|5260832|42.3583</t>
  </si>
  <si>
    <t>2018-12-01|1801023|5264167|13.6193</t>
  </si>
  <si>
    <t>2018-12-01|1800303|5261898|17.7468</t>
  </si>
  <si>
    <t>2018-12-01|1040313|5262568|107.31490000000002</t>
  </si>
  <si>
    <t>2018-12-01|1800393|5262293|33.585</t>
  </si>
  <si>
    <t>2018-03-21|1344573|4318780|105.2052</t>
  </si>
  <si>
    <t>2018-03-21|1127043|4318234|107.4941</t>
  </si>
  <si>
    <t>2018-03-21|1555263|4319094|2.3364</t>
  </si>
  <si>
    <t>2018-03-21|1555323|4319295|38.684200000000004</t>
  </si>
  <si>
    <t>2018-03-21|1555053|4318379|16.3628</t>
  </si>
  <si>
    <t>2018-03-21|1368693|4317517|43.577000000000005</t>
  </si>
  <si>
    <t>2018-03-21|1406463|4317556|24.2843</t>
  </si>
  <si>
    <t>2018-12-02|1173993|5264710|14.0833</t>
  </si>
  <si>
    <t>2018-12-02|1427553|5267571|102.50370000000001</t>
  </si>
  <si>
    <t>2018-12-02|1801743|5266741|148.12830000000002</t>
  </si>
  <si>
    <t>2018-12-02|1350243|5269442|72.7664</t>
  </si>
  <si>
    <t>2018-12-02|1747713|5268731|62.742000000000004</t>
  </si>
  <si>
    <t>2018-12-02|1801923|5267320|50.25</t>
  </si>
  <si>
    <t>2018-12-02|1802433|5269192|42.1631</t>
  </si>
  <si>
    <t>2018-12-02|1738923|5266659|28.2736</t>
  </si>
  <si>
    <t>2018-12-02|260553|5264518|62.4083</t>
  </si>
  <si>
    <t>2018-12-02|44823|5268917|92.967000000000013</t>
  </si>
  <si>
    <t>2018-12-02|1253943|5264858|69.6875</t>
  </si>
  <si>
    <t>2018-12-02|1801473|5265848|54.9782</t>
  </si>
  <si>
    <t>2017-07-09|1184643|3633316|167.4862</t>
  </si>
  <si>
    <t>2017-07-09|436233|3632920|249.1666</t>
  </si>
  <si>
    <t>2017-07-09|1374543|3634323|46.8626</t>
  </si>
  <si>
    <t>2017-07-09|234783|3632264|78.5866</t>
  </si>
  <si>
    <t>2017-07-09|1330143|3632904|56.194</t>
  </si>
  <si>
    <t>2017-07-09|1367703|3633854|80.1009</t>
  </si>
  <si>
    <t>2017-07-09|91623|3633188|38.5293</t>
  </si>
  <si>
    <t>2017-07-09|1374483|3634201|31.9206</t>
  </si>
  <si>
    <t>2018-03-22|1110273|4321767|79.7389</t>
  </si>
  <si>
    <t>2018-03-22|223263|4320373|97.2467</t>
  </si>
  <si>
    <t>2018-03-22|1474593|4321318|82.3853</t>
  </si>
  <si>
    <t>2018-03-22|1198923|4320245|65.7877</t>
  </si>
  <si>
    <t>2018-12-03|1473483|5271954|85.22229999999999</t>
  </si>
  <si>
    <t>2018-12-03|1714233|5272373|30.1478</t>
  </si>
  <si>
    <t>2018-12-03|1803513|5272838|553.2385</t>
  </si>
  <si>
    <t>2018-12-03|1802793|5270501|53.503299999999996</t>
  </si>
  <si>
    <t>2018-12-03|1225773|5273102|38.435900000000004</t>
  </si>
  <si>
    <t>2018-12-03|1803093|5271452|79.3334</t>
  </si>
  <si>
    <t>2018-12-03|1528353|5269952|75.4792</t>
  </si>
  <si>
    <t>2018-12-03|1802703|5270142|80.320900000000009</t>
  </si>
  <si>
    <t>2018-12-03|1513473|5272126|85.1315</t>
  </si>
  <si>
    <t>2017-07-10|391113|3635831|78.0321</t>
  </si>
  <si>
    <t>2017-07-10|186663|3635393|68.332</t>
  </si>
  <si>
    <t>2017-07-10|146733|3636698|82.9991</t>
  </si>
  <si>
    <t>2017-07-10|274113|3636278|31.5594</t>
  </si>
  <si>
    <t>2017-07-10|1179843|3635956|23.5749</t>
  </si>
  <si>
    <t>2017-07-10|186663|3635348|8.1675</t>
  </si>
  <si>
    <t>2017-07-10|1375383|3637743|60.141400000000004</t>
  </si>
  <si>
    <t>2017-07-10|1247553|3637470|69.8691</t>
  </si>
  <si>
    <t>2017-07-10|1366023|3636432|44.077099999999994</t>
  </si>
  <si>
    <t>2017-07-10|147933|3635201|59.025600000000004</t>
  </si>
  <si>
    <t>2018-03-23|1556583|4323959|13.2524</t>
  </si>
  <si>
    <t>2018-03-23|1334643|4322443|87.1409</t>
  </si>
  <si>
    <t>2018-03-23|1351803|4324379|64.6886</t>
  </si>
  <si>
    <t>2018-03-23|1324833|4323567|33.1659</t>
  </si>
  <si>
    <t>2018-03-23|1300023|4322964|62.2586</t>
  </si>
  <si>
    <t>2018-03-23|1556523|4323782|34.685700000000004</t>
  </si>
  <si>
    <t>2018-12-04|1238583|5276769|25.0084</t>
  </si>
  <si>
    <t>2018-12-04|1674183|5277659|47.173600000000008</t>
  </si>
  <si>
    <t>2018-12-04|1804623|5276478|18.6508</t>
  </si>
  <si>
    <t>2018-12-04|1442343|5275404|91.125</t>
  </si>
  <si>
    <t>2018-12-04|1194483|5277460|92.982800000000012</t>
  </si>
  <si>
    <t>2018-12-04|1804173|5274869|29.925</t>
  </si>
  <si>
    <t>2018-12-04|1804653|5276592|27.989</t>
  </si>
  <si>
    <t>2018-12-04|1804833|5277220|165.0833</t>
  </si>
  <si>
    <t>2018-12-04|1804413|5275769|37.4167</t>
  </si>
  <si>
    <t>2018-12-04|1690593|5274337|23.8479</t>
  </si>
  <si>
    <t>2017-07-11|1375473|3638308|76.462300000000013</t>
  </si>
  <si>
    <t>2017-07-11|1223523|3640051|95.2059</t>
  </si>
  <si>
    <t>2017-07-11|996933|3640214|37.493100000000005</t>
  </si>
  <si>
    <t>2017-07-11|1270233|3638724|32.25</t>
  </si>
  <si>
    <t>2018-03-24|1557333|4326480|20.5411</t>
  </si>
  <si>
    <t>2018-03-24|1237893|4325955|67.0365</t>
  </si>
  <si>
    <t>2018-03-24|1236333|4324840|108.66200000000002</t>
  </si>
  <si>
    <t>2018-03-24|1556793|4324884|55.9583</t>
  </si>
  <si>
    <t>2018-03-24|1556613|4325668|5.3045999999999989</t>
  </si>
  <si>
    <t>2018-03-24|1455873|4325919|101.63330000000002</t>
  </si>
  <si>
    <t>2018-12-05|1030563|5279834|235.57960000000006</t>
  </si>
  <si>
    <t>2018-12-05|1747353|5279673|26.0459</t>
  </si>
  <si>
    <t>2018-12-05|1173993|5281000|85.731100000000012</t>
  </si>
  <si>
    <t>2018-12-05|1223523|5278694|77.1891</t>
  </si>
  <si>
    <t>2018-12-05|1804743|5282035|14.9167</t>
  </si>
  <si>
    <t>2018-12-05|1269453|5279771|67.0082</t>
  </si>
  <si>
    <t>2018-12-05|1805643|5279954|11.925</t>
  </si>
  <si>
    <t>2017-07-12|1375953|3640261|15.0504</t>
  </si>
  <si>
    <t>2017-07-12|300033|3640444|59.5042</t>
  </si>
  <si>
    <t>2017-07-12|1288023|3641993|64.014800000000008</t>
  </si>
  <si>
    <t>2017-07-12|1306983|3641867|121.19919999999999</t>
  </si>
  <si>
    <t>2018-03-25|481893|4327404|66.550000000000011</t>
  </si>
  <si>
    <t>2018-03-25|1557393|4326673|37.3407</t>
  </si>
  <si>
    <t>2018-03-25|1188903|4328598|59.7555</t>
  </si>
  <si>
    <t>2018-03-25|1505163|4327689|59.8315</t>
  </si>
  <si>
    <t>2018-03-25|1369833|4328209|69.985900000000015</t>
  </si>
  <si>
    <t>2018-03-25|1477113|4329643|33.3484</t>
  </si>
  <si>
    <t>2018-12-06|1807383|5286027|61.95</t>
  </si>
  <si>
    <t>2018-12-06|423153|5284364|174.9008</t>
  </si>
  <si>
    <t>2018-12-06|1319343|5284697|51.9318</t>
  </si>
  <si>
    <t>2018-12-06|1128333|5284337|64.5917</t>
  </si>
  <si>
    <t>2018-12-06|1666593|5284087|110.3711</t>
  </si>
  <si>
    <t>2018-12-06|1443723|5285446|57.658199999999994</t>
  </si>
  <si>
    <t>2018-12-06|1545003|5284254|43.966699999999996</t>
  </si>
  <si>
    <t>2018-12-06|1807023|5284301|33.1465</t>
  </si>
  <si>
    <t>2018-12-06|1432323|5285912|23.9625</t>
  </si>
  <si>
    <t>2018-12-06|1447083|5285071|46.382999999999996</t>
  </si>
  <si>
    <t>2018-12-06|1803393|5284938|175.6667</t>
  </si>
  <si>
    <t>2018-12-06|1504203|5282954|62.0758</t>
  </si>
  <si>
    <t>2018-12-06|217743|5284326|116.811</t>
  </si>
  <si>
    <t>2017-07-13|1274733|3644244|94.3734</t>
  </si>
  <si>
    <t>2017-07-13|1038963|3643669|69.8433</t>
  </si>
  <si>
    <t>2017-07-13|1376643|3643088|30.39</t>
  </si>
  <si>
    <t>2017-07-13|1153263|3644153|111.107</t>
  </si>
  <si>
    <t>2017-07-13|1220583|3644544|59.398300000000006</t>
  </si>
  <si>
    <t>2017-07-13|1224573|3643574|19.6512</t>
  </si>
  <si>
    <t>2018-03-26|1224123|4330093|109.1422</t>
  </si>
  <si>
    <t>2018-03-26|1304853|4330156|64.294</t>
  </si>
  <si>
    <t>2018-03-26|1558293|4330036|42.2168</t>
  </si>
  <si>
    <t>2018-03-26|184683|4331725|137.9704</t>
  </si>
  <si>
    <t>2018-03-26|437733|4332405|73.5736</t>
  </si>
  <si>
    <t>2018-03-26|231213|4332342|93.3235</t>
  </si>
  <si>
    <t>2018-03-26|304143|4332326|48.1222</t>
  </si>
  <si>
    <t>2018-12-07|1185813|5287448|85.4921</t>
  </si>
  <si>
    <t>2018-12-07|1807773|5286786|7.545</t>
  </si>
  <si>
    <t>2018-12-07|1423773|5287567|74.2775</t>
  </si>
  <si>
    <t>2018-12-07|1310703|5286254|135.65210000000002</t>
  </si>
  <si>
    <t>2018-12-07|1030563|5286504|87.7017</t>
  </si>
  <si>
    <t>2018-12-07|1807983|5287561|13.3875</t>
  </si>
  <si>
    <t>2018-12-07|1801533|5288919|67.5636</t>
  </si>
  <si>
    <t>2018-12-07|1628463|5287270|40.5864</t>
  </si>
  <si>
    <t>2018-12-07|1807653|5286345|46.6667</t>
  </si>
  <si>
    <t>2018-12-07|331473|5286920|40.0333</t>
  </si>
  <si>
    <t>2017-07-14|1302573|3645384|97.5979</t>
  </si>
  <si>
    <t>2017-07-14|1103823|3645444|46.3749</t>
  </si>
  <si>
    <t>2017-07-14|1272693|3646575|149.204</t>
  </si>
  <si>
    <t>2018-03-27|1273593|4334113|26.5908</t>
  </si>
  <si>
    <t>2018-03-27|1559583|4335477|34.0112</t>
  </si>
  <si>
    <t>2018-03-27|1468323|4335367|2.8611</t>
  </si>
  <si>
    <t>2018-03-27|1559193|4334899|66.657400000000024</t>
  </si>
  <si>
    <t>2018-03-27|1534473|4334356|53.5616</t>
  </si>
  <si>
    <t>2018-03-27|1558593|4334964|90.881</t>
  </si>
  <si>
    <t>2018-12-08|1809723|5292878|60.615100000000005</t>
  </si>
  <si>
    <t>2018-12-08|1809633|5292611|47.6757</t>
  </si>
  <si>
    <t>2018-12-08|367683|5292162|35.9364</t>
  </si>
  <si>
    <t>2018-12-08|1809603|5292544|42.2874</t>
  </si>
  <si>
    <t>2018-12-08|1304433|5292764|80.95829999999998</t>
  </si>
  <si>
    <t>2018-12-08|1435293|5290677|150.5994</t>
  </si>
  <si>
    <t>2018-12-08|1332093|5292678|44.9862</t>
  </si>
  <si>
    <t>2018-12-08|1134153|5291297|113.49750000000003</t>
  </si>
  <si>
    <t>2018-12-08|1324833|5290439|29.8493</t>
  </si>
  <si>
    <t>2018-12-08|1808823|5290095|98.3195</t>
  </si>
  <si>
    <t>2017-07-15|1349433|3647243|139.784</t>
  </si>
  <si>
    <t>2017-07-15|120213|3647235|60.6439</t>
  </si>
  <si>
    <t>2017-07-15|367683|3647588|63.365400000000008</t>
  </si>
  <si>
    <t>2017-07-15|1378023|3648393|7.3</t>
  </si>
  <si>
    <t>2017-07-15|1251393|3648157|36.1809</t>
  </si>
  <si>
    <t>2017-07-15|1218303|3647244|44.0896</t>
  </si>
  <si>
    <t>2017-07-15|1368693|3647678|87.4932</t>
  </si>
  <si>
    <t>2018-03-28|1074813|4337587|53.8164</t>
  </si>
  <si>
    <t>2018-03-28|1318413|4337457|68.261099999999985</t>
  </si>
  <si>
    <t>2018-03-28|1560483|4338988|7.1087</t>
  </si>
  <si>
    <t>2018-03-28|1560423|4338762|34.5309</t>
  </si>
  <si>
    <t>2018-03-28|1519623|4338985|62.247299999999996</t>
  </si>
  <si>
    <t>2018-03-28|1491723|4338155|40.346499999999992</t>
  </si>
  <si>
    <t>2018-03-28|1173993|4339211|248.72549999999998</t>
  </si>
  <si>
    <t>2018-03-28|1559853|4336492|35.3466</t>
  </si>
  <si>
    <t>2018-12-09|1722093|5293941|91.472099999999983</t>
  </si>
  <si>
    <t>2018-12-09|1809903|5293535|26.3267</t>
  </si>
  <si>
    <t>2018-12-09|1656453|5296314|26.208400000000005</t>
  </si>
  <si>
    <t>2018-12-09|410973|5293831|64.6041</t>
  </si>
  <si>
    <t>2018-12-09|1184643|5298435|171.18630000000002</t>
  </si>
  <si>
    <t>2018-12-09|1775463|5298249|10.8256</t>
  </si>
  <si>
    <t>2018-12-09|1519503|5295810|51.5342</t>
  </si>
  <si>
    <t>2018-12-09|1649583|5296934|39.5343</t>
  </si>
  <si>
    <t>2018-12-09|77973|5293863|15.7332</t>
  </si>
  <si>
    <t>2018-12-09|126573|5295821|75.032299999999992</t>
  </si>
  <si>
    <t>2017-07-16|1184643|3650877|85.154500000000013</t>
  </si>
  <si>
    <t>2017-07-16|1125063|3648780|118.668</t>
  </si>
  <si>
    <t>2017-07-16|1378593|3650915|33.575</t>
  </si>
  <si>
    <t>2017-07-16|425463|3649481|87.0212</t>
  </si>
  <si>
    <t>2017-07-16|1223673|3650221|61.465700000000005</t>
  </si>
  <si>
    <t>2018-03-29|1560633|4339599|20.75</t>
  </si>
  <si>
    <t>2018-03-29|1145583|4340842|84.9158</t>
  </si>
  <si>
    <t>2018-03-29|1561083|4341485|31.0958</t>
  </si>
  <si>
    <t>2018-03-29|1559463|4341246|12.3035</t>
  </si>
  <si>
    <t>2018-03-29|1467843|4341404|41.108200000000004</t>
  </si>
  <si>
    <t>2018-03-29|1560603|4339465|8.8333</t>
  </si>
  <si>
    <t>2018-03-29|1035903|4340374|154.4167</t>
  </si>
  <si>
    <t>2018-12-10|278853|5301271|39.8625</t>
  </si>
  <si>
    <t>2018-12-10|1811763|5300762|10.4266</t>
  </si>
  <si>
    <t>2018-12-10|1110273|5302693|90.48129999999999</t>
  </si>
  <si>
    <t>2018-12-10|1725633|5300875|74.6417</t>
  </si>
  <si>
    <t>2018-12-10|1811463|5299688|53.082300000000004</t>
  </si>
  <si>
    <t>2018-12-10|1296213|5299320|151.983</t>
  </si>
  <si>
    <t>2018-12-10|1533513|5299513|73.680099999999982</t>
  </si>
  <si>
    <t>2018-12-10|1811703|5300720|47.4209</t>
  </si>
  <si>
    <t>2018-12-10|1689333|5301078|27.6297</t>
  </si>
  <si>
    <t>2018-12-10|1305483|5302515|113.5105</t>
  </si>
  <si>
    <t>2018-12-10|1811643|5300337|38.443400000000004</t>
  </si>
  <si>
    <t>2017-07-17|1352673|3654039|15.359300000000001</t>
  </si>
  <si>
    <t>2017-07-17|1213623|3652046|64.7434</t>
  </si>
  <si>
    <t>2017-07-17|395523|3653273|151.2596</t>
  </si>
  <si>
    <t>2017-07-17|1379193|3654070|33.8334</t>
  </si>
  <si>
    <t>2017-07-17|306753|3652566|118.7233</t>
  </si>
  <si>
    <t>2017-07-17|1141683|3653956|71.4388</t>
  </si>
  <si>
    <t>2017-07-17|1379133|3653717|56.3092</t>
  </si>
  <si>
    <t>2017-07-17|1379253|3654426|33.3516</t>
  </si>
  <si>
    <t>2017-07-17|1367313|3652567|16.519399999999997</t>
  </si>
  <si>
    <t>2018-03-30|1440333|4343891|65.5274</t>
  </si>
  <si>
    <t>2018-03-30|1440333|4343672|68.1517</t>
  </si>
  <si>
    <t>2018-03-30|1214823|4342698|100.43270000000001</t>
  </si>
  <si>
    <t>2018-03-30|1561593|4343636|39.3525</t>
  </si>
  <si>
    <t>2018-03-30|1561293|4342398|51.1246</t>
  </si>
  <si>
    <t>2018-03-30|1077273|4343257|83.277599999999993</t>
  </si>
  <si>
    <t>2018-03-30|1333263|4342584|55.618099999999991</t>
  </si>
  <si>
    <t>2018-03-30|1345623|4343412|69.75</t>
  </si>
  <si>
    <t>2018-12-11|1812963|5304823|38.2875</t>
  </si>
  <si>
    <t>2018-12-11|1812903|5304581|66.65</t>
  </si>
  <si>
    <t>2018-12-11|301203|5306081|65.4958</t>
  </si>
  <si>
    <t>2018-12-11|1812753|5304027|44.8334</t>
  </si>
  <si>
    <t>2018-12-11|1246083|5307097|76.335200000000015</t>
  </si>
  <si>
    <t>2018-12-11|1033923|5306441|39.65</t>
  </si>
  <si>
    <t>2018-12-11|1813263|5305681|21.7843</t>
  </si>
  <si>
    <t>2018-12-11|91623|5303417|38.3174</t>
  </si>
  <si>
    <t>2017-07-18|1375353|3655982|72.1264</t>
  </si>
  <si>
    <t>2017-07-18|1063383|3654829|91.0875</t>
  </si>
  <si>
    <t>2017-07-18|1204983|3655450|80.164200000000022</t>
  </si>
  <si>
    <t>2017-07-18|1092093|3654771|31.411400000000004</t>
  </si>
  <si>
    <t>2017-07-18|1379523|3655785|237.41630000000004</t>
  </si>
  <si>
    <t>2017-07-18|473733|3656408|24.9752</t>
  </si>
  <si>
    <t>2017-07-18|1077273|3655599|53.678900000000006</t>
  </si>
  <si>
    <t>2017-07-18|1379313|3654890|135.2839</t>
  </si>
  <si>
    <t>2017-07-18|1379343|3654995|2.85</t>
  </si>
  <si>
    <t>2018-03-31|485253|4346572|118.1593</t>
  </si>
  <si>
    <t>2018-03-31|1318413|4345792|66.9334</t>
  </si>
  <si>
    <t>2018-03-31|63723|4346069|28.212699999999998</t>
  </si>
  <si>
    <t>2018-03-31|1562373|4346522|30.625</t>
  </si>
  <si>
    <t>2018-03-31|1204983|4346748|65.0562</t>
  </si>
  <si>
    <t>2018-03-31|1562283|4346392|4.9834</t>
  </si>
  <si>
    <t>2018-12-12|1407333|5309318|73.0262</t>
  </si>
  <si>
    <t>2018-12-12|1814823|5311109|164.25</t>
  </si>
  <si>
    <t>2018-12-12|1814403|5309672|17.4677</t>
  </si>
  <si>
    <t>2018-12-12|1814133|5308718|59.2263</t>
  </si>
  <si>
    <t>2018-12-12|1814523|5310062|28.25</t>
  </si>
  <si>
    <t>2018-12-12|257913|5309444|82.9269</t>
  </si>
  <si>
    <t>2018-12-12|1814163|5308789|58.435999999999993</t>
  </si>
  <si>
    <t>2018-12-12|1813983|5308186|333.325</t>
  </si>
  <si>
    <t>2018-12-12|1286103|5307451|104.103</t>
  </si>
  <si>
    <t>2018-12-12|1814613|5310344|6.095</t>
  </si>
  <si>
    <t>2018-12-12|1011093|5310173|62.3309</t>
  </si>
  <si>
    <t>2018-12-12|1028433|5310833|60.037500000000009</t>
  </si>
  <si>
    <t>2018-12-12|1019493|5309218|66.4361</t>
  </si>
  <si>
    <t>2018-12-12|1519983|5308799|69.126</t>
  </si>
  <si>
    <t>2018-12-12|1528623|5309718|77.955</t>
  </si>
  <si>
    <t>2017-07-19|1292223|3657650|51.125</t>
  </si>
  <si>
    <t>2017-07-19|306753|3657701|67.925</t>
  </si>
  <si>
    <t>2017-07-19|169653|3658628|16.45</t>
  </si>
  <si>
    <t>2017-07-19|948573|3656914|34.028999999999996</t>
  </si>
  <si>
    <t>2017-07-19|1380003|3657941|74.8378</t>
  </si>
  <si>
    <t>2017-07-19|217743|3658252|129.84560000000002</t>
  </si>
  <si>
    <t>2018-04-01|1332093|4347156|16.8402</t>
  </si>
  <si>
    <t>2018-04-01|444303|4348056|37.6695</t>
  </si>
  <si>
    <t>2018-04-01|1379103|4348934|44.895900000000005</t>
  </si>
  <si>
    <t>2018-04-01|1163223|4348797|74.193300000000008</t>
  </si>
  <si>
    <t>2018-04-01|1562793|4348077|89.948799999999963</t>
  </si>
  <si>
    <t>2018-04-01|1435293|4347650|86.3661</t>
  </si>
  <si>
    <t>2018-04-01|1291233|4347844|125.94269999999999</t>
  </si>
  <si>
    <t>2018-04-01|1435293|4347415|12.4167</t>
  </si>
  <si>
    <t>2018-12-13|1077423|5313270|181.8768</t>
  </si>
  <si>
    <t>2018-12-13|1816023|5314896|13.3875</t>
  </si>
  <si>
    <t>2018-12-13|1149063|5313773|87.2459</t>
  </si>
  <si>
    <t>2018-12-13|1815153|5312164|34.6058</t>
  </si>
  <si>
    <t>2018-12-13|1594203|5311724|101.5847</t>
  </si>
  <si>
    <t>2018-12-13|1815753|5314058|20.25</t>
  </si>
  <si>
    <t>2018-12-13|1547883|5314022|65.7</t>
  </si>
  <si>
    <t>2018-12-13|1073343|5313006|59.25</t>
  </si>
  <si>
    <t>2017-07-20|1321473|3659397|8.4456</t>
  </si>
  <si>
    <t>2017-07-20|1357473|3659534|21.0709</t>
  </si>
  <si>
    <t>2017-07-20|1380573|3660418|10.9952</t>
  </si>
  <si>
    <t>2017-07-20|1340253|3660208|27.6175</t>
  </si>
  <si>
    <t>2018-04-02|1245363|4352386|74.4149</t>
  </si>
  <si>
    <t>2018-04-02|1563093|4352402|76.7213</t>
  </si>
  <si>
    <t>2018-04-02|1563363|4350132|35.0225</t>
  </si>
  <si>
    <t>2018-04-02|1296363|4350166|90.459699999999984</t>
  </si>
  <si>
    <t>2018-04-02|458763|4352077|59.6625</t>
  </si>
  <si>
    <t>2018-04-02|1220073|4350779|75.106</t>
  </si>
  <si>
    <t>2018-04-02|1555203|4351754|31.5833</t>
  </si>
  <si>
    <t>2018-12-14|260553|5317526|43.1666</t>
  </si>
  <si>
    <t>2018-12-14|1207683|5315992|78.375399999999985</t>
  </si>
  <si>
    <t>2018-12-14|1291233|5317858|100.28009999999999</t>
  </si>
  <si>
    <t>2018-12-14|1692153|5316414|25.0433</t>
  </si>
  <si>
    <t>2018-12-14|1644393|5317726|22.9896</t>
  </si>
  <si>
    <t>2018-12-14|1379103|5317676|116.4744</t>
  </si>
  <si>
    <t>2018-12-14|1637013|5317360|45.8095</t>
  </si>
  <si>
    <t>2018-12-14|1816713|5317230|85.423900000000017</t>
  </si>
  <si>
    <t>2018-12-14|1816443|5316239|35.0625</t>
  </si>
  <si>
    <t>2017-07-21|1381053|3662428|12</t>
  </si>
  <si>
    <t>2018-04-03|1327233|4356429|41.962</t>
  </si>
  <si>
    <t>2018-04-03|1409553|4354113|71.2055</t>
  </si>
  <si>
    <t>2018-04-03|1478463|4355257|56.951600000000006</t>
  </si>
  <si>
    <t>2018-04-03|1489683|4355396|112.36240000000001</t>
  </si>
  <si>
    <t>2018-04-03|1564863|4356398|54.602000000000004</t>
  </si>
  <si>
    <t>2018-04-03|1564293|4354316|23.554700000000004</t>
  </si>
  <si>
    <t>2018-12-15|1163223|5320826|79.5214</t>
  </si>
  <si>
    <t>2018-12-15|1141683|5318829|94.9198</t>
  </si>
  <si>
    <t>2018-12-15|1818033|5321164|23.708399999999997</t>
  </si>
  <si>
    <t>2018-12-15|1462173|5320673|61.427</t>
  </si>
  <si>
    <t>2018-12-15|1784793|5320084|24.4407</t>
  </si>
  <si>
    <t>2018-12-15|181533|5321554|11.6967</t>
  </si>
  <si>
    <t>2018-12-15|1817433|5319319|21.1868</t>
  </si>
  <si>
    <t>2018-12-15|1467843|5320572|38.2368</t>
  </si>
  <si>
    <t>2017-07-22|1381413|3663805|68.3242</t>
  </si>
  <si>
    <t>2017-07-22|1381323|3663415|47.1</t>
  </si>
  <si>
    <t>2017-07-22|1304853|3663561|51.9101</t>
  </si>
  <si>
    <t>2017-07-22|1238253|3663886|14.790000000000001</t>
  </si>
  <si>
    <t>2017-07-22|1381683|3664750|14.6454</t>
  </si>
  <si>
    <t>2018-04-04|1524873|4358340|80.6593</t>
  </si>
  <si>
    <t>2018-04-04|1351143|4359340|70.3403</t>
  </si>
  <si>
    <t>2018-04-04|58503|4358751|68.763899999999992</t>
  </si>
  <si>
    <t>2018-04-04|1286103|4356837|173.6105</t>
  </si>
  <si>
    <t>2018-04-04|1522173|4358734|35.4353</t>
  </si>
  <si>
    <t>2018-04-04|1565823|4360002|16.9014</t>
  </si>
  <si>
    <t>2018-04-04|1556343|4358435|19.1167</t>
  </si>
  <si>
    <t>2018-04-04|1138083|4357684|165.2475</t>
  </si>
  <si>
    <t>2018-04-04|1547883|4359529|68.5382</t>
  </si>
  <si>
    <t>2018-04-04|1292223|4358134|103.929</t>
  </si>
  <si>
    <t>2018-04-04|1223523|4358008|120.04750000000001</t>
  </si>
  <si>
    <t>2018-12-16|1819443|5326039|24.8967</t>
  </si>
  <si>
    <t>2018-12-16|1605693|5327010|26.9583</t>
  </si>
  <si>
    <t>2018-12-16|1252173|5323321|50.579100000000004</t>
  </si>
  <si>
    <t>2018-12-16|1687653|5326868|76.093399999999988</t>
  </si>
  <si>
    <t>2018-12-16|1810803|5325794|76.1149</t>
  </si>
  <si>
    <t>2018-12-16|996933|5326841|135.83860000000004</t>
  </si>
  <si>
    <t>2018-12-16|1805133|5324493|92.096099999999993</t>
  </si>
  <si>
    <t>2018-12-16|1791423|5324764|172.13959999999997</t>
  </si>
  <si>
    <t>2018-12-16|1607613|5326038|96.5768</t>
  </si>
  <si>
    <t>2018-12-16|1818693|5323368|71.99130000000001</t>
  </si>
  <si>
    <t>2018-12-16|1465233|5326090|90.6787</t>
  </si>
  <si>
    <t>2018-12-16|1818303|5322003|75.779199999999989</t>
  </si>
  <si>
    <t>2018-12-16|1406043|5322353|67.475799999999992</t>
  </si>
  <si>
    <t>2017-07-23|1151883|3665024|148.03910000000002</t>
  </si>
  <si>
    <t>2017-07-23|1382133|3666453|7.3378</t>
  </si>
  <si>
    <t>2017-07-23|1302723|3666812|113.7064</t>
  </si>
  <si>
    <t>2017-07-23|1223523|3665426|61.212099999999992</t>
  </si>
  <si>
    <t>2018-04-05|1267803|4362718|79.344</t>
  </si>
  <si>
    <t>2018-04-05|278733|4362941|66.3841</t>
  </si>
  <si>
    <t>2018-04-05|1307673|4360540|40.3304</t>
  </si>
  <si>
    <t>2018-04-05|1046973|4361837|18.152</t>
  </si>
  <si>
    <t>2018-12-17|1819743|5327166|42.9895</t>
  </si>
  <si>
    <t>2018-12-17|1623573|5328975|27.7248</t>
  </si>
  <si>
    <t>2018-12-17|1803513|5329549|4.7299</t>
  </si>
  <si>
    <t>2018-12-17|1648683|5329872|135.264</t>
  </si>
  <si>
    <t>2018-12-17|1444053|5327220|65.8334</t>
  </si>
  <si>
    <t>2017-07-24|1291233|3667684|65.3948</t>
  </si>
  <si>
    <t>2017-07-24|1382673|3668775|74.563200000000009</t>
  </si>
  <si>
    <t>2017-07-24|1279323|3667468|38.5501</t>
  </si>
  <si>
    <t>2017-07-24|1382613|3668597|17.8294</t>
  </si>
  <si>
    <t>2017-07-24|391113|3667610|74.3396</t>
  </si>
  <si>
    <t>2018-04-06|1287393|4363918|85.9618</t>
  </si>
  <si>
    <t>2018-04-06|1567053|4364816|46.512199999999993</t>
  </si>
  <si>
    <t>2018-04-06|1128333|4364276|62.9544</t>
  </si>
  <si>
    <t>2018-04-06|266283|4363886|79.369700000000023</t>
  </si>
  <si>
    <t>2018-04-06|1141683|4364366|72.5961</t>
  </si>
  <si>
    <t>2018-04-06|1566813|4363891|15.245899999999999</t>
  </si>
  <si>
    <t>2018-12-18|1821753|5334327|50.9292</t>
  </si>
  <si>
    <t>2018-12-18|1821573|5333816|30.625</t>
  </si>
  <si>
    <t>2018-12-18|1616763|5333734|25.202099999999998</t>
  </si>
  <si>
    <t>2017-07-25|186663|3670383|100.6553</t>
  </si>
  <si>
    <t>2017-07-25|1206753|3670750|46.581699999999991</t>
  </si>
  <si>
    <t>2017-07-25|1318413|3670929|12.427900000000001</t>
  </si>
  <si>
    <t>2018-04-07|358443|4367939|134.66060000000002</t>
  </si>
  <si>
    <t>2018-04-07|1567863|4367663|29.75</t>
  </si>
  <si>
    <t>2018-04-07|1567323|4365794|80.5925</t>
  </si>
  <si>
    <t>2018-04-07|1410633|4366147|62.042500000000004</t>
  </si>
  <si>
    <t>2018-04-07|366003|4366759|93.133400000000023</t>
  </si>
  <si>
    <t>2018-12-19|1822683|5337409|7.5</t>
  </si>
  <si>
    <t>2018-12-19|188823|5335148|77.112400000000008</t>
  </si>
  <si>
    <t>2018-12-19|1822203|5335932|10.2125</t>
  </si>
  <si>
    <t>2018-12-19|184683|5336780|83.3956</t>
  </si>
  <si>
    <t>2018-12-19|1261383|5337555|213.29340000000002</t>
  </si>
  <si>
    <t>2018-12-19|1822443|5336675|28.25</t>
  </si>
  <si>
    <t>2017-07-26|1383813|3673325|9.5576</t>
  </si>
  <si>
    <t>2017-07-26|1384113|3674426|97.69</t>
  </si>
  <si>
    <t>2017-07-26|1039983|3674362|75.2737</t>
  </si>
  <si>
    <t>2017-07-26|1207683|3672640|71.905899999999988</t>
  </si>
  <si>
    <t>2018-04-08|367683|4368983|73.2822</t>
  </si>
  <si>
    <t>2018-04-08|1533513|4368784|71.6949</t>
  </si>
  <si>
    <t>2018-04-08|1220583|4371519|83.0467</t>
  </si>
  <si>
    <t>2018-04-08|1535343|4371501|16.5</t>
  </si>
  <si>
    <t>2018-04-08|1568163|4368906|13.5363</t>
  </si>
  <si>
    <t>2018-04-08|247473|4369358|98.159900000000022</t>
  </si>
  <si>
    <t>2018-12-20|1592163|5338231|91.87469999999999</t>
  </si>
  <si>
    <t>2018-12-20|1754043|5338541|168.24699999999999</t>
  </si>
  <si>
    <t>2018-12-20|1286103|5340356|168.63920000000002</t>
  </si>
  <si>
    <t>2018-12-20|1812753|5339715|14.7652</t>
  </si>
  <si>
    <t>2018-12-20|1823163|5339049|41.1957</t>
  </si>
  <si>
    <t>2018-12-20|1823523|5340328|81.3804</t>
  </si>
  <si>
    <t>2018-12-20|1318413|5338459|156.7928</t>
  </si>
  <si>
    <t>2018-12-20|1580073|5339645|46.7296</t>
  </si>
  <si>
    <t>2018-12-20|1823103|5338874|36.5723</t>
  </si>
  <si>
    <t>2018-12-20|1823553|5340417|24.9917</t>
  </si>
  <si>
    <t>2017-07-27|1384593|3676261|36.628</t>
  </si>
  <si>
    <t>2017-07-27|1149063|3675217|59.458699999999993</t>
  </si>
  <si>
    <t>2017-07-27|1177893|3675035|99.181000000000012</t>
  </si>
  <si>
    <t>2017-07-27|1234923|3675389|6.996</t>
  </si>
  <si>
    <t>2018-04-09|1569543|4374536|79.083300000000008</t>
  </si>
  <si>
    <t>2018-04-09|228423|4375659|115.87729999999999</t>
  </si>
  <si>
    <t>2018-04-09|1426383|4375033|120.8492</t>
  </si>
  <si>
    <t>2018-04-09|465123|4372939|70.289999999999992</t>
  </si>
  <si>
    <t>2018-04-09|1569243|4373358|23.2783</t>
  </si>
  <si>
    <t>2018-04-09|221733|4373022|361.753</t>
  </si>
  <si>
    <t>2018-04-09|884403|4372270|53.0875</t>
  </si>
  <si>
    <t>2018-04-09|62733|4375396|32.633</t>
  </si>
  <si>
    <t>2018-12-21|1823643|5340966|51.7479</t>
  </si>
  <si>
    <t>2018-12-21|1588233|5341098|113.90029999999999</t>
  </si>
  <si>
    <t>2018-12-21|1284063|5341560|65.1532</t>
  </si>
  <si>
    <t>2018-12-21|1252983|5341775|20.926099999999998</t>
  </si>
  <si>
    <t>2018-12-21|1823853|5341527|57.5</t>
  </si>
  <si>
    <t>2018-12-21|1823973|5341922|21.9375</t>
  </si>
  <si>
    <t>2017-07-28|1319373|3677188|99.550799999999981</t>
  </si>
  <si>
    <t>2017-07-28|1113423|3677535|65.0672</t>
  </si>
  <si>
    <t>2017-07-28|1328943|3677951|73.835399999999993</t>
  </si>
  <si>
    <t>2017-07-28|1188063|3677910|20.2929</t>
  </si>
  <si>
    <t>2018-04-10|1546173|4378097|59.3836</t>
  </si>
  <si>
    <t>2018-04-10|1570083|4376666|12.837</t>
  </si>
  <si>
    <t>2018-04-10|1570653|4378550|79.3215</t>
  </si>
  <si>
    <t>2018-04-10|1194483|4376329|120.03649999999999</t>
  </si>
  <si>
    <t>2018-04-10|1455903|4376052|88.04440000000001</t>
  </si>
  <si>
    <t>2018-04-10|1477113|4378102|55.7867</t>
  </si>
  <si>
    <t>2018-04-10|1570053|4376585|24.607</t>
  </si>
  <si>
    <t>2018-12-22|1173993|5342434|93.431000000000012</t>
  </si>
  <si>
    <t>2018-12-22|1423773|5342590|46.5833</t>
  </si>
  <si>
    <t>2018-12-22|1824453|5343414|53.1503</t>
  </si>
  <si>
    <t>2018-12-22|1824123|5342436|35.8335</t>
  </si>
  <si>
    <t>2018-12-22|1292853|5342616|19.1666</t>
  </si>
  <si>
    <t>2017-07-29|260853|3680307|8.25</t>
  </si>
  <si>
    <t>2017-07-29|1255293|3679871|22.3365</t>
  </si>
  <si>
    <t>2017-07-29|1341213|3679423|65.8333</t>
  </si>
  <si>
    <t>2017-07-29|1385613|3680225|71.8277</t>
  </si>
  <si>
    <t>2017-07-29|1174923|3679440|2.9858</t>
  </si>
  <si>
    <t>2017-07-29|1385673|3680431|219.9167</t>
  </si>
  <si>
    <t>2018-04-11|1570893|4379464|23.7762</t>
  </si>
  <si>
    <t>2018-04-11|474633|4380194|167.06839999999994</t>
  </si>
  <si>
    <t>2018-04-11|1501053|4379377|107.076</t>
  </si>
  <si>
    <t>2018-04-11|1332093|4381140|28.067</t>
  </si>
  <si>
    <t>2018-04-11|1571433|4381229|56.356399999999994</t>
  </si>
  <si>
    <t>2018-04-11|1475553|4380953|53.229400000000005</t>
  </si>
  <si>
    <t>2018-04-11|1428003|4379694|66.2346</t>
  </si>
  <si>
    <t>2018-12-23|1011093|5343647|50.9901</t>
  </si>
  <si>
    <t>2018-12-23|1824753|5344370|92.6548</t>
  </si>
  <si>
    <t>2018-12-23|1599783|5344740|30.1679</t>
  </si>
  <si>
    <t>2018-12-23|235353|5344097|31.808300000000003</t>
  </si>
  <si>
    <t>2018-12-23|1824693|5344276|56.5833</t>
  </si>
  <si>
    <t>2018-12-23|1011093|5344322|97.522699999999986</t>
  </si>
  <si>
    <t>2018-12-23|1374483|5343845|50.8935</t>
  </si>
  <si>
    <t>2018-12-23|1824783|5344474|20</t>
  </si>
  <si>
    <t>2018-12-23|1236333|5345182|81.348700000000008</t>
  </si>
  <si>
    <t>2017-07-30|1386303|3682911|43.4227</t>
  </si>
  <si>
    <t>2017-07-30|1385223|3682426|149.1667</t>
  </si>
  <si>
    <t>2017-07-30|1386093|3682096|14.395199999999999</t>
  </si>
  <si>
    <t>2017-07-30|1351803|3681969|119.2696</t>
  </si>
  <si>
    <t>2017-07-30|260853|3682162|70.63539999999999</t>
  </si>
  <si>
    <t>2017-07-30|1242753|3683078|67.4808</t>
  </si>
  <si>
    <t>2017-07-30|1237893|3681275|68.280599999999993</t>
  </si>
  <si>
    <t>2018-04-12|1571643|4381878|69.0359</t>
  </si>
  <si>
    <t>2018-04-12|1572153|4383544|55.9242</t>
  </si>
  <si>
    <t>2018-04-12|414963|4383830|60.053000000000004</t>
  </si>
  <si>
    <t>2018-04-12|1571703|4382065|18.384</t>
  </si>
  <si>
    <t>2018-04-12|1528353|4381695|161.3216</t>
  </si>
  <si>
    <t>2018-04-12|1572213|4383711|69.9813</t>
  </si>
  <si>
    <t>2018-04-12|142833|4383641|111.07670000000002</t>
  </si>
  <si>
    <t>2018-12-24|1825083|5345586|12.6064</t>
  </si>
  <si>
    <t>2018-12-24|1824723|5345425|9.5792</t>
  </si>
  <si>
    <t>2018-12-24|1825143|5345787|60.117000000000004</t>
  </si>
  <si>
    <t>2018-12-24|1567053|5346150|76.2192</t>
  </si>
  <si>
    <t>2017-07-31|1387023|3685945|9.8334</t>
  </si>
  <si>
    <t>2017-07-31|1386543|3683931|19.714199999999998</t>
  </si>
  <si>
    <t>2017-07-31|1155453|3684888|37.45</t>
  </si>
  <si>
    <t>2017-07-31|391113|3683740|47.906800000000004</t>
  </si>
  <si>
    <t>2018-04-13|1572843|4385866|35.278700000000008</t>
  </si>
  <si>
    <t>2018-04-13|1544463|4385448|32.6332</t>
  </si>
  <si>
    <t>2018-04-13|235353|4384832|19.1334</t>
  </si>
  <si>
    <t>2018-12-25|1817073|5347333|43.4387</t>
  </si>
  <si>
    <t>2018-12-25|1407333|5346784|69.9774</t>
  </si>
  <si>
    <t>2017-08-01|1270233|3687249|36.0542</t>
  </si>
  <si>
    <t>2017-08-01|1387113|3686414|56.7544</t>
  </si>
  <si>
    <t>2017-08-01|1384563|3687655|48.5167</t>
  </si>
  <si>
    <t>2017-08-01|1209063|3687124|106.50989999999999</t>
  </si>
  <si>
    <t>2017-08-01|391113|3687115|55.105999999999995</t>
  </si>
  <si>
    <t>2017-08-01|1378683|3686741|95.188600000000008</t>
  </si>
  <si>
    <t>2018-04-14|1573173|4386958|46.9506</t>
  </si>
  <si>
    <t>2018-04-14|1573503|4388113|66.3411</t>
  </si>
  <si>
    <t>2018-04-14|1372173|4388020|105.3904</t>
  </si>
  <si>
    <t>2018-04-14|334263|4388240|106.5151</t>
  </si>
  <si>
    <t>2018-04-14|1573383|4387705|41.1667</t>
  </si>
  <si>
    <t>2018-04-14|1437663|4387216|80.6271</t>
  </si>
  <si>
    <t>2018-12-26|1690593|5348109|67.892099999999985</t>
  </si>
  <si>
    <t>2018-12-26|423153|5348555|120.50549999999998</t>
  </si>
  <si>
    <t>2018-12-26|361563|5348381|22.9668</t>
  </si>
  <si>
    <t>2018-12-26|1428633|5349351|175.87720000000002</t>
  </si>
  <si>
    <t>2018-12-26|1712253|5347558|110.3711</t>
  </si>
  <si>
    <t>2018-12-26|217743|5347821|95.1965</t>
  </si>
  <si>
    <t>2017-08-02|1388133|3690735|20.9908</t>
  </si>
  <si>
    <t>2017-08-02|1341843|3689914|81.0107</t>
  </si>
  <si>
    <t>2017-08-02|1387623|3688596|84.785599999999988</t>
  </si>
  <si>
    <t>2017-08-02|1387833|3689516|67.145800000000008</t>
  </si>
  <si>
    <t>2017-08-02|1326993|3690157|86.5277</t>
  </si>
  <si>
    <t>2017-08-02|1387683|3688859|48.775700000000008</t>
  </si>
  <si>
    <t>2018-04-15|1061973|4390891|70.9749</t>
  </si>
  <si>
    <t>2018-04-15|1307373|4389214|90.556699999999992</t>
  </si>
  <si>
    <t>2018-04-15|1495473|4389234|69.2531</t>
  </si>
  <si>
    <t>2018-04-15|1156593|4388446|65.7886</t>
  </si>
  <si>
    <t>2018-04-15|1344573|4389928|71.8181</t>
  </si>
  <si>
    <t>2018-04-15|1224573|4390388|26.1137</t>
  </si>
  <si>
    <t>2018-04-15|1435293|4389876|109.5735</t>
  </si>
  <si>
    <t>2018-04-15|1125543|4388401|27.3938</t>
  </si>
  <si>
    <t>2018-12-27|1819503|5349753|71.55</t>
  </si>
  <si>
    <t>2017-08-03|1245363|3692550|104.80180000000001</t>
  </si>
  <si>
    <t>2017-08-03|1050153|3692427|67.1528</t>
  </si>
  <si>
    <t>2017-08-03|1388343|3691708|53.813599999999994</t>
  </si>
  <si>
    <t>2017-08-03|1387443|3691284|69.8584</t>
  </si>
  <si>
    <t>2018-04-16|1185843|4394091|65.3708</t>
  </si>
  <si>
    <t>2018-04-16|1574913|4393306|21.805</t>
  </si>
  <si>
    <t>2018-12-28|1827213|5352962|51.6952</t>
  </si>
  <si>
    <t>2018-12-28|1747713|5353033|84.070999999999984</t>
  </si>
  <si>
    <t>2018-12-28|1578423|5352296|98.8383</t>
  </si>
  <si>
    <t>2017-08-04|1313943|3693728|60.6249</t>
  </si>
  <si>
    <t>2017-08-04|1364913|3694650|119.3609</t>
  </si>
  <si>
    <t>2017-08-04|1082913|3694539|131.7773</t>
  </si>
  <si>
    <t>2017-08-04|1184643|3693594|94.187400000000011</t>
  </si>
  <si>
    <t>2017-08-04|1389093|3694721|15.3297</t>
  </si>
  <si>
    <t>2018-04-17|1473483|4396825|115.65379999999998</t>
  </si>
  <si>
    <t>2018-04-17|1434813|4395399|279.5636</t>
  </si>
  <si>
    <t>2018-12-29|1827603|5354205|21.9674</t>
  </si>
  <si>
    <t>2018-12-29|1261383|5354610|77.510799999999989</t>
  </si>
  <si>
    <t>2018-12-29|1157373|5353944|64.2654</t>
  </si>
  <si>
    <t>2018-12-29|1827873|5355283|142.4282</t>
  </si>
  <si>
    <t>2018-12-29|358443|5356114|97.3416</t>
  </si>
  <si>
    <t>2018-12-29|1048593|5354613|137.782</t>
  </si>
  <si>
    <t>2017-08-05|1276743|3695037|29.9833</t>
  </si>
  <si>
    <t>2017-08-05|1389153|3694990|23.4965</t>
  </si>
  <si>
    <t>2018-04-18|1252173|4398788|111.9324</t>
  </si>
  <si>
    <t>2018-04-18|392763|4398774|71.498199999999983</t>
  </si>
  <si>
    <t>2018-04-18|1575603|4397892|77.4874</t>
  </si>
  <si>
    <t>2018-04-18|309093|4397807|85.7605</t>
  </si>
  <si>
    <t>2018-04-18|1576473|4399099|25.6667</t>
  </si>
  <si>
    <t>2018-12-30|426423|5357494|109.0661</t>
  </si>
  <si>
    <t>2018-12-30|1352493|5357358|48.0082</t>
  </si>
  <si>
    <t>2018-12-30|1670943|5356465|45.3958</t>
  </si>
  <si>
    <t>2018-12-30|1416123|5357515|47.3463</t>
  </si>
  <si>
    <t>2018-12-30|1749693|5357544|82.86</t>
  </si>
  <si>
    <t>2018-12-30|1450503|5357740|11.85</t>
  </si>
  <si>
    <t>2018-12-30|1409553|5358170|75.5148</t>
  </si>
  <si>
    <t>2018-12-30|1270953|5356587|19.5356</t>
  </si>
  <si>
    <t>2017-08-06|286983|3697887|29.15</t>
  </si>
  <si>
    <t>2017-08-06|1089273|3697489|74.52409999999999</t>
  </si>
  <si>
    <t>2017-08-06|1236333|3697626|137.0153</t>
  </si>
  <si>
    <t>2018-04-19|1433553|4399515|132.18740000000003</t>
  </si>
  <si>
    <t>2018-04-19|1416123|4401361|71.0455</t>
  </si>
  <si>
    <t>2018-04-19|1162143|4400631|89.36930000000001</t>
  </si>
  <si>
    <t>2018-04-19|1576353|4401322|23.412399999999998</t>
  </si>
  <si>
    <t>2018-04-19|1218303|4399632|57.719899999999996</t>
  </si>
  <si>
    <t>2018-04-19|1163223|4401275|16.2166</t>
  </si>
  <si>
    <t>2018-04-19|234783|4400120|167.054</t>
  </si>
  <si>
    <t>2018-12-31|1829373|5361044|79.625800000000012</t>
  </si>
  <si>
    <t>2018-12-31|1611873|5360838|134.5332</t>
  </si>
  <si>
    <t>2018-12-31|1829223|5360387|60.33</t>
  </si>
  <si>
    <t>2018-12-31|1427553|5360722|186.8008</t>
  </si>
  <si>
    <t>2018-12-31|1427553|5360760|76.8037</t>
  </si>
  <si>
    <t>2017-08-07|391113|3699234|44.8043</t>
  </si>
  <si>
    <t>2017-08-07|1390533|3700642|36.4089</t>
  </si>
  <si>
    <t>2017-08-07|1246893|3699747|204.7083</t>
  </si>
  <si>
    <t>2018-04-20|217743|4402832|164.0812</t>
  </si>
  <si>
    <t>2018-04-20|1577253|4401792|38.623</t>
  </si>
  <si>
    <t>2017-08-08|1391163|3703403|80.925</t>
  </si>
  <si>
    <t>2017-08-08|1273263|3702779|40.9093</t>
  </si>
  <si>
    <t>2017-08-08|1128333|3703012|58.3079</t>
  </si>
  <si>
    <t>2017-08-08|1334643|3701575|119.3972</t>
  </si>
  <si>
    <t>2017-08-08|1292943|3701869|203.78439999999995</t>
  </si>
  <si>
    <t>2017-08-08|1390683|3703250|246.6902</t>
  </si>
  <si>
    <t>2017-08-08|366003|3701984|126.89770000000004</t>
  </si>
  <si>
    <t>2018-04-21|1348683|4404799|99.545000000000016</t>
  </si>
  <si>
    <t>2018-04-21|1491273|4404521|73.0483</t>
  </si>
  <si>
    <t>2018-04-21|481893|4403556|92.331400000000016</t>
  </si>
  <si>
    <t>2017-08-09|1246893|3704359|91.375</t>
  </si>
  <si>
    <t>2017-08-09|1391493|3704705|75.2916</t>
  </si>
  <si>
    <t>2018-04-22|1184643|4407730|119.17469999999996</t>
  </si>
  <si>
    <t>2018-04-22|1578753|4407176|489.887</t>
  </si>
  <si>
    <t>2018-04-22|1407333|4405338|216.9647</t>
  </si>
  <si>
    <t>2018-04-22|1578423|4405954|122.71379999999999</t>
  </si>
  <si>
    <t>2017-08-10|1338723|3706108|66.2445</t>
  </si>
  <si>
    <t>2017-08-10|1391883|3706454|38.25</t>
  </si>
  <si>
    <t>2017-08-10|1391433|3706463|5.9925</t>
  </si>
  <si>
    <t>2017-08-10|1392033|3707141|51</t>
  </si>
  <si>
    <t>2017-08-10|1291233|3707157|103.39209999999999</t>
  </si>
  <si>
    <t>2018-04-23|1566813|4408380|29.7501</t>
  </si>
  <si>
    <t>2018-04-23|1405893|4408252|74.9138</t>
  </si>
  <si>
    <t>2018-04-23|1579563|4410313|18.6954</t>
  </si>
  <si>
    <t>2018-04-23|143763|4408326|46.919</t>
  </si>
  <si>
    <t>2018-04-23|345093|4410291|59.0833</t>
  </si>
  <si>
    <t>2018-04-23|1543923|4409699|64.702</t>
  </si>
  <si>
    <t>2017-08-11|1336473|3709590|180.54049999999995</t>
  </si>
  <si>
    <t>2017-08-11|1198923|3708510|128.8588</t>
  </si>
  <si>
    <t>2017-08-11|1392573|3709442|84.8815</t>
  </si>
  <si>
    <t>2018-04-24|1455873|4413244|101.35659999999999</t>
  </si>
  <si>
    <t>2018-04-24|1580253|4413111|24.91</t>
  </si>
  <si>
    <t>2018-04-24|1549233|4413750|16.1544</t>
  </si>
  <si>
    <t>2018-04-24|1535193|4411453|34.0984</t>
  </si>
  <si>
    <t>2018-04-24|1579953|4411954|93.54</t>
  </si>
  <si>
    <t>2018-04-24|1580073|4412472|51.014</t>
  </si>
  <si>
    <t>2018-04-24|1580223|4413021|7.7631</t>
  </si>
  <si>
    <t>2017-08-12|1194483|3710231|177.15410000000003</t>
  </si>
  <si>
    <t>2017-08-12|1190553|3710967|32.4167</t>
  </si>
  <si>
    <t>2017-08-12|884403|3710499|71.38</t>
  </si>
  <si>
    <t>2018-04-25|1274823|4414107|64.226</t>
  </si>
  <si>
    <t>2018-04-25|1533183|4414219|79.239499999999992</t>
  </si>
  <si>
    <t>2018-04-25|1216983|4415874|37.52</t>
  </si>
  <si>
    <t>2018-04-25|1207683|4413944|85.602100000000007</t>
  </si>
  <si>
    <t>2018-04-25|1030023|4413867|88.103300000000019</t>
  </si>
  <si>
    <t>2017-08-13|1387113|3711545|183.11649999999997</t>
  </si>
  <si>
    <t>2017-08-13|1269453|3711750|68.444799999999987</t>
  </si>
  <si>
    <t>2017-08-13|1271673|3713034|39.9084</t>
  </si>
  <si>
    <t>2017-08-13|1185843|3712829|76.0367</t>
  </si>
  <si>
    <t>2018-04-26|1441233|4417550|9.3758</t>
  </si>
  <si>
    <t>2018-04-26|248073|4418841|76.855899999999991</t>
  </si>
  <si>
    <t>2018-04-26|1478823|4418726|69.274999999999991</t>
  </si>
  <si>
    <t>2017-08-14|1393743|3713976|37.8389</t>
  </si>
  <si>
    <t>2017-08-14|1393683|3713673|51.6361</t>
  </si>
  <si>
    <t>2017-08-14|234783|3714649|86.988800000000012</t>
  </si>
  <si>
    <t>2017-08-14|1393623|3713402|105.85529999999999</t>
  </si>
  <si>
    <t>2017-08-14|1046973|3714106|46.5782</t>
  </si>
  <si>
    <t>2018-04-27|1341843|4419784|217.78900000000004</t>
  </si>
  <si>
    <t>2018-04-27|1581843|4419715|14</t>
  </si>
  <si>
    <t>2018-04-27|1515603|4419548|81.5606</t>
  </si>
  <si>
    <t>2018-04-27|1077423|4419401|204.2578</t>
  </si>
  <si>
    <t>2018-04-27|1582023|4420445|16.7169</t>
  </si>
  <si>
    <t>2017-08-15|391113|3715795|45.6029</t>
  </si>
  <si>
    <t>2017-08-15|231213|3716387|149.2514</t>
  </si>
  <si>
    <t>2017-08-15|1106103|3717276|79.5325</t>
  </si>
  <si>
    <t>2017-08-15|367683|3716029|43.9887</t>
  </si>
  <si>
    <t>2017-08-15|1394373|3716656|149.1667</t>
  </si>
  <si>
    <t>2017-08-15|289563|3716269|33.9083</t>
  </si>
  <si>
    <t>2018-04-28|426423|4422046|86.1796</t>
  </si>
  <si>
    <t>2018-04-28|146283|4422586|90.041</t>
  </si>
  <si>
    <t>2017-08-16|1369953|3718596|104.7595</t>
  </si>
  <si>
    <t>2017-08-16|1394643|3717820|23.0076</t>
  </si>
  <si>
    <t>2017-08-16|1239183|3718777|62.6667</t>
  </si>
  <si>
    <t>2017-08-16|1387113|3719518|8.25</t>
  </si>
  <si>
    <t>2018-04-29|948573|4426744|47.6209</t>
  </si>
  <si>
    <t>2018-04-29|1435473|4423718|81.5255</t>
  </si>
  <si>
    <t>2018-04-29|392763|4424641|82.1181</t>
  </si>
  <si>
    <t>2018-04-29|1527813|4425499|68.980899999999991</t>
  </si>
  <si>
    <t>2018-04-29|1582983|4424045|16.104400000000002</t>
  </si>
  <si>
    <t>2018-04-29|1051953|4426406|62.678</t>
  </si>
  <si>
    <t>2018-04-29|1165353|4425395|121.7364</t>
  </si>
  <si>
    <t>2017-08-17|1395243|3720235|98.8721</t>
  </si>
  <si>
    <t>2017-08-17|290643|3721032|111.27409999999999</t>
  </si>
  <si>
    <t>2018-04-30|1474593|4427322|38.7342</t>
  </si>
  <si>
    <t>2018-04-30|1144893|4430232|71.95320000000001</t>
  </si>
  <si>
    <t>2018-04-30|1188093|4430040|28.6282</t>
  </si>
  <si>
    <t>2018-04-30|1583163|4427359|23.721999999999998</t>
  </si>
  <si>
    <t>2018-04-30|1584333|4429938|87.2667</t>
  </si>
  <si>
    <t>2018-04-30|1561593|4428591|121.759</t>
  </si>
  <si>
    <t>2018-04-30|1261383|4427450|92.465600000000009</t>
  </si>
  <si>
    <t>2018-04-30|1584213|4429843|71.8705</t>
  </si>
  <si>
    <t>2018-04-30|1350603|4428677|27.5996</t>
  </si>
  <si>
    <t>2018-04-30|1145583|4428317|43.824</t>
  </si>
  <si>
    <t>2018-04-30|1089273|4427638|40.825</t>
  </si>
  <si>
    <t>2018-04-30|1584123|4429109|44.9834</t>
  </si>
  <si>
    <t>2017-08-18|1395993|3723217|67.415900000000008</t>
  </si>
  <si>
    <t>2017-08-18|1395873|3722731|25.2649</t>
  </si>
  <si>
    <t>2017-08-18|1286103|3724269|285.4597</t>
  </si>
  <si>
    <t>2017-08-18|1238253|3722973|9.3756</t>
  </si>
  <si>
    <t>2018-05-01|1491033|4430872|48.994</t>
  </si>
  <si>
    <t>2018-05-01|1179483|4432772|140.1079</t>
  </si>
  <si>
    <t>2018-05-01|428643|4430682|13.948</t>
  </si>
  <si>
    <t>2018-05-01|1110273|4430584|73.5948</t>
  </si>
  <si>
    <t>2017-08-19|1396713|3725669|28.35</t>
  </si>
  <si>
    <t>2017-08-19|1396503|3725023|58.6656</t>
  </si>
  <si>
    <t>2017-08-19|1396473|3724905|95.625</t>
  </si>
  <si>
    <t>2017-08-19|1396413|3724689|36.5833</t>
  </si>
  <si>
    <t>2017-08-19|1274853|3725351|53.9813</t>
  </si>
  <si>
    <t>2018-05-02|1585893|4436274|58.6583</t>
  </si>
  <si>
    <t>2018-05-02|1585413|4435776|22.4917</t>
  </si>
  <si>
    <t>2018-05-02|1011633|4433747|275.72269999999992</t>
  </si>
  <si>
    <t>2017-08-20|1084803|3726921|69.566200000000009</t>
  </si>
  <si>
    <t>2018-05-03|1381413|4437489|104.7655</t>
  </si>
  <si>
    <t>2018-05-03|1428633|4437684|148.6133</t>
  </si>
  <si>
    <t>2018-05-03|1383813|4437035|13.3806</t>
  </si>
  <si>
    <t>2018-05-03|1195233|4438045|46.663299999999992</t>
  </si>
  <si>
    <t>2018-05-03|1457763|4438615|80.6593</t>
  </si>
  <si>
    <t>2018-05-03|1122033|4438820|71.1902</t>
  </si>
  <si>
    <t>2017-08-21|1397703|3729621|45.3176</t>
  </si>
  <si>
    <t>2017-08-21|267663|3730198|27.475899999999996</t>
  </si>
  <si>
    <t>2017-08-21|1102863|3728985|75.984799999999993</t>
  </si>
  <si>
    <t>2017-08-21|1274823|3731184|97.0377</t>
  </si>
  <si>
    <t>2017-08-21|395523|3729815|72.1046</t>
  </si>
  <si>
    <t>2017-08-21|1397853|3730236|43.225</t>
  </si>
  <si>
    <t>2018-05-04|91623|4439028|23.2264</t>
  </si>
  <si>
    <t>2018-05-04|1334643|4440121|87.1409</t>
  </si>
  <si>
    <t>2018-05-04|1234173|4439974|68.75</t>
  </si>
  <si>
    <t>2018-05-04|1587033|4440636|7.4904</t>
  </si>
  <si>
    <t>2018-05-04|1477113|4439574|95.0734</t>
  </si>
  <si>
    <t>2018-05-04|490203|4440606|96.1437</t>
  </si>
  <si>
    <t>2017-08-22|1151013|3733160|103.87370000000003</t>
  </si>
  <si>
    <t>2017-08-22|186663|3732597|80.2267</t>
  </si>
  <si>
    <t>2017-08-22|1061973|3732571|36.4579</t>
  </si>
  <si>
    <t>2017-08-22|1398123|3731404|14.1472</t>
  </si>
  <si>
    <t>2017-08-22|1398303|3732101|88.72</t>
  </si>
  <si>
    <t>2017-08-22|1222383|3731323|8.2425</t>
  </si>
  <si>
    <t>2017-08-22|1398153|3731504|12.2544</t>
  </si>
  <si>
    <t>2017-08-22|184683|3733100|63.4228</t>
  </si>
  <si>
    <t>2017-08-22|1101993|3732438|31.5833</t>
  </si>
  <si>
    <t>2018-05-05|1040313|4441766|223.2779</t>
  </si>
  <si>
    <t>2018-05-05|1128333|4441213|46.199900000000007</t>
  </si>
  <si>
    <t>2017-08-23|1348683|3735654|50.6407</t>
  </si>
  <si>
    <t>2017-08-23|1350873|3734056|99.938099999999991</t>
  </si>
  <si>
    <t>2017-08-23|1339623|3735181|51.057</t>
  </si>
  <si>
    <t>2017-08-23|1398273|3735562|68.477899999999991</t>
  </si>
  <si>
    <t>2018-05-06|1587693|4443097|73.699000000000012</t>
  </si>
  <si>
    <t>2018-05-06|1209573|4442991|50.256</t>
  </si>
  <si>
    <t>2017-08-24|1261383|3737613|128.16100000000003</t>
  </si>
  <si>
    <t>2017-08-24|1333263|3737483|133.4088</t>
  </si>
  <si>
    <t>2017-08-24|1370283|3737687|85.444099999999963</t>
  </si>
  <si>
    <t>2017-08-24|486093|3737015|56.7423</t>
  </si>
  <si>
    <t>2017-08-24|1399533|3737101|41.6389</t>
  </si>
  <si>
    <t>2017-08-24|1393623|3736520|146.29010000000002</t>
  </si>
  <si>
    <t>2018-05-07|473733|4445455|33</t>
  </si>
  <si>
    <t>2018-05-07|1451553|4446799|106.0655</t>
  </si>
  <si>
    <t>2018-05-07|1556523|4447035|44.4172</t>
  </si>
  <si>
    <t>2018-05-07|1350873|4446255|57.8054</t>
  </si>
  <si>
    <t>2018-05-07|1588233|4445297|184.6788</t>
  </si>
  <si>
    <t>2018-05-07|1096713|4445824|74.761</t>
  </si>
  <si>
    <t>2018-05-07|1474893|4447597|68.4</t>
  </si>
  <si>
    <t>2018-05-07|423153|4445978|84.4195</t>
  </si>
  <si>
    <t>2017-08-25|1184643|3739537|92.917799999999971</t>
  </si>
  <si>
    <t>2017-08-25|1080153|3738832|123.2987</t>
  </si>
  <si>
    <t>2017-08-25|63963|3738665|39.423</t>
  </si>
  <si>
    <t>2017-08-25|1220073|3739520|88.234000000000009</t>
  </si>
  <si>
    <t>2017-08-25|1259703|3739891|72.682</t>
  </si>
  <si>
    <t>2018-05-08|1491033|4450594|37.279799999999994</t>
  </si>
  <si>
    <t>2018-05-08|1236333|4449882|128.1963</t>
  </si>
  <si>
    <t>2018-05-08|1528623|4449483|311.39519999999993</t>
  </si>
  <si>
    <t>2018-05-08|1409553|4449755|43.126899999999992</t>
  </si>
  <si>
    <t>2018-05-08|1433613|4449853|69.53649999999999</t>
  </si>
  <si>
    <t>2018-05-08|1546173|4449917|72.6888</t>
  </si>
  <si>
    <t>2018-05-08|1589253|4449851|45.263</t>
  </si>
  <si>
    <t>2018-05-08|1510953|4448316|55.8213</t>
  </si>
  <si>
    <t>2018-05-08|1019493|4448241|88.273000000000025</t>
  </si>
  <si>
    <t>2018-05-08|1589163|4449536|65.38130000000001</t>
  </si>
  <si>
    <t>2018-05-08|1239183|4449423|81.145800000000008</t>
  </si>
  <si>
    <t>2018-05-08|1589013|4448751|23.794800000000002</t>
  </si>
  <si>
    <t>2017-08-26|1165353|3741416|65.9281</t>
  </si>
  <si>
    <t>2018-05-09|848373|4453208|74.0666</t>
  </si>
  <si>
    <t>2018-05-09|146733|4452959|78.2227</t>
  </si>
  <si>
    <t>2017-08-27|1212753|3742656|39.9258</t>
  </si>
  <si>
    <t>2017-08-27|1401573|3745002|103.454</t>
  </si>
  <si>
    <t>2017-08-27|1401483|3744570|40.7772</t>
  </si>
  <si>
    <t>2017-08-27|1156233|3742495|50.6163</t>
  </si>
  <si>
    <t>2017-08-27|1110273|3744803|112.1439</t>
  </si>
  <si>
    <t>2017-08-27|358443|3744678|63.5459</t>
  </si>
  <si>
    <t>2017-08-27|1128693|3744633|43.856500000000004</t>
  </si>
  <si>
    <t>2017-08-27|1273263|3743425|14.782200000000001</t>
  </si>
  <si>
    <t>2017-08-27|1307673|3744622|41.67</t>
  </si>
  <si>
    <t>2018-05-10|1328943|4454831|66.73429999999999</t>
  </si>
  <si>
    <t>2018-05-10|367683|4454697|75.732300000000009</t>
  </si>
  <si>
    <t>2018-05-10|1590693|4455772|78.793399999999991</t>
  </si>
  <si>
    <t>2017-08-28|186663|3746518|171.0676</t>
  </si>
  <si>
    <t>2017-08-28|1341843|3745480|175.5266</t>
  </si>
  <si>
    <t>2017-08-28|235143|3747755|38.4737</t>
  </si>
  <si>
    <t>2017-08-28|1318413|3748102|66.9055</t>
  </si>
  <si>
    <t>2017-08-28|1401903|3746606|35.7583</t>
  </si>
  <si>
    <t>2017-08-28|415473|3748302|81.2581</t>
  </si>
  <si>
    <t>2018-05-11|1344573|4457951|76.4555</t>
  </si>
  <si>
    <t>2018-05-11|1544253|4458788|55.2492</t>
  </si>
  <si>
    <t>2017-08-29|1402323|3748434|16.9104</t>
  </si>
  <si>
    <t>2017-08-29|1223523|3749878|129.3408</t>
  </si>
  <si>
    <t>2017-08-29|217743|3749354|71.783599999999993</t>
  </si>
  <si>
    <t>2017-08-29|312783|3750813|47.447199999999995</t>
  </si>
  <si>
    <t>2018-05-12|1334313|4461012|36.671</t>
  </si>
  <si>
    <t>2018-05-12|1578753|4460636|285.3634</t>
  </si>
  <si>
    <t>2018-05-12|1168623|4460170|66.3667</t>
  </si>
  <si>
    <t>2017-09-13|215313|3791115|70.2867</t>
  </si>
  <si>
    <t>2017-09-13|215313|3791059|8.25</t>
  </si>
  <si>
    <t>2018-06-08|215313|4528625|94.445700000000016</t>
  </si>
  <si>
    <t>2017-10-17|215313|3872251|111.81009999999999</t>
  </si>
  <si>
    <t>2018-07-25|215313|4634589|83.15</t>
  </si>
  <si>
    <t>2017-11-23|215313|3969252|66.1693</t>
  </si>
  <si>
    <t>2017-11-26|215313|3980299|71.52170000000001</t>
  </si>
  <si>
    <t>2017-12-20|215313|4060158|110.75809999999998</t>
  </si>
  <si>
    <t>2018-01-18|215313|4141462|107.85059999999999</t>
  </si>
  <si>
    <t>2018-10-05|215313|4819579|14.0833</t>
  </si>
  <si>
    <t>2018-10-05|215313|4819621|87.205800000000011</t>
  </si>
  <si>
    <t>2018-02-12|215313|4212193|75.363899999999987</t>
  </si>
  <si>
    <t>2018-03-01|215313|4258496|105.644</t>
  </si>
  <si>
    <t>2017-07-16|215313|3649497|129.91849999999997</t>
  </si>
  <si>
    <t>2018-04-11|215313|4379518|70.7641</t>
  </si>
  <si>
    <t>2017-08-08|215313|3702840|123.97670000000001</t>
  </si>
  <si>
    <t>2018-05-03|215313|4437650|73.4557</t>
  </si>
  <si>
    <t>2018-05-09|215313|4452701|70.3701</t>
  </si>
  <si>
    <t>2017-09-03|61983|3761879|73.669900000000013</t>
  </si>
  <si>
    <t>2018-05-31|61983|4508811|73.3579</t>
  </si>
  <si>
    <t>2017-09-26|61983|3819265|89.786200000000008</t>
  </si>
  <si>
    <t>2018-07-01|61983|4580801|88.608700000000013</t>
  </si>
  <si>
    <t>2017-10-19|61983|3878560|97.1699</t>
  </si>
  <si>
    <t>2018-07-08|61983|4598908|87.93010000000001</t>
  </si>
  <si>
    <t>2017-11-11|61983|3934374|68.639400000000009</t>
  </si>
  <si>
    <t>2018-08-05|61983|4663389|65.7317</t>
  </si>
  <si>
    <t>2017-12-04|61983|4008664|72.8647</t>
  </si>
  <si>
    <t>2017-12-18|61983|4056543|84.3206</t>
  </si>
  <si>
    <t>2018-09-24|61983|4788319|90.31059999999998</t>
  </si>
  <si>
    <t>2018-01-27|61983|4167535|71.506999999999991</t>
  </si>
  <si>
    <t>2018-10-28|61983|4912153|88.2979</t>
  </si>
  <si>
    <t>2018-02-27|61983|4253258|75.7196</t>
  </si>
  <si>
    <t>2018-12-07|61983|5286956|92.093799999999987</t>
  </si>
  <si>
    <t>2018-03-27|61983|4333506|68.6782</t>
  </si>
  <si>
    <t>2017-07-25|61983|3672487|83.3479</t>
  </si>
  <si>
    <t>2018-04-23|61983|4408621|69.574500000000015</t>
  </si>
  <si>
    <t>2017-08-31|420663|3754215|82.498899999999992</t>
  </si>
  <si>
    <t>2017-09-26|420663|3820330|113.7578</t>
  </si>
  <si>
    <t>2017-09-26|420663|3820289|8.25</t>
  </si>
  <si>
    <t>2018-06-18|420663|4547203|72.32050000000001</t>
  </si>
  <si>
    <t>2018-07-05|420663|4592512|80.4085</t>
  </si>
  <si>
    <t>2017-10-31|420663|3906399|167.7271</t>
  </si>
  <si>
    <t>2018-08-05|420663|4661259|72.895099999999985</t>
  </si>
  <si>
    <t>2017-12-04|420663|4007467|181.3616</t>
  </si>
  <si>
    <t>2017-12-21|420663|4062317|46.4172</t>
  </si>
  <si>
    <t>2017-12-30|420663|4080003|69.638300000000015</t>
  </si>
  <si>
    <t>2018-01-20|420663|4146081|66.4686</t>
  </si>
  <si>
    <t>2018-01-20|420663|4146149|43.379799999999996</t>
  </si>
  <si>
    <t>2018-02-07|420663|4198283|75.090499999999992</t>
  </si>
  <si>
    <t>2018-10-25|420663|4891170|56.972</t>
  </si>
  <si>
    <t>2018-02-22|420663|4236657|100.19340000000001</t>
  </si>
  <si>
    <t>2018-03-14|420663|4299904|92.579399999999993</t>
  </si>
  <si>
    <t>2018-04-03|420663|4356049|154.52139999999997</t>
  </si>
  <si>
    <t>2017-07-27|420663|3676825|198.74289999999993</t>
  </si>
  <si>
    <t>2018-05-12|420663|4459813|196.9888</t>
  </si>
  <si>
    <t>2017-09-06|1175373|3772241|115.4754</t>
  </si>
  <si>
    <t>2017-09-20|1175373|3805520|147.55239999999998</t>
  </si>
  <si>
    <t>2017-10-09|1175373|3854198|151.51259999999996</t>
  </si>
  <si>
    <t>2017-10-17|1175373|3872862|111.12530000000001</t>
  </si>
  <si>
    <t>2017-10-20|1175373|3879224|109.47780000000002</t>
  </si>
  <si>
    <t>2017-10-24|1175373|3887992|80.17</t>
  </si>
  <si>
    <t>2017-10-27|1175373|3895976|83.235099999999989</t>
  </si>
  <si>
    <t>2017-11-07|1175373|3924803|119.26070000000001</t>
  </si>
  <si>
    <t>2017-11-14|1175373|3944236|100.7936</t>
  </si>
  <si>
    <t>2017-11-16|1175373|3950017|82.727</t>
  </si>
  <si>
    <t>2017-11-27|1175373|3985402|173.77960000000002</t>
  </si>
  <si>
    <t>2017-12-06|1175373|4016138|99.4999</t>
  </si>
  <si>
    <t>2017-12-08|1175373|4021571|71.486</t>
  </si>
  <si>
    <t>2017-12-14|1175373|4040917|167.85240000000002</t>
  </si>
  <si>
    <t>2017-12-18|1175373|4054631|87.1691</t>
  </si>
  <si>
    <t>2018-01-07|1175373|4103014|96.258799999999979</t>
  </si>
  <si>
    <t>2018-01-17|1175373|4138052|80.1515</t>
  </si>
  <si>
    <t>2017-07-23|1175373|3665430|173.44659999999996</t>
  </si>
  <si>
    <t>2017-07-26|1175373|3673217|143.68329999999997</t>
  </si>
  <si>
    <t>2017-08-02|1175373|3689369|83.861</t>
  </si>
  <si>
    <t>2017-09-07|417363|3774745|70.7465</t>
  </si>
  <si>
    <t>2018-05-21|417363|4484403|69.1297</t>
  </si>
  <si>
    <t>2018-05-27|417363|4497369|71.296000000000021</t>
  </si>
  <si>
    <t>2017-09-16|417363|3796257|72.517299999999992</t>
  </si>
  <si>
    <t>2017-09-28|417363|3824969|57.029100000000007</t>
  </si>
  <si>
    <t>2017-09-30|417363|3828355|71.230799999999988</t>
  </si>
  <si>
    <t>2018-06-18|417363|4547619|94.4086</t>
  </si>
  <si>
    <t>2018-06-20|417363|4552203|63.864399999999996</t>
  </si>
  <si>
    <t>2017-10-08|417363|3851144|73.999899999999982</t>
  </si>
  <si>
    <t>2017-10-20|417363|3879235|69.94</t>
  </si>
  <si>
    <t>2017-10-28|417363|3898680|73.126</t>
  </si>
  <si>
    <t>2018-07-11|417363|4604703|67.581</t>
  </si>
  <si>
    <t>2018-07-21|417363|4624210|65.3117</t>
  </si>
  <si>
    <t>2018-07-24|417363|4632685|71.9111</t>
  </si>
  <si>
    <t>2017-11-12|417363|3936874|68.82650000000001</t>
  </si>
  <si>
    <t>2017-11-13|417363|3939910|50.813599999999994</t>
  </si>
  <si>
    <t>2017-11-19|417363|3956029|71.3318</t>
  </si>
  <si>
    <t>2018-08-08|417363|4670665|67.610499999999988</t>
  </si>
  <si>
    <t>2017-12-17|417363|4051694|72.990100000000012</t>
  </si>
  <si>
    <t>2018-09-06|417363|4738832|70.756599999999992</t>
  </si>
  <si>
    <t>2018-09-10|417363|4748500|70.4609</t>
  </si>
  <si>
    <t>2018-01-05|417363|4097192|73.0399</t>
  </si>
  <si>
    <t>2018-01-18|417363|4140565|121.27599999999998</t>
  </si>
  <si>
    <t>2018-10-09|417363|4831213|65.938</t>
  </si>
  <si>
    <t>2018-02-06|417363|4196582|67.7359</t>
  </si>
  <si>
    <t>2018-10-21|417363|4864437|69.331999999999979</t>
  </si>
  <si>
    <t>2018-11-03|417363|4972833|65.7184</t>
  </si>
  <si>
    <t>2018-11-05|417363|5006517|64.280400000000014</t>
  </si>
  <si>
    <t>2018-02-23|417363|4240277|66.9947</t>
  </si>
  <si>
    <t>2018-02-24|417363|4243265|74.9134</t>
  </si>
  <si>
    <t>2018-11-07|417363|5024655|73.1394</t>
  </si>
  <si>
    <t>2018-11-15|417363|5104788|69.3839</t>
  </si>
  <si>
    <t>2018-11-21|417363|5170956|70.224400000000017</t>
  </si>
  <si>
    <t>2018-11-22|417363|5180319|67.8438</t>
  </si>
  <si>
    <t>2018-03-15|417363|4301393|103.89</t>
  </si>
  <si>
    <t>2018-03-19|417363|4313694|76.533299999999983</t>
  </si>
  <si>
    <t>2018-12-07|417363|5288973|71.8682</t>
  </si>
  <si>
    <t>2018-12-08|417363|5291885|67.8769</t>
  </si>
  <si>
    <t>2018-12-09|417363|5294840|67.2851</t>
  </si>
  <si>
    <t>2018-03-30|417363|4342660|75.867999999999981</t>
  </si>
  <si>
    <t>2017-07-21|417363|3661709|69.272799999999989</t>
  </si>
  <si>
    <t>2018-12-16|417363|5324312|65.6477</t>
  </si>
  <si>
    <t>2018-04-11|417363|4379532|72.4387</t>
  </si>
  <si>
    <t>2018-04-21|417363|4404400|63.6502</t>
  </si>
  <si>
    <t>2018-04-21|417363|4404707|67.632899999999992</t>
  </si>
  <si>
    <t>2017-08-12|417363|3710906|73.7431</t>
  </si>
  <si>
    <t>2018-04-27|417363|4419805|72.952399999999983</t>
  </si>
  <si>
    <t>2017-08-17|417363|3720817|68.332600000000014</t>
  </si>
  <si>
    <t>2017-08-22|417363|3731471|71.264100000000013</t>
  </si>
  <si>
    <t>2017-08-24|417363|3736468|70.142299999999992</t>
  </si>
  <si>
    <t>2017-08-26|417363|3741089|236.6944</t>
  </si>
  <si>
    <t>2018-05-10|417363|4455910|79.590599999999981</t>
  </si>
  <si>
    <t>2018-05-10|417363|4456550|74.64670000000001</t>
  </si>
  <si>
    <t>2017-09-03|1186413|3762313|91.276699999999991</t>
  </si>
  <si>
    <t>2018-05-22|1186413|4486739|82.5162</t>
  </si>
  <si>
    <t>2017-09-24|1186413|3814672|68.9217</t>
  </si>
  <si>
    <t>2017-10-10|1186413|3856838|216.6261</t>
  </si>
  <si>
    <t>2017-11-02|1186413|3911326|106.81020000000001</t>
  </si>
  <si>
    <t>2017-11-12|1186413|3937283|87.619800000000012</t>
  </si>
  <si>
    <t>2017-11-28|1186413|3988853|82.5588</t>
  </si>
  <si>
    <t>2017-12-13|1186413|4040350|103.8015</t>
  </si>
  <si>
    <t>2017-12-14|1186413|4042556|75.830099999999987</t>
  </si>
  <si>
    <t>2018-01-12|1186413|4120155|67.90870000000001</t>
  </si>
  <si>
    <t>2018-10-16|1186413|4852458|159.8816</t>
  </si>
  <si>
    <t>2018-02-06|1186413|4197675|99.0256</t>
  </si>
  <si>
    <t>2018-02-19|1186413|4229473|81.8066</t>
  </si>
  <si>
    <t>2018-11-07|1186413|5023650|98.317900000000009</t>
  </si>
  <si>
    <t>2018-11-26|1186413|5238183|124.94</t>
  </si>
  <si>
    <t>2018-03-16|1186413|4303321|111.7981</t>
  </si>
  <si>
    <t>2018-03-26|1186413|4332007|78.724900000000019</t>
  </si>
  <si>
    <t>2018-04-29|1186413|4423373|66.9784</t>
  </si>
  <si>
    <t>2018-04-29|1186413|4423972|76.4621</t>
  </si>
  <si>
    <t>2017-08-22|1186413|3731728|92.5286</t>
  </si>
  <si>
    <t>2018-05-25|422523|4492918|87.1445</t>
  </si>
  <si>
    <t>2018-06-12|422523|4537311|75.1868</t>
  </si>
  <si>
    <t>2018-06-19|422523|4550697|98.122100000000017</t>
  </si>
  <si>
    <t>2018-06-25|422523|4562518|93.289</t>
  </si>
  <si>
    <t>2018-07-10|422523|4603651|95.686800000000019</t>
  </si>
  <si>
    <t>2018-07-30|422523|4647629|120.50720000000001</t>
  </si>
  <si>
    <t>2018-08-12|422523|4679246|72.623800000000017</t>
  </si>
  <si>
    <t>2018-09-14|422523|4760895|180.61670000000004</t>
  </si>
  <si>
    <t>2018-09-27|422523|4795300|114.82409999999999</t>
  </si>
  <si>
    <t>2018-10-22|422523|4869610|74.172500000000028</t>
  </si>
  <si>
    <t>2018-02-18|422523|4225848|66.8938</t>
  </si>
  <si>
    <t>2018-03-05|422523|4271257|71.4564</t>
  </si>
  <si>
    <t>2018-03-11|422523|4288231|78.900999999999982</t>
  </si>
  <si>
    <t>2018-03-15|422523|4301065|80.4897</t>
  </si>
  <si>
    <t>2018-12-04|422523|5277691|133.705</t>
  </si>
  <si>
    <t>2018-03-24|422523|4326041|68.5836</t>
  </si>
  <si>
    <t>2018-03-28|422523|4337072|88.777999999999992</t>
  </si>
  <si>
    <t>2018-03-28|422523|4337175|75.4316</t>
  </si>
  <si>
    <t>2018-04-10|422523|4376418|12.4167</t>
  </si>
  <si>
    <t>2018-04-10|422523|4376557|72.683900000000008</t>
  </si>
  <si>
    <t>2018-04-20|422523|4402867|74.1203</t>
  </si>
  <si>
    <t>2018-05-02|422523|4434950|78.588000000000008</t>
  </si>
  <si>
    <t>2018-05-09|422523|4451577|138.5412</t>
  </si>
  <si>
    <t>2017-08-31|1230213|3755840|104.49450000000002</t>
  </si>
  <si>
    <t>2018-06-19|1230213|4550465|117.97549999999998</t>
  </si>
  <si>
    <t>2017-10-08|1230213|3852461|92.4136</t>
  </si>
  <si>
    <t>2017-10-29|1230213|3899779|87.291100000000014</t>
  </si>
  <si>
    <t>2017-11-15|1230213|3947992|110.79859999999998</t>
  </si>
  <si>
    <t>2018-08-06|1230213|4665690|130.20159999999998</t>
  </si>
  <si>
    <t>2017-12-09|1230213|4023589|67.2038</t>
  </si>
  <si>
    <t>2017-12-09|1230213|4023640|83.11099999999999</t>
  </si>
  <si>
    <t>2018-09-19|1230213|4773995|136.04139999999998</t>
  </si>
  <si>
    <t>2018-01-08|1230213|4104689|78.6478</t>
  </si>
  <si>
    <t>2018-01-27|1230213|4167462|118.2752</t>
  </si>
  <si>
    <t>2018-02-12|1230213|4211667|87.632900000000021</t>
  </si>
  <si>
    <t>2018-11-19|1230213|5137482|115.06000000000003</t>
  </si>
  <si>
    <t>2018-03-09|1230213|4284442|118.28569999999998</t>
  </si>
  <si>
    <t>2018-03-25|1230213|4328235|81.662899999999979</t>
  </si>
  <si>
    <t>2017-07-20|1230213|3660377|109.06370000000001</t>
  </si>
  <si>
    <t>2018-12-30|1230213|5357056|94.682599999999979</t>
  </si>
  <si>
    <t>2017-08-13|1230213|3711626|106.06119999999997</t>
  </si>
  <si>
    <t>2018-05-08|1230213|4449646|123.03430000000003</t>
  </si>
  <si>
    <t>2017-09-02|428433|3759341|66</t>
  </si>
  <si>
    <t>2017-09-11|428433|3784086|88.714099999999988</t>
  </si>
  <si>
    <t>2017-09-11|428433|3784100|66</t>
  </si>
  <si>
    <t>2017-10-10|428433|3856829|77.3304</t>
  </si>
  <si>
    <t>2017-10-10|428433|3856822|79.1364</t>
  </si>
  <si>
    <t>2017-10-10|428433|3856803|96.2868</t>
  </si>
  <si>
    <t>2018-07-13|428433|4609251|115.231</t>
  </si>
  <si>
    <t>2018-08-04|428433|4660088|66.8125</t>
  </si>
  <si>
    <t>2018-08-05|428433|4663248|73.9321</t>
  </si>
  <si>
    <t>2017-12-07|428433|4019158|68.041699999999992</t>
  </si>
  <si>
    <t>2018-09-03|428433|4731528|85.61930000000001</t>
  </si>
  <si>
    <t>2018-09-24|428433|4787281|76.2913</t>
  </si>
  <si>
    <t>2018-01-23|428433|4156798|80.3331</t>
  </si>
  <si>
    <t>2018-02-20|428433|4232294|73.8692</t>
  </si>
  <si>
    <t>2018-11-12|428433|5078517|104.27340000000002</t>
  </si>
  <si>
    <t>2018-11-12|428433|5074194|185.76210000000003</t>
  </si>
  <si>
    <t>2017-07-30|428433|3682228|90.3296</t>
  </si>
  <si>
    <t>2018-04-29|428433|4425110|172.0226</t>
  </si>
  <si>
    <t>2018-04-29|428433|4426558|193.9461</t>
  </si>
  <si>
    <t>2018-04-30|428433|4429805|166.3069</t>
  </si>
  <si>
    <t>2017-08-18|428433|3723735|141.46020000000001</t>
  </si>
  <si>
    <t>2018-05-17|1185753|4476031|222.02530000000004</t>
  </si>
  <si>
    <t>2017-09-08|1185753|3777238|8.25</t>
  </si>
  <si>
    <t>2017-09-08|1185753|3777246|195.066</t>
  </si>
  <si>
    <t>2017-09-19|1185753|3803070|122.8284</t>
  </si>
  <si>
    <t>2018-06-16|1185753|4544688|169.1095</t>
  </si>
  <si>
    <t>2017-10-10|1185753|3856334|186.88469999999998</t>
  </si>
  <si>
    <t>2018-07-07|1185753|4595997|232.18400000000003</t>
  </si>
  <si>
    <t>2017-10-30|1185753|3902076|117.6805</t>
  </si>
  <si>
    <t>2017-12-26|1185753|4069658|264.0438</t>
  </si>
  <si>
    <t>2018-01-09|1185753|4107516|104.14430000000002</t>
  </si>
  <si>
    <t>2018-01-23|1185753|4156921|143.36499999999998</t>
  </si>
  <si>
    <t>2018-10-07|1185753|4825520|148.80870000000002</t>
  </si>
  <si>
    <t>2018-11-14|1185753|5091774|162.20669999999998</t>
  </si>
  <si>
    <t>2018-03-08|1185753|4279638|118.67080000000001</t>
  </si>
  <si>
    <t>2017-07-10|1185753|3637196|182.89780000000005</t>
  </si>
  <si>
    <t>2018-04-01|1185753|4348135|187.40769999999998</t>
  </si>
  <si>
    <t>2017-07-27|1185753|3676731|97.793299999999988</t>
  </si>
  <si>
    <t>2017-08-11|1185753|3709723|146.21049999999997</t>
  </si>
  <si>
    <t>2018-05-14|218073|4468075|78.0964</t>
  </si>
  <si>
    <t>2018-05-14|218073|4468179|70.969400000000007</t>
  </si>
  <si>
    <t>2018-05-22|218073|4487770|82.585799999999992</t>
  </si>
  <si>
    <t>2017-10-10|218073|3857257|86.6959</t>
  </si>
  <si>
    <t>2017-10-21|218073|3881094|91.3967</t>
  </si>
  <si>
    <t>2018-07-06|218073|4593831|105.9413</t>
  </si>
  <si>
    <t>2018-07-18|218073|4617527|82.894800000000018</t>
  </si>
  <si>
    <t>2017-11-10|218073|3932494|16.5833</t>
  </si>
  <si>
    <t>2017-11-10|218073|3932518|110.07209999999999</t>
  </si>
  <si>
    <t>2017-11-21|218073|3965042|115.8741</t>
  </si>
  <si>
    <t>2017-11-23|218073|3971645|69.0042</t>
  </si>
  <si>
    <t>2018-09-08|218073|4745475|64.7329</t>
  </si>
  <si>
    <t>2018-09-08|218073|4745439|73.0232</t>
  </si>
  <si>
    <t>2017-12-30|218073|4078809|73.7237</t>
  </si>
  <si>
    <t>2017-12-30|218073|4078903|124.91740000000001</t>
  </si>
  <si>
    <t>2018-02-03|218073|4186937|91.5496</t>
  </si>
  <si>
    <t>2018-11-02|218073|4965157|100.1852</t>
  </si>
  <si>
    <t>2018-03-18|218073|4308302|82.764400000000009</t>
  </si>
  <si>
    <t>2017-07-10|218073|3635755|79.8585</t>
  </si>
  <si>
    <t>2018-04-08|218073|4370916|86.3926</t>
  </si>
  <si>
    <t>date_date</t>
  </si>
  <si>
    <t>customers_id</t>
  </si>
  <si>
    <t>orders_id</t>
  </si>
  <si>
    <t>CA_ht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</si>
</sst>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D1" s="2" t="str">
        <f>IFERROR(__xludf.DUMMYFUNCTION("SPLIT(A1, ""|"")"),"date_date")</f>
        <v>date_date</v>
      </c>
      <c r="E1" s="2" t="str">
        <f>IFERROR(__xludf.DUMMYFUNCTION("""COMPUTED_VALUE"""),"customers_id")</f>
        <v>customers_id</v>
      </c>
      <c r="F1" s="2" t="str">
        <f>IFERROR(__xludf.DUMMYFUNCTION("""COMPUTED_VALUE"""),"orders_id")</f>
        <v>orders_id</v>
      </c>
      <c r="G1" s="2" t="str">
        <f>IFERROR(__xludf.DUMMYFUNCTION("""COMPUTED_VALUE"""),"CA_ht")</f>
        <v>CA_ht</v>
      </c>
    </row>
    <row r="2">
      <c r="A2" s="1" t="s">
        <v>1</v>
      </c>
      <c r="D2" s="3">
        <f>IFERROR(__xludf.DUMMYFUNCTION("SPLIT(A2, ""|"")"),42977.0)</f>
        <v>42977</v>
      </c>
      <c r="E2" s="2">
        <f>IFERROR(__xludf.DUMMYFUNCTION("""COMPUTED_VALUE"""),1311453.0)</f>
        <v>1311453</v>
      </c>
      <c r="F2" s="2">
        <f>IFERROR(__xludf.DUMMYFUNCTION("""COMPUTED_VALUE"""),3751676.0)</f>
        <v>3751676</v>
      </c>
      <c r="G2" s="2">
        <f>IFERROR(__xludf.DUMMYFUNCTION("""COMPUTED_VALUE"""),38.7004999999999)</f>
        <v>38.7005</v>
      </c>
    </row>
    <row r="3">
      <c r="A3" s="1" t="s">
        <v>2</v>
      </c>
      <c r="D3" s="3">
        <f>IFERROR(__xludf.DUMMYFUNCTION("SPLIT(A3, ""|"")"),42977.0)</f>
        <v>42977</v>
      </c>
      <c r="E3" s="2">
        <f>IFERROR(__xludf.DUMMYFUNCTION("""COMPUTED_VALUE"""),1403193.0)</f>
        <v>1403193</v>
      </c>
      <c r="F3" s="2">
        <f>IFERROR(__xludf.DUMMYFUNCTION("""COMPUTED_VALUE"""),3751818.0)</f>
        <v>3751818</v>
      </c>
      <c r="G3" s="2">
        <f>IFERROR(__xludf.DUMMYFUNCTION("""COMPUTED_VALUE"""),82.5)</f>
        <v>82.5</v>
      </c>
    </row>
    <row r="4">
      <c r="A4" s="1" t="s">
        <v>3</v>
      </c>
      <c r="D4" s="3">
        <f>IFERROR(__xludf.DUMMYFUNCTION("SPLIT(A4, ""|"")"),43233.0)</f>
        <v>43233</v>
      </c>
      <c r="E4" s="2">
        <f>IFERROR(__xludf.DUMMYFUNCTION("""COMPUTED_VALUE"""),1356693.0)</f>
        <v>1356693</v>
      </c>
      <c r="F4" s="2">
        <f>IFERROR(__xludf.DUMMYFUNCTION("""COMPUTED_VALUE"""),4464802.0)</f>
        <v>4464802</v>
      </c>
      <c r="G4" s="2">
        <f>IFERROR(__xludf.DUMMYFUNCTION("""COMPUTED_VALUE"""),92.0232999999999)</f>
        <v>92.0233</v>
      </c>
    </row>
    <row r="5">
      <c r="A5" s="1" t="s">
        <v>4</v>
      </c>
      <c r="D5" s="3">
        <f>IFERROR(__xludf.DUMMYFUNCTION("SPLIT(A5, ""|"")"),43233.0)</f>
        <v>43233</v>
      </c>
      <c r="E5" s="2">
        <f>IFERROR(__xludf.DUMMYFUNCTION("""COMPUTED_VALUE"""),257913.0)</f>
        <v>257913</v>
      </c>
      <c r="F5" s="2">
        <f>IFERROR(__xludf.DUMMYFUNCTION("""COMPUTED_VALUE"""),4464586.0)</f>
        <v>4464586</v>
      </c>
      <c r="G5" s="2">
        <f>IFERROR(__xludf.DUMMYFUNCTION("""COMPUTED_VALUE"""),117.624)</f>
        <v>117.624</v>
      </c>
    </row>
    <row r="6">
      <c r="A6" s="1" t="s">
        <v>5</v>
      </c>
      <c r="D6" s="3">
        <f>IFERROR(__xludf.DUMMYFUNCTION("SPLIT(A6, ""|"")"),43233.0)</f>
        <v>43233</v>
      </c>
      <c r="E6" s="2">
        <f>IFERROR(__xludf.DUMMYFUNCTION("""COMPUTED_VALUE"""),1151013.0)</f>
        <v>1151013</v>
      </c>
      <c r="F6" s="2">
        <f>IFERROR(__xludf.DUMMYFUNCTION("""COMPUTED_VALUE"""),4462978.0)</f>
        <v>4462978</v>
      </c>
      <c r="G6" s="2">
        <f>IFERROR(__xludf.DUMMYFUNCTION("""COMPUTED_VALUE"""),95.4903999999999)</f>
        <v>95.4904</v>
      </c>
    </row>
    <row r="7">
      <c r="A7" s="1" t="s">
        <v>6</v>
      </c>
      <c r="D7" s="3">
        <f>IFERROR(__xludf.DUMMYFUNCTION("SPLIT(A7, ""|"")"),43233.0)</f>
        <v>43233</v>
      </c>
      <c r="E7" s="2">
        <f>IFERROR(__xludf.DUMMYFUNCTION("""COMPUTED_VALUE"""),1442493.0)</f>
        <v>1442493</v>
      </c>
      <c r="F7" s="2">
        <f>IFERROR(__xludf.DUMMYFUNCTION("""COMPUTED_VALUE"""),4463241.0)</f>
        <v>4463241</v>
      </c>
      <c r="G7" s="2">
        <f>IFERROR(__xludf.DUMMYFUNCTION("""COMPUTED_VALUE"""),89.4834)</f>
        <v>89.4834</v>
      </c>
    </row>
    <row r="8">
      <c r="A8" s="1" t="s">
        <v>7</v>
      </c>
      <c r="D8" s="3">
        <f>IFERROR(__xludf.DUMMYFUNCTION("SPLIT(A8, ""|"")"),43233.0)</f>
        <v>43233</v>
      </c>
      <c r="E8" s="2">
        <f>IFERROR(__xludf.DUMMYFUNCTION("""COMPUTED_VALUE"""),1593033.0)</f>
        <v>1593033</v>
      </c>
      <c r="F8" s="2">
        <f>IFERROR(__xludf.DUMMYFUNCTION("""COMPUTED_VALUE"""),4464150.0)</f>
        <v>4464150</v>
      </c>
      <c r="G8" s="2">
        <f>IFERROR(__xludf.DUMMYFUNCTION("""COMPUTED_VALUE"""),73.2977)</f>
        <v>73.2977</v>
      </c>
    </row>
    <row r="9">
      <c r="A9" s="1" t="s">
        <v>8</v>
      </c>
      <c r="D9" s="3">
        <f>IFERROR(__xludf.DUMMYFUNCTION("SPLIT(A9, ""|"")"),43233.0)</f>
        <v>43233</v>
      </c>
      <c r="E9" s="2">
        <f>IFERROR(__xludf.DUMMYFUNCTION("""COMPUTED_VALUE"""),300033.0)</f>
        <v>300033</v>
      </c>
      <c r="F9" s="2">
        <f>IFERROR(__xludf.DUMMYFUNCTION("""COMPUTED_VALUE"""),4462263.0)</f>
        <v>4462263</v>
      </c>
      <c r="G9" s="2">
        <f>IFERROR(__xludf.DUMMYFUNCTION("""COMPUTED_VALUE"""),89.4979999999999)</f>
        <v>89.498</v>
      </c>
    </row>
    <row r="10">
      <c r="A10" s="1" t="s">
        <v>9</v>
      </c>
      <c r="D10" s="3">
        <f>IFERROR(__xludf.DUMMYFUNCTION("SPLIT(A10, ""|"")"),43233.0)</f>
        <v>43233</v>
      </c>
      <c r="E10" s="2">
        <f>IFERROR(__xludf.DUMMYFUNCTION("""COMPUTED_VALUE"""),1593093.0)</f>
        <v>1593093</v>
      </c>
      <c r="F10" s="2">
        <f>IFERROR(__xludf.DUMMYFUNCTION("""COMPUTED_VALUE"""),4464340.0)</f>
        <v>4464340</v>
      </c>
      <c r="G10" s="2">
        <f>IFERROR(__xludf.DUMMYFUNCTION("""COMPUTED_VALUE"""),4.5898)</f>
        <v>4.5898</v>
      </c>
    </row>
    <row r="11">
      <c r="A11" s="1" t="s">
        <v>10</v>
      </c>
      <c r="D11" s="3">
        <f>IFERROR(__xludf.DUMMYFUNCTION("SPLIT(A11, ""|"")"),42978.0)</f>
        <v>42978</v>
      </c>
      <c r="E11" s="2">
        <f>IFERROR(__xludf.DUMMYFUNCTION("""COMPUTED_VALUE"""),248073.0)</f>
        <v>248073</v>
      </c>
      <c r="F11" s="2">
        <f>IFERROR(__xludf.DUMMYFUNCTION("""COMPUTED_VALUE"""),3756410.0)</f>
        <v>3756410</v>
      </c>
      <c r="G11" s="2">
        <f>IFERROR(__xludf.DUMMYFUNCTION("""COMPUTED_VALUE"""),91.3764999999999)</f>
        <v>91.3765</v>
      </c>
    </row>
    <row r="12">
      <c r="A12" s="1" t="s">
        <v>11</v>
      </c>
      <c r="D12" s="3">
        <f>IFERROR(__xludf.DUMMYFUNCTION("SPLIT(A12, ""|"")"),42978.0)</f>
        <v>42978</v>
      </c>
      <c r="E12" s="2">
        <f>IFERROR(__xludf.DUMMYFUNCTION("""COMPUTED_VALUE"""),89313.0)</f>
        <v>89313</v>
      </c>
      <c r="F12" s="2">
        <f>IFERROR(__xludf.DUMMYFUNCTION("""COMPUTED_VALUE"""),3755848.0)</f>
        <v>3755848</v>
      </c>
      <c r="G12" s="2">
        <f>IFERROR(__xludf.DUMMYFUNCTION("""COMPUTED_VALUE"""),69.7342)</f>
        <v>69.7342</v>
      </c>
    </row>
    <row r="13">
      <c r="A13" s="1" t="s">
        <v>12</v>
      </c>
      <c r="D13" s="3">
        <f>IFERROR(__xludf.DUMMYFUNCTION("SPLIT(A13, ""|"")"),42978.0)</f>
        <v>42978</v>
      </c>
      <c r="E13" s="2">
        <f>IFERROR(__xludf.DUMMYFUNCTION("""COMPUTED_VALUE"""),415293.0)</f>
        <v>415293</v>
      </c>
      <c r="F13" s="2">
        <f>IFERROR(__xludf.DUMMYFUNCTION("""COMPUTED_VALUE"""),3755009.0)</f>
        <v>3755009</v>
      </c>
      <c r="G13" s="2">
        <f>IFERROR(__xludf.DUMMYFUNCTION("""COMPUTED_VALUE"""),71.7612)</f>
        <v>71.7612</v>
      </c>
    </row>
    <row r="14">
      <c r="A14" s="1" t="s">
        <v>13</v>
      </c>
      <c r="D14" s="3">
        <f>IFERROR(__xludf.DUMMYFUNCTION("SPLIT(A14, ""|"")"),42978.0)</f>
        <v>42978</v>
      </c>
      <c r="E14" s="2">
        <f>IFERROR(__xludf.DUMMYFUNCTION("""COMPUTED_VALUE"""),1337073.0)</f>
        <v>1337073</v>
      </c>
      <c r="F14" s="2">
        <f>IFERROR(__xludf.DUMMYFUNCTION("""COMPUTED_VALUE"""),3754927.0)</f>
        <v>3754927</v>
      </c>
      <c r="G14" s="2">
        <f>IFERROR(__xludf.DUMMYFUNCTION("""COMPUTED_VALUE"""),119.9423)</f>
        <v>119.9423</v>
      </c>
    </row>
    <row r="15">
      <c r="A15" s="1" t="s">
        <v>14</v>
      </c>
      <c r="D15" s="3">
        <f>IFERROR(__xludf.DUMMYFUNCTION("SPLIT(A15, ""|"")"),42978.0)</f>
        <v>42978</v>
      </c>
      <c r="E15" s="2">
        <f>IFERROR(__xludf.DUMMYFUNCTION("""COMPUTED_VALUE"""),996933.0)</f>
        <v>996933</v>
      </c>
      <c r="F15" s="2">
        <f>IFERROR(__xludf.DUMMYFUNCTION("""COMPUTED_VALUE"""),3756137.0)</f>
        <v>3756137</v>
      </c>
      <c r="G15" s="2">
        <f>IFERROR(__xludf.DUMMYFUNCTION("""COMPUTED_VALUE"""),103.5909)</f>
        <v>103.5909</v>
      </c>
    </row>
    <row r="16">
      <c r="A16" s="1" t="s">
        <v>15</v>
      </c>
      <c r="D16" s="3">
        <f>IFERROR(__xludf.DUMMYFUNCTION("SPLIT(A16, ""|"")"),42978.0)</f>
        <v>42978</v>
      </c>
      <c r="E16" s="2">
        <f>IFERROR(__xludf.DUMMYFUNCTION("""COMPUTED_VALUE"""),1357653.0)</f>
        <v>1357653</v>
      </c>
      <c r="F16" s="2">
        <f>IFERROR(__xludf.DUMMYFUNCTION("""COMPUTED_VALUE"""),3756474.0)</f>
        <v>3756474</v>
      </c>
      <c r="G16" s="2">
        <f>IFERROR(__xludf.DUMMYFUNCTION("""COMPUTED_VALUE"""),63.6505)</f>
        <v>63.6505</v>
      </c>
    </row>
    <row r="17">
      <c r="A17" s="1" t="s">
        <v>16</v>
      </c>
      <c r="D17" s="3">
        <f>IFERROR(__xludf.DUMMYFUNCTION("SPLIT(A17, ""|"")"),42978.0)</f>
        <v>42978</v>
      </c>
      <c r="E17" s="2">
        <f>IFERROR(__xludf.DUMMYFUNCTION("""COMPUTED_VALUE"""),1404003.0)</f>
        <v>1404003</v>
      </c>
      <c r="F17" s="2">
        <f>IFERROR(__xludf.DUMMYFUNCTION("""COMPUTED_VALUE"""),3755189.0)</f>
        <v>3755189</v>
      </c>
      <c r="G17" s="2">
        <f>IFERROR(__xludf.DUMMYFUNCTION("""COMPUTED_VALUE"""),19.3841)</f>
        <v>19.3841</v>
      </c>
    </row>
    <row r="18">
      <c r="A18" s="1" t="s">
        <v>17</v>
      </c>
      <c r="D18" s="3">
        <f>IFERROR(__xludf.DUMMYFUNCTION("SPLIT(A18, ""|"")"),42978.0)</f>
        <v>42978</v>
      </c>
      <c r="E18" s="2">
        <f>IFERROR(__xludf.DUMMYFUNCTION("""COMPUTED_VALUE"""),1404303.0)</f>
        <v>1404303</v>
      </c>
      <c r="F18" s="2">
        <f>IFERROR(__xludf.DUMMYFUNCTION("""COMPUTED_VALUE"""),3756547.0)</f>
        <v>3756547</v>
      </c>
      <c r="G18" s="2">
        <f>IFERROR(__xludf.DUMMYFUNCTION("""COMPUTED_VALUE"""),10.5167)</f>
        <v>10.5167</v>
      </c>
    </row>
    <row r="19">
      <c r="A19" s="1" t="s">
        <v>18</v>
      </c>
      <c r="D19" s="3">
        <f>IFERROR(__xludf.DUMMYFUNCTION("SPLIT(A19, ""|"")"),42978.0)</f>
        <v>42978</v>
      </c>
      <c r="E19" s="2">
        <f>IFERROR(__xludf.DUMMYFUNCTION("""COMPUTED_VALUE"""),1216383.0)</f>
        <v>1216383</v>
      </c>
      <c r="F19" s="2">
        <f>IFERROR(__xludf.DUMMYFUNCTION("""COMPUTED_VALUE"""),3755543.0)</f>
        <v>3755543</v>
      </c>
      <c r="G19" s="2">
        <f>IFERROR(__xludf.DUMMYFUNCTION("""COMPUTED_VALUE"""),138.3357)</f>
        <v>138.3357</v>
      </c>
    </row>
    <row r="20">
      <c r="A20" s="1" t="s">
        <v>19</v>
      </c>
      <c r="D20" s="3">
        <f>IFERROR(__xludf.DUMMYFUNCTION("SPLIT(A20, ""|"")"),43234.0)</f>
        <v>43234</v>
      </c>
      <c r="E20" s="2">
        <f>IFERROR(__xludf.DUMMYFUNCTION("""COMPUTED_VALUE"""),1593993.0)</f>
        <v>1593993</v>
      </c>
      <c r="F20" s="2">
        <f>IFERROR(__xludf.DUMMYFUNCTION("""COMPUTED_VALUE"""),4468830.0)</f>
        <v>4468830</v>
      </c>
      <c r="G20" s="2">
        <f>IFERROR(__xludf.DUMMYFUNCTION("""COMPUTED_VALUE"""),38.583)</f>
        <v>38.583</v>
      </c>
    </row>
    <row r="21">
      <c r="A21" s="1" t="s">
        <v>20</v>
      </c>
      <c r="D21" s="3">
        <f>IFERROR(__xludf.DUMMYFUNCTION("SPLIT(A21, ""|"")"),43234.0)</f>
        <v>43234</v>
      </c>
      <c r="E21" s="2">
        <f>IFERROR(__xludf.DUMMYFUNCTION("""COMPUTED_VALUE"""),474633.0)</f>
        <v>474633</v>
      </c>
      <c r="F21" s="2">
        <f>IFERROR(__xludf.DUMMYFUNCTION("""COMPUTED_VALUE"""),4468264.0)</f>
        <v>4468264</v>
      </c>
      <c r="G21" s="2">
        <f>IFERROR(__xludf.DUMMYFUNCTION("""COMPUTED_VALUE"""),83.5488)</f>
        <v>83.5488</v>
      </c>
    </row>
    <row r="22">
      <c r="A22" s="1" t="s">
        <v>21</v>
      </c>
      <c r="D22" s="3">
        <f>IFERROR(__xludf.DUMMYFUNCTION("SPLIT(A22, ""|"")"),43234.0)</f>
        <v>43234</v>
      </c>
      <c r="E22" s="2">
        <f>IFERROR(__xludf.DUMMYFUNCTION("""COMPUTED_VALUE"""),1593513.0)</f>
        <v>1593513</v>
      </c>
      <c r="F22" s="2">
        <f>IFERROR(__xludf.DUMMYFUNCTION("""COMPUTED_VALUE"""),4466367.0)</f>
        <v>4466367</v>
      </c>
      <c r="G22" s="2">
        <f>IFERROR(__xludf.DUMMYFUNCTION("""COMPUTED_VALUE"""),73.3597)</f>
        <v>73.3597</v>
      </c>
    </row>
    <row r="23">
      <c r="A23" s="1" t="s">
        <v>22</v>
      </c>
      <c r="D23" s="3">
        <f>IFERROR(__xludf.DUMMYFUNCTION("SPLIT(A23, ""|"")"),43234.0)</f>
        <v>43234</v>
      </c>
      <c r="E23" s="2">
        <f>IFERROR(__xludf.DUMMYFUNCTION("""COMPUTED_VALUE"""),1593603.0)</f>
        <v>1593603</v>
      </c>
      <c r="F23" s="2">
        <f>IFERROR(__xludf.DUMMYFUNCTION("""COMPUTED_VALUE"""),4466595.0)</f>
        <v>4466595</v>
      </c>
      <c r="G23" s="2">
        <f>IFERROR(__xludf.DUMMYFUNCTION("""COMPUTED_VALUE"""),59.3189999999999)</f>
        <v>59.319</v>
      </c>
    </row>
    <row r="24">
      <c r="A24" s="1" t="s">
        <v>23</v>
      </c>
      <c r="D24" s="3">
        <f>IFERROR(__xludf.DUMMYFUNCTION("SPLIT(A24, ""|"")"),43234.0)</f>
        <v>43234</v>
      </c>
      <c r="E24" s="2">
        <f>IFERROR(__xludf.DUMMYFUNCTION("""COMPUTED_VALUE"""),1333263.0)</f>
        <v>1333263</v>
      </c>
      <c r="F24" s="2">
        <f>IFERROR(__xludf.DUMMYFUNCTION("""COMPUTED_VALUE"""),4466252.0)</f>
        <v>4466252</v>
      </c>
      <c r="G24" s="2">
        <f>IFERROR(__xludf.DUMMYFUNCTION("""COMPUTED_VALUE"""),93.4371999999999)</f>
        <v>93.4372</v>
      </c>
    </row>
    <row r="25">
      <c r="A25" s="1" t="s">
        <v>24</v>
      </c>
      <c r="D25" s="3">
        <f>IFERROR(__xludf.DUMMYFUNCTION("SPLIT(A25, ""|"")"),43234.0)</f>
        <v>43234</v>
      </c>
      <c r="E25" s="2">
        <f>IFERROR(__xludf.DUMMYFUNCTION("""COMPUTED_VALUE"""),1232733.0)</f>
        <v>1232733</v>
      </c>
      <c r="F25" s="2">
        <f>IFERROR(__xludf.DUMMYFUNCTION("""COMPUTED_VALUE"""),4468369.0)</f>
        <v>4468369</v>
      </c>
      <c r="G25" s="2">
        <f>IFERROR(__xludf.DUMMYFUNCTION("""COMPUTED_VALUE"""),97.4375)</f>
        <v>97.4375</v>
      </c>
    </row>
    <row r="26">
      <c r="A26" s="1" t="s">
        <v>25</v>
      </c>
      <c r="D26" s="3">
        <f>IFERROR(__xludf.DUMMYFUNCTION("SPLIT(A26, ""|"")"),43234.0)</f>
        <v>43234</v>
      </c>
      <c r="E26" s="2">
        <f>IFERROR(__xludf.DUMMYFUNCTION("""COMPUTED_VALUE"""),1452273.0)</f>
        <v>1452273</v>
      </c>
      <c r="F26" s="2">
        <f>IFERROR(__xludf.DUMMYFUNCTION("""COMPUTED_VALUE"""),4465445.0)</f>
        <v>4465445</v>
      </c>
      <c r="G26" s="2">
        <f>IFERROR(__xludf.DUMMYFUNCTION("""COMPUTED_VALUE"""),35.2300999999999)</f>
        <v>35.2301</v>
      </c>
    </row>
    <row r="27">
      <c r="A27" s="1" t="s">
        <v>26</v>
      </c>
      <c r="D27" s="3">
        <f>IFERROR(__xludf.DUMMYFUNCTION("SPLIT(A27, ""|"")"),43234.0)</f>
        <v>43234</v>
      </c>
      <c r="E27" s="2">
        <f>IFERROR(__xludf.DUMMYFUNCTION("""COMPUTED_VALUE"""),1433553.0)</f>
        <v>1433553</v>
      </c>
      <c r="F27" s="2">
        <f>IFERROR(__xludf.DUMMYFUNCTION("""COMPUTED_VALUE"""),4467289.0)</f>
        <v>4467289</v>
      </c>
      <c r="G27" s="2">
        <f>IFERROR(__xludf.DUMMYFUNCTION("""COMPUTED_VALUE"""),145.384699999999)</f>
        <v>145.3847</v>
      </c>
    </row>
    <row r="28">
      <c r="A28" s="1" t="s">
        <v>27</v>
      </c>
      <c r="D28" s="3">
        <f>IFERROR(__xludf.DUMMYFUNCTION("SPLIT(A28, ""|"")"),42979.0)</f>
        <v>42979</v>
      </c>
      <c r="E28" s="2">
        <f>IFERROR(__xludf.DUMMYFUNCTION("""COMPUTED_VALUE"""),186663.0)</f>
        <v>186663</v>
      </c>
      <c r="F28" s="2">
        <f>IFERROR(__xludf.DUMMYFUNCTION("""COMPUTED_VALUE"""),3757403.0)</f>
        <v>3757403</v>
      </c>
      <c r="G28" s="2">
        <f>IFERROR(__xludf.DUMMYFUNCTION("""COMPUTED_VALUE"""),77.8556999999999)</f>
        <v>77.8557</v>
      </c>
    </row>
    <row r="29">
      <c r="A29" s="1" t="s">
        <v>28</v>
      </c>
      <c r="D29" s="3">
        <f>IFERROR(__xludf.DUMMYFUNCTION("SPLIT(A29, ""|"")"),42979.0)</f>
        <v>42979</v>
      </c>
      <c r="E29" s="2">
        <f>IFERROR(__xludf.DUMMYFUNCTION("""COMPUTED_VALUE"""),1404093.0)</f>
        <v>1404093</v>
      </c>
      <c r="F29" s="2">
        <f>IFERROR(__xludf.DUMMYFUNCTION("""COMPUTED_VALUE"""),3758125.0)</f>
        <v>3758125</v>
      </c>
      <c r="G29" s="2">
        <f>IFERROR(__xludf.DUMMYFUNCTION("""COMPUTED_VALUE"""),95.8272)</f>
        <v>95.8272</v>
      </c>
    </row>
    <row r="30">
      <c r="A30" s="1" t="s">
        <v>29</v>
      </c>
      <c r="D30" s="3">
        <f>IFERROR(__xludf.DUMMYFUNCTION("SPLIT(A30, ""|"")"),42979.0)</f>
        <v>42979</v>
      </c>
      <c r="E30" s="2">
        <f>IFERROR(__xludf.DUMMYFUNCTION("""COMPUTED_VALUE"""),1404513.0)</f>
        <v>1404513</v>
      </c>
      <c r="F30" s="2">
        <f>IFERROR(__xludf.DUMMYFUNCTION("""COMPUTED_VALUE"""),3758683.0)</f>
        <v>3758683</v>
      </c>
      <c r="G30" s="2">
        <f>IFERROR(__xludf.DUMMYFUNCTION("""COMPUTED_VALUE"""),22.18)</f>
        <v>22.18</v>
      </c>
    </row>
    <row r="31">
      <c r="A31" s="1" t="s">
        <v>30</v>
      </c>
      <c r="D31" s="3">
        <f>IFERROR(__xludf.DUMMYFUNCTION("SPLIT(A31, ""|"")"),42979.0)</f>
        <v>42979</v>
      </c>
      <c r="E31" s="2">
        <f>IFERROR(__xludf.DUMMYFUNCTION("""COMPUTED_VALUE"""),1228443.0)</f>
        <v>1228443</v>
      </c>
      <c r="F31" s="2">
        <f>IFERROR(__xludf.DUMMYFUNCTION("""COMPUTED_VALUE"""),3758627.0)</f>
        <v>3758627</v>
      </c>
      <c r="G31" s="2">
        <f>IFERROR(__xludf.DUMMYFUNCTION("""COMPUTED_VALUE"""),61.6832)</f>
        <v>61.6832</v>
      </c>
    </row>
    <row r="32">
      <c r="A32" s="1" t="s">
        <v>31</v>
      </c>
      <c r="D32" s="3">
        <f>IFERROR(__xludf.DUMMYFUNCTION("SPLIT(A32, ""|"")"),42979.0)</f>
        <v>42979</v>
      </c>
      <c r="E32" s="2">
        <f>IFERROR(__xludf.DUMMYFUNCTION("""COMPUTED_VALUE"""),1090473.0)</f>
        <v>1090473</v>
      </c>
      <c r="F32" s="2">
        <f>IFERROR(__xludf.DUMMYFUNCTION("""COMPUTED_VALUE"""),3758658.0)</f>
        <v>3758658</v>
      </c>
      <c r="G32" s="2">
        <f>IFERROR(__xludf.DUMMYFUNCTION("""COMPUTED_VALUE"""),73.3761)</f>
        <v>73.3761</v>
      </c>
    </row>
    <row r="33">
      <c r="A33" s="1" t="s">
        <v>32</v>
      </c>
      <c r="D33" s="3">
        <f>IFERROR(__xludf.DUMMYFUNCTION("SPLIT(A33, ""|"")"),42979.0)</f>
        <v>42979</v>
      </c>
      <c r="E33" s="2">
        <f>IFERROR(__xludf.DUMMYFUNCTION("""COMPUTED_VALUE"""),1380573.0)</f>
        <v>1380573</v>
      </c>
      <c r="F33" s="2">
        <f>IFERROR(__xludf.DUMMYFUNCTION("""COMPUTED_VALUE"""),3757714.0)</f>
        <v>3757714</v>
      </c>
      <c r="G33" s="2">
        <f>IFERROR(__xludf.DUMMYFUNCTION("""COMPUTED_VALUE"""),16.4928)</f>
        <v>16.4928</v>
      </c>
    </row>
    <row r="34">
      <c r="A34" s="1" t="s">
        <v>33</v>
      </c>
      <c r="D34" s="3">
        <f>IFERROR(__xludf.DUMMYFUNCTION("SPLIT(A34, ""|"")"),43235.0)</f>
        <v>43235</v>
      </c>
      <c r="E34" s="2">
        <f>IFERROR(__xludf.DUMMYFUNCTION("""COMPUTED_VALUE"""),415293.0)</f>
        <v>415293</v>
      </c>
      <c r="F34" s="2">
        <f>IFERROR(__xludf.DUMMYFUNCTION("""COMPUTED_VALUE"""),4469769.0)</f>
        <v>4469769</v>
      </c>
      <c r="G34" s="2">
        <f>IFERROR(__xludf.DUMMYFUNCTION("""COMPUTED_VALUE"""),59.2456)</f>
        <v>59.2456</v>
      </c>
    </row>
    <row r="35">
      <c r="A35" s="1" t="s">
        <v>34</v>
      </c>
      <c r="D35" s="3">
        <f>IFERROR(__xludf.DUMMYFUNCTION("SPLIT(A35, ""|"")"),43235.0)</f>
        <v>43235</v>
      </c>
      <c r="E35" s="2">
        <f>IFERROR(__xludf.DUMMYFUNCTION("""COMPUTED_VALUE"""),1332093.0)</f>
        <v>1332093</v>
      </c>
      <c r="F35" s="2">
        <f>IFERROR(__xludf.DUMMYFUNCTION("""COMPUTED_VALUE"""),4471324.0)</f>
        <v>4471324</v>
      </c>
      <c r="G35" s="2">
        <f>IFERROR(__xludf.DUMMYFUNCTION("""COMPUTED_VALUE"""),37.422)</f>
        <v>37.422</v>
      </c>
    </row>
    <row r="36">
      <c r="A36" s="1" t="s">
        <v>35</v>
      </c>
      <c r="D36" s="3">
        <f>IFERROR(__xludf.DUMMYFUNCTION("SPLIT(A36, ""|"")"),43235.0)</f>
        <v>43235</v>
      </c>
      <c r="E36" s="2">
        <f>IFERROR(__xludf.DUMMYFUNCTION("""COMPUTED_VALUE"""),231783.0)</f>
        <v>231783</v>
      </c>
      <c r="F36" s="2">
        <f>IFERROR(__xludf.DUMMYFUNCTION("""COMPUTED_VALUE"""),4470605.0)</f>
        <v>4470605</v>
      </c>
      <c r="G36" s="2">
        <f>IFERROR(__xludf.DUMMYFUNCTION("""COMPUTED_VALUE"""),69.7631)</f>
        <v>69.7631</v>
      </c>
    </row>
    <row r="37">
      <c r="A37" s="1" t="s">
        <v>36</v>
      </c>
      <c r="D37" s="3">
        <f>IFERROR(__xludf.DUMMYFUNCTION("SPLIT(A37, ""|"")"),43235.0)</f>
        <v>43235</v>
      </c>
      <c r="E37" s="2">
        <f>IFERROR(__xludf.DUMMYFUNCTION("""COMPUTED_VALUE"""),1478673.0)</f>
        <v>1478673</v>
      </c>
      <c r="F37" s="2">
        <f>IFERROR(__xludf.DUMMYFUNCTION("""COMPUTED_VALUE"""),4469891.0)</f>
        <v>4469891</v>
      </c>
      <c r="G37" s="2">
        <f>IFERROR(__xludf.DUMMYFUNCTION("""COMPUTED_VALUE"""),93.1735)</f>
        <v>93.1735</v>
      </c>
    </row>
    <row r="38">
      <c r="A38" s="1" t="s">
        <v>37</v>
      </c>
      <c r="D38" s="3">
        <f>IFERROR(__xludf.DUMMYFUNCTION("SPLIT(A38, ""|"")"),43235.0)</f>
        <v>43235</v>
      </c>
      <c r="E38" s="2">
        <f>IFERROR(__xludf.DUMMYFUNCTION("""COMPUTED_VALUE"""),1594623.0)</f>
        <v>1594623</v>
      </c>
      <c r="F38" s="2">
        <f>IFERROR(__xludf.DUMMYFUNCTION("""COMPUTED_VALUE"""),4471220.0)</f>
        <v>4471220</v>
      </c>
      <c r="G38" s="2">
        <f>IFERROR(__xludf.DUMMYFUNCTION("""COMPUTED_VALUE"""),18.1315)</f>
        <v>18.1315</v>
      </c>
    </row>
    <row r="39">
      <c r="A39" s="1" t="s">
        <v>38</v>
      </c>
      <c r="D39" s="3">
        <f>IFERROR(__xludf.DUMMYFUNCTION("SPLIT(A39, ""|"")"),43235.0)</f>
        <v>43235</v>
      </c>
      <c r="E39" s="2">
        <f>IFERROR(__xludf.DUMMYFUNCTION("""COMPUTED_VALUE"""),1594713.0)</f>
        <v>1594713</v>
      </c>
      <c r="F39" s="2">
        <f>IFERROR(__xludf.DUMMYFUNCTION("""COMPUTED_VALUE"""),4471611.0)</f>
        <v>4471611</v>
      </c>
      <c r="G39" s="2">
        <f>IFERROR(__xludf.DUMMYFUNCTION("""COMPUTED_VALUE"""),12.5332)</f>
        <v>12.5332</v>
      </c>
    </row>
    <row r="40">
      <c r="A40" s="1" t="s">
        <v>39</v>
      </c>
      <c r="D40" s="3">
        <f>IFERROR(__xludf.DUMMYFUNCTION("SPLIT(A40, ""|"")"),42980.0)</f>
        <v>42980</v>
      </c>
      <c r="E40" s="2">
        <f>IFERROR(__xludf.DUMMYFUNCTION("""COMPUTED_VALUE"""),1304793.0)</f>
        <v>1304793</v>
      </c>
      <c r="F40" s="2">
        <f>IFERROR(__xludf.DUMMYFUNCTION("""COMPUTED_VALUE"""),3760737.0)</f>
        <v>3760737</v>
      </c>
      <c r="G40" s="2">
        <f>IFERROR(__xludf.DUMMYFUNCTION("""COMPUTED_VALUE"""),127.8421)</f>
        <v>127.8421</v>
      </c>
    </row>
    <row r="41">
      <c r="A41" s="1" t="s">
        <v>40</v>
      </c>
      <c r="D41" s="3">
        <f>IFERROR(__xludf.DUMMYFUNCTION("SPLIT(A41, ""|"")"),42980.0)</f>
        <v>42980</v>
      </c>
      <c r="E41" s="2">
        <f>IFERROR(__xludf.DUMMYFUNCTION("""COMPUTED_VALUE"""),1349433.0)</f>
        <v>1349433</v>
      </c>
      <c r="F41" s="2">
        <f>IFERROR(__xludf.DUMMYFUNCTION("""COMPUTED_VALUE"""),3760439.0)</f>
        <v>3760439</v>
      </c>
      <c r="G41" s="2">
        <f>IFERROR(__xludf.DUMMYFUNCTION("""COMPUTED_VALUE"""),63.8088)</f>
        <v>63.8088</v>
      </c>
    </row>
    <row r="42">
      <c r="A42" s="1" t="s">
        <v>41</v>
      </c>
      <c r="D42" s="3">
        <f>IFERROR(__xludf.DUMMYFUNCTION("SPLIT(A42, ""|"")"),42980.0)</f>
        <v>42980</v>
      </c>
      <c r="E42" s="2">
        <f>IFERROR(__xludf.DUMMYFUNCTION("""COMPUTED_VALUE"""),221733.0)</f>
        <v>221733</v>
      </c>
      <c r="F42" s="2">
        <f>IFERROR(__xludf.DUMMYFUNCTION("""COMPUTED_VALUE"""),3759350.0)</f>
        <v>3759350</v>
      </c>
      <c r="G42" s="2">
        <f>IFERROR(__xludf.DUMMYFUNCTION("""COMPUTED_VALUE"""),199.6974)</f>
        <v>199.6974</v>
      </c>
    </row>
    <row r="43">
      <c r="A43" s="1" t="s">
        <v>42</v>
      </c>
      <c r="D43" s="3">
        <f>IFERROR(__xludf.DUMMYFUNCTION("SPLIT(A43, ""|"")"),43236.0)</f>
        <v>43236</v>
      </c>
      <c r="E43" s="2">
        <f>IFERROR(__xludf.DUMMYFUNCTION("""COMPUTED_VALUE"""),1177893.0)</f>
        <v>1177893</v>
      </c>
      <c r="F43" s="2">
        <f>IFERROR(__xludf.DUMMYFUNCTION("""COMPUTED_VALUE"""),4474212.0)</f>
        <v>4474212</v>
      </c>
      <c r="G43" s="2">
        <f>IFERROR(__xludf.DUMMYFUNCTION("""COMPUTED_VALUE"""),92.769)</f>
        <v>92.769</v>
      </c>
    </row>
    <row r="44">
      <c r="A44" s="1" t="s">
        <v>43</v>
      </c>
      <c r="D44" s="3">
        <f>IFERROR(__xludf.DUMMYFUNCTION("SPLIT(A44, ""|"")"),43236.0)</f>
        <v>43236</v>
      </c>
      <c r="E44" s="2">
        <f>IFERROR(__xludf.DUMMYFUNCTION("""COMPUTED_VALUE"""),481893.0)</f>
        <v>481893</v>
      </c>
      <c r="F44" s="2">
        <f>IFERROR(__xludf.DUMMYFUNCTION("""COMPUTED_VALUE"""),4473178.0)</f>
        <v>4473178</v>
      </c>
      <c r="G44" s="2">
        <f>IFERROR(__xludf.DUMMYFUNCTION("""COMPUTED_VALUE"""),66.3193)</f>
        <v>66.3193</v>
      </c>
    </row>
    <row r="45">
      <c r="A45" s="1" t="s">
        <v>44</v>
      </c>
      <c r="D45" s="3">
        <f>IFERROR(__xludf.DUMMYFUNCTION("SPLIT(A45, ""|"")"),43236.0)</f>
        <v>43236</v>
      </c>
      <c r="E45" s="2">
        <f>IFERROR(__xludf.DUMMYFUNCTION("""COMPUTED_VALUE"""),1594803.0)</f>
        <v>1594803</v>
      </c>
      <c r="F45" s="2">
        <f>IFERROR(__xludf.DUMMYFUNCTION("""COMPUTED_VALUE"""),4472057.0)</f>
        <v>4472057</v>
      </c>
      <c r="G45" s="2">
        <f>IFERROR(__xludf.DUMMYFUNCTION("""COMPUTED_VALUE"""),59.9555)</f>
        <v>59.9555</v>
      </c>
    </row>
    <row r="46">
      <c r="A46" s="1" t="s">
        <v>45</v>
      </c>
      <c r="D46" s="3">
        <f>IFERROR(__xludf.DUMMYFUNCTION("SPLIT(A46, ""|"")"),43236.0)</f>
        <v>43236</v>
      </c>
      <c r="E46" s="2">
        <f>IFERROR(__xludf.DUMMYFUNCTION("""COMPUTED_VALUE"""),485253.0)</f>
        <v>485253</v>
      </c>
      <c r="F46" s="2">
        <f>IFERROR(__xludf.DUMMYFUNCTION("""COMPUTED_VALUE"""),4474261.0)</f>
        <v>4474261</v>
      </c>
      <c r="G46" s="2">
        <f>IFERROR(__xludf.DUMMYFUNCTION("""COMPUTED_VALUE"""),124.4267)</f>
        <v>124.4267</v>
      </c>
    </row>
    <row r="47">
      <c r="A47" s="1" t="s">
        <v>46</v>
      </c>
      <c r="D47" s="3">
        <f>IFERROR(__xludf.DUMMYFUNCTION("SPLIT(A47, ""|"")"),43236.0)</f>
        <v>43236</v>
      </c>
      <c r="E47" s="2">
        <f>IFERROR(__xludf.DUMMYFUNCTION("""COMPUTED_VALUE"""),1499163.0)</f>
        <v>1499163</v>
      </c>
      <c r="F47" s="2">
        <f>IFERROR(__xludf.DUMMYFUNCTION("""COMPUTED_VALUE"""),4473308.0)</f>
        <v>4473308</v>
      </c>
      <c r="G47" s="2">
        <f>IFERROR(__xludf.DUMMYFUNCTION("""COMPUTED_VALUE"""),75.9585)</f>
        <v>75.9585</v>
      </c>
    </row>
    <row r="48">
      <c r="A48" s="1" t="s">
        <v>47</v>
      </c>
      <c r="D48" s="3">
        <f>IFERROR(__xludf.DUMMYFUNCTION("SPLIT(A48, ""|"")"),43236.0)</f>
        <v>43236</v>
      </c>
      <c r="E48" s="2">
        <f>IFERROR(__xludf.DUMMYFUNCTION("""COMPUTED_VALUE"""),1595193.0)</f>
        <v>1595193</v>
      </c>
      <c r="F48" s="2">
        <f>IFERROR(__xludf.DUMMYFUNCTION("""COMPUTED_VALUE"""),4473520.0)</f>
        <v>4473520</v>
      </c>
      <c r="G48" s="2">
        <f>IFERROR(__xludf.DUMMYFUNCTION("""COMPUTED_VALUE"""),32.597)</f>
        <v>32.597</v>
      </c>
    </row>
    <row r="49">
      <c r="A49" s="1" t="s">
        <v>48</v>
      </c>
      <c r="D49" s="3">
        <f>IFERROR(__xludf.DUMMYFUNCTION("SPLIT(A49, ""|"")"),43236.0)</f>
        <v>43236</v>
      </c>
      <c r="E49" s="2">
        <f>IFERROR(__xludf.DUMMYFUNCTION("""COMPUTED_VALUE"""),1595253.0)</f>
        <v>1595253</v>
      </c>
      <c r="F49" s="2">
        <f>IFERROR(__xludf.DUMMYFUNCTION("""COMPUTED_VALUE"""),4474139.0)</f>
        <v>4474139</v>
      </c>
      <c r="G49" s="2">
        <f>IFERROR(__xludf.DUMMYFUNCTION("""COMPUTED_VALUE"""),53.2347)</f>
        <v>53.2347</v>
      </c>
    </row>
    <row r="50">
      <c r="A50" s="1" t="s">
        <v>49</v>
      </c>
      <c r="D50" s="3">
        <f>IFERROR(__xludf.DUMMYFUNCTION("SPLIT(A50, ""|"")"),43236.0)</f>
        <v>43236</v>
      </c>
      <c r="E50" s="2">
        <f>IFERROR(__xludf.DUMMYFUNCTION("""COMPUTED_VALUE"""),1223523.0)</f>
        <v>1223523</v>
      </c>
      <c r="F50" s="2">
        <f>IFERROR(__xludf.DUMMYFUNCTION("""COMPUTED_VALUE"""),4473006.0)</f>
        <v>4473006</v>
      </c>
      <c r="G50" s="2">
        <f>IFERROR(__xludf.DUMMYFUNCTION("""COMPUTED_VALUE"""),92.7494)</f>
        <v>92.7494</v>
      </c>
    </row>
    <row r="51">
      <c r="A51" s="1" t="s">
        <v>50</v>
      </c>
      <c r="D51" s="3">
        <f>IFERROR(__xludf.DUMMYFUNCTION("SPLIT(A51, ""|"")"),42981.0)</f>
        <v>42981</v>
      </c>
      <c r="E51" s="2">
        <f>IFERROR(__xludf.DUMMYFUNCTION("""COMPUTED_VALUE"""),1405593.0)</f>
        <v>1405593</v>
      </c>
      <c r="F51" s="2">
        <f>IFERROR(__xludf.DUMMYFUNCTION("""COMPUTED_VALUE"""),3761500.0)</f>
        <v>3761500</v>
      </c>
      <c r="G51" s="2">
        <f>IFERROR(__xludf.DUMMYFUNCTION("""COMPUTED_VALUE"""),7.7876)</f>
        <v>7.7876</v>
      </c>
    </row>
    <row r="52">
      <c r="A52" s="1" t="s">
        <v>51</v>
      </c>
      <c r="D52" s="3">
        <f>IFERROR(__xludf.DUMMYFUNCTION("SPLIT(A52, ""|"")"),42981.0)</f>
        <v>42981</v>
      </c>
      <c r="E52" s="2">
        <f>IFERROR(__xludf.DUMMYFUNCTION("""COMPUTED_VALUE"""),1405893.0)</f>
        <v>1405893</v>
      </c>
      <c r="F52" s="2">
        <f>IFERROR(__xludf.DUMMYFUNCTION("""COMPUTED_VALUE"""),3762410.0)</f>
        <v>3762410</v>
      </c>
      <c r="G52" s="2">
        <f>IFERROR(__xludf.DUMMYFUNCTION("""COMPUTED_VALUE"""),70.5544999999999)</f>
        <v>70.5545</v>
      </c>
    </row>
    <row r="53">
      <c r="A53" s="1" t="s">
        <v>52</v>
      </c>
      <c r="D53" s="3">
        <f>IFERROR(__xludf.DUMMYFUNCTION("SPLIT(A53, ""|"")"),42981.0)</f>
        <v>42981</v>
      </c>
      <c r="E53" s="2">
        <f>IFERROR(__xludf.DUMMYFUNCTION("""COMPUTED_VALUE"""),1393893.0)</f>
        <v>1393893</v>
      </c>
      <c r="F53" s="2">
        <f>IFERROR(__xludf.DUMMYFUNCTION("""COMPUTED_VALUE"""),3763387.0)</f>
        <v>3763387</v>
      </c>
      <c r="G53" s="2">
        <f>IFERROR(__xludf.DUMMYFUNCTION("""COMPUTED_VALUE"""),153.867899999999)</f>
        <v>153.8679</v>
      </c>
    </row>
    <row r="54">
      <c r="A54" s="1" t="s">
        <v>53</v>
      </c>
      <c r="D54" s="3">
        <f>IFERROR(__xludf.DUMMYFUNCTION("SPLIT(A54, ""|"")"),42981.0)</f>
        <v>42981</v>
      </c>
      <c r="E54" s="2">
        <f>IFERROR(__xludf.DUMMYFUNCTION("""COMPUTED_VALUE"""),1406283.0)</f>
        <v>1406283</v>
      </c>
      <c r="F54" s="2">
        <f>IFERROR(__xludf.DUMMYFUNCTION("""COMPUTED_VALUE"""),3763956.0)</f>
        <v>3763956</v>
      </c>
      <c r="G54" s="2">
        <f>IFERROR(__xludf.DUMMYFUNCTION("""COMPUTED_VALUE"""),38.9494)</f>
        <v>38.9494</v>
      </c>
    </row>
    <row r="55">
      <c r="A55" s="1" t="s">
        <v>54</v>
      </c>
      <c r="D55" s="3">
        <f>IFERROR(__xludf.DUMMYFUNCTION("SPLIT(A55, ""|"")"),43237.0)</f>
        <v>43237</v>
      </c>
      <c r="E55" s="2">
        <f>IFERROR(__xludf.DUMMYFUNCTION("""COMPUTED_VALUE"""),1426383.0)</f>
        <v>1426383</v>
      </c>
      <c r="F55" s="2">
        <f>IFERROR(__xludf.DUMMYFUNCTION("""COMPUTED_VALUE"""),4476416.0)</f>
        <v>4476416</v>
      </c>
      <c r="G55" s="2">
        <f>IFERROR(__xludf.DUMMYFUNCTION("""COMPUTED_VALUE"""),80.2064)</f>
        <v>80.2064</v>
      </c>
    </row>
    <row r="56">
      <c r="A56" s="1" t="s">
        <v>55</v>
      </c>
      <c r="D56" s="3">
        <f>IFERROR(__xludf.DUMMYFUNCTION("SPLIT(A56, ""|"")"),43237.0)</f>
        <v>43237</v>
      </c>
      <c r="E56" s="2">
        <f>IFERROR(__xludf.DUMMYFUNCTION("""COMPUTED_VALUE"""),1475553.0)</f>
        <v>1475553</v>
      </c>
      <c r="F56" s="2">
        <f>IFERROR(__xludf.DUMMYFUNCTION("""COMPUTED_VALUE"""),4475381.0)</f>
        <v>4475381</v>
      </c>
      <c r="G56" s="2">
        <f>IFERROR(__xludf.DUMMYFUNCTION("""COMPUTED_VALUE"""),41.6334)</f>
        <v>41.6334</v>
      </c>
    </row>
    <row r="57">
      <c r="A57" s="1" t="s">
        <v>56</v>
      </c>
      <c r="D57" s="3">
        <f>IFERROR(__xludf.DUMMYFUNCTION("SPLIT(A57, ""|"")"),43237.0)</f>
        <v>43237</v>
      </c>
      <c r="E57" s="2">
        <f>IFERROR(__xludf.DUMMYFUNCTION("""COMPUTED_VALUE"""),1455903.0)</f>
        <v>1455903</v>
      </c>
      <c r="F57" s="2">
        <f>IFERROR(__xludf.DUMMYFUNCTION("""COMPUTED_VALUE"""),4476500.0)</f>
        <v>4476500</v>
      </c>
      <c r="G57" s="2">
        <f>IFERROR(__xludf.DUMMYFUNCTION("""COMPUTED_VALUE"""),59.8301)</f>
        <v>59.8301</v>
      </c>
    </row>
    <row r="58">
      <c r="A58" s="1" t="s">
        <v>57</v>
      </c>
      <c r="D58" s="3">
        <f>IFERROR(__xludf.DUMMYFUNCTION("SPLIT(A58, ""|"")"),43237.0)</f>
        <v>43237</v>
      </c>
      <c r="E58" s="2">
        <f>IFERROR(__xludf.DUMMYFUNCTION("""COMPUTED_VALUE"""),1595793.0)</f>
        <v>1595793</v>
      </c>
      <c r="F58" s="2">
        <f>IFERROR(__xludf.DUMMYFUNCTION("""COMPUTED_VALUE"""),4475849.0)</f>
        <v>4475849</v>
      </c>
      <c r="G58" s="2">
        <f>IFERROR(__xludf.DUMMYFUNCTION("""COMPUTED_VALUE"""),30.0)</f>
        <v>30</v>
      </c>
    </row>
    <row r="59">
      <c r="A59" s="1" t="s">
        <v>58</v>
      </c>
      <c r="D59" s="3">
        <f>IFERROR(__xludf.DUMMYFUNCTION("SPLIT(A59, ""|"")"),43237.0)</f>
        <v>43237</v>
      </c>
      <c r="E59" s="2">
        <f>IFERROR(__xludf.DUMMYFUNCTION("""COMPUTED_VALUE"""),1496013.0)</f>
        <v>1496013</v>
      </c>
      <c r="F59" s="2">
        <f>IFERROR(__xludf.DUMMYFUNCTION("""COMPUTED_VALUE"""),4476409.0)</f>
        <v>4476409</v>
      </c>
      <c r="G59" s="2">
        <f>IFERROR(__xludf.DUMMYFUNCTION("""COMPUTED_VALUE"""),99.4925)</f>
        <v>99.4925</v>
      </c>
    </row>
    <row r="60">
      <c r="A60" s="1" t="s">
        <v>59</v>
      </c>
      <c r="D60" s="3">
        <f>IFERROR(__xludf.DUMMYFUNCTION("SPLIT(A60, ""|"")"),43237.0)</f>
        <v>43237</v>
      </c>
      <c r="E60" s="2">
        <f>IFERROR(__xludf.DUMMYFUNCTION("""COMPUTED_VALUE"""),278733.0)</f>
        <v>278733</v>
      </c>
      <c r="F60" s="2">
        <f>IFERROR(__xludf.DUMMYFUNCTION("""COMPUTED_VALUE"""),4475054.0)</f>
        <v>4475054</v>
      </c>
      <c r="G60" s="2">
        <f>IFERROR(__xludf.DUMMYFUNCTION("""COMPUTED_VALUE"""),69.5161)</f>
        <v>69.5161</v>
      </c>
    </row>
    <row r="61">
      <c r="A61" s="1" t="s">
        <v>60</v>
      </c>
      <c r="D61" s="3">
        <f>IFERROR(__xludf.DUMMYFUNCTION("SPLIT(A61, ""|"")"),42982.0)</f>
        <v>42982</v>
      </c>
      <c r="E61" s="2">
        <f>IFERROR(__xludf.DUMMYFUNCTION("""COMPUTED_VALUE"""),1162143.0)</f>
        <v>1162143</v>
      </c>
      <c r="F61" s="2">
        <f>IFERROR(__xludf.DUMMYFUNCTION("""COMPUTED_VALUE"""),3765915.0)</f>
        <v>3765915</v>
      </c>
      <c r="G61" s="2">
        <f>IFERROR(__xludf.DUMMYFUNCTION("""COMPUTED_VALUE"""),110.869599999999)</f>
        <v>110.8696</v>
      </c>
    </row>
    <row r="62">
      <c r="A62" s="1" t="s">
        <v>61</v>
      </c>
      <c r="D62" s="3">
        <f>IFERROR(__xludf.DUMMYFUNCTION("SPLIT(A62, ""|"")"),42982.0)</f>
        <v>42982</v>
      </c>
      <c r="E62" s="2">
        <f>IFERROR(__xludf.DUMMYFUNCTION("""COMPUTED_VALUE"""),1106103.0)</f>
        <v>1106103</v>
      </c>
      <c r="F62" s="2">
        <f>IFERROR(__xludf.DUMMYFUNCTION("""COMPUTED_VALUE"""),3766923.0)</f>
        <v>3766923</v>
      </c>
      <c r="G62" s="2">
        <f>IFERROR(__xludf.DUMMYFUNCTION("""COMPUTED_VALUE"""),48.4768)</f>
        <v>48.4768</v>
      </c>
    </row>
    <row r="63">
      <c r="A63" s="1" t="s">
        <v>62</v>
      </c>
      <c r="D63" s="3">
        <f>IFERROR(__xludf.DUMMYFUNCTION("SPLIT(A63, ""|"")"),42982.0)</f>
        <v>42982</v>
      </c>
      <c r="E63" s="2">
        <f>IFERROR(__xludf.DUMMYFUNCTION("""COMPUTED_VALUE"""),1406463.0)</f>
        <v>1406463</v>
      </c>
      <c r="F63" s="2">
        <f>IFERROR(__xludf.DUMMYFUNCTION("""COMPUTED_VALUE"""),3764898.0)</f>
        <v>3764898</v>
      </c>
      <c r="G63" s="2">
        <f>IFERROR(__xludf.DUMMYFUNCTION("""COMPUTED_VALUE"""),32.3562)</f>
        <v>32.3562</v>
      </c>
    </row>
    <row r="64">
      <c r="A64" s="1" t="s">
        <v>63</v>
      </c>
      <c r="D64" s="3">
        <f>IFERROR(__xludf.DUMMYFUNCTION("SPLIT(A64, ""|"")"),42982.0)</f>
        <v>42982</v>
      </c>
      <c r="E64" s="2">
        <f>IFERROR(__xludf.DUMMYFUNCTION("""COMPUTED_VALUE"""),1381413.0)</f>
        <v>1381413</v>
      </c>
      <c r="F64" s="2">
        <f>IFERROR(__xludf.DUMMYFUNCTION("""COMPUTED_VALUE"""),3764225.0)</f>
        <v>3764225</v>
      </c>
      <c r="G64" s="2">
        <f>IFERROR(__xludf.DUMMYFUNCTION("""COMPUTED_VALUE"""),60.9781)</f>
        <v>60.9781</v>
      </c>
    </row>
    <row r="65">
      <c r="A65" s="1" t="s">
        <v>64</v>
      </c>
      <c r="D65" s="3">
        <f>IFERROR(__xludf.DUMMYFUNCTION("SPLIT(A65, ""|"")"),42982.0)</f>
        <v>42982</v>
      </c>
      <c r="E65" s="2">
        <f>IFERROR(__xludf.DUMMYFUNCTION("""COMPUTED_VALUE"""),1372173.0)</f>
        <v>1372173</v>
      </c>
      <c r="F65" s="2">
        <f>IFERROR(__xludf.DUMMYFUNCTION("""COMPUTED_VALUE"""),3765448.0)</f>
        <v>3765448</v>
      </c>
      <c r="G65" s="2">
        <f>IFERROR(__xludf.DUMMYFUNCTION("""COMPUTED_VALUE"""),62.7508)</f>
        <v>62.7508</v>
      </c>
    </row>
    <row r="66">
      <c r="A66" s="1" t="s">
        <v>65</v>
      </c>
      <c r="D66" s="3">
        <f>IFERROR(__xludf.DUMMYFUNCTION("SPLIT(A66, ""|"")"),42982.0)</f>
        <v>42982</v>
      </c>
      <c r="E66" s="2">
        <f>IFERROR(__xludf.DUMMYFUNCTION("""COMPUTED_VALUE"""),247473.0)</f>
        <v>247473</v>
      </c>
      <c r="F66" s="2">
        <f>IFERROR(__xludf.DUMMYFUNCTION("""COMPUTED_VALUE"""),3765037.0)</f>
        <v>3765037</v>
      </c>
      <c r="G66" s="2">
        <f>IFERROR(__xludf.DUMMYFUNCTION("""COMPUTED_VALUE"""),65.3463)</f>
        <v>65.3463</v>
      </c>
    </row>
    <row r="67">
      <c r="A67" s="1" t="s">
        <v>66</v>
      </c>
      <c r="D67" s="3">
        <f>IFERROR(__xludf.DUMMYFUNCTION("SPLIT(A67, ""|"")"),42982.0)</f>
        <v>42982</v>
      </c>
      <c r="E67" s="2">
        <f>IFERROR(__xludf.DUMMYFUNCTION("""COMPUTED_VALUE"""),391113.0)</f>
        <v>391113</v>
      </c>
      <c r="F67" s="2">
        <f>IFERROR(__xludf.DUMMYFUNCTION("""COMPUTED_VALUE"""),3764275.0)</f>
        <v>3764275</v>
      </c>
      <c r="G67" s="2">
        <f>IFERROR(__xludf.DUMMYFUNCTION("""COMPUTED_VALUE"""),43.6241)</f>
        <v>43.6241</v>
      </c>
    </row>
    <row r="68">
      <c r="A68" s="1" t="s">
        <v>67</v>
      </c>
      <c r="D68" s="3">
        <f>IFERROR(__xludf.DUMMYFUNCTION("SPLIT(A68, ""|"")"),42982.0)</f>
        <v>42982</v>
      </c>
      <c r="E68" s="2">
        <f>IFERROR(__xludf.DUMMYFUNCTION("""COMPUTED_VALUE"""),1406523.0)</f>
        <v>1406523</v>
      </c>
      <c r="F68" s="2">
        <f>IFERROR(__xludf.DUMMYFUNCTION("""COMPUTED_VALUE"""),3765187.0)</f>
        <v>3765187</v>
      </c>
      <c r="G68" s="2">
        <f>IFERROR(__xludf.DUMMYFUNCTION("""COMPUTED_VALUE"""),53.1583)</f>
        <v>53.1583</v>
      </c>
    </row>
    <row r="69">
      <c r="A69" s="1" t="s">
        <v>68</v>
      </c>
      <c r="D69" s="3">
        <f>IFERROR(__xludf.DUMMYFUNCTION("SPLIT(A69, ""|"")"),42982.0)</f>
        <v>42982</v>
      </c>
      <c r="E69" s="2">
        <f>IFERROR(__xludf.DUMMYFUNCTION("""COMPUTED_VALUE"""),1319373.0)</f>
        <v>1319373</v>
      </c>
      <c r="F69" s="2">
        <f>IFERROR(__xludf.DUMMYFUNCTION("""COMPUTED_VALUE"""),3764194.0)</f>
        <v>3764194</v>
      </c>
      <c r="G69" s="2">
        <f>IFERROR(__xludf.DUMMYFUNCTION("""COMPUTED_VALUE"""),83.9686)</f>
        <v>83.9686</v>
      </c>
    </row>
    <row r="70">
      <c r="A70" s="1" t="s">
        <v>69</v>
      </c>
      <c r="D70" s="3">
        <f>IFERROR(__xludf.DUMMYFUNCTION("SPLIT(A70, ""|"")"),42982.0)</f>
        <v>42982</v>
      </c>
      <c r="E70" s="2">
        <f>IFERROR(__xludf.DUMMYFUNCTION("""COMPUTED_VALUE"""),1400553.0)</f>
        <v>1400553</v>
      </c>
      <c r="F70" s="2">
        <f>IFERROR(__xludf.DUMMYFUNCTION("""COMPUTED_VALUE"""),3766133.0)</f>
        <v>3766133</v>
      </c>
      <c r="G70" s="2">
        <f>IFERROR(__xludf.DUMMYFUNCTION("""COMPUTED_VALUE"""),51.7823999999999)</f>
        <v>51.7824</v>
      </c>
    </row>
    <row r="71">
      <c r="A71" s="1" t="s">
        <v>70</v>
      </c>
      <c r="D71" s="3">
        <f>IFERROR(__xludf.DUMMYFUNCTION("SPLIT(A71, ""|"")"),42982.0)</f>
        <v>42982</v>
      </c>
      <c r="E71" s="2">
        <f>IFERROR(__xludf.DUMMYFUNCTION("""COMPUTED_VALUE"""),300033.0)</f>
        <v>300033</v>
      </c>
      <c r="F71" s="2">
        <f>IFERROR(__xludf.DUMMYFUNCTION("""COMPUTED_VALUE"""),3764598.0)</f>
        <v>3764598</v>
      </c>
      <c r="G71" s="2">
        <f>IFERROR(__xludf.DUMMYFUNCTION("""COMPUTED_VALUE"""),35.7986)</f>
        <v>35.7986</v>
      </c>
    </row>
    <row r="72">
      <c r="A72" s="1" t="s">
        <v>71</v>
      </c>
      <c r="D72" s="3">
        <f>IFERROR(__xludf.DUMMYFUNCTION("SPLIT(A72, ""|"")"),42982.0)</f>
        <v>42982</v>
      </c>
      <c r="E72" s="2">
        <f>IFERROR(__xludf.DUMMYFUNCTION("""COMPUTED_VALUE"""),1209063.0)</f>
        <v>1209063</v>
      </c>
      <c r="F72" s="2">
        <f>IFERROR(__xludf.DUMMYFUNCTION("""COMPUTED_VALUE"""),3765090.0)</f>
        <v>3765090</v>
      </c>
      <c r="G72" s="2">
        <f>IFERROR(__xludf.DUMMYFUNCTION("""COMPUTED_VALUE"""),85.984)</f>
        <v>85.984</v>
      </c>
    </row>
    <row r="73">
      <c r="A73" s="1" t="s">
        <v>72</v>
      </c>
      <c r="D73" s="3">
        <f>IFERROR(__xludf.DUMMYFUNCTION("SPLIT(A73, ""|"")"),43238.0)</f>
        <v>43238</v>
      </c>
      <c r="E73" s="2">
        <f>IFERROR(__xludf.DUMMYFUNCTION("""COMPUTED_VALUE"""),1019493.0)</f>
        <v>1019493</v>
      </c>
      <c r="F73" s="2">
        <f>IFERROR(__xludf.DUMMYFUNCTION("""COMPUTED_VALUE"""),4478003.0)</f>
        <v>4478003</v>
      </c>
      <c r="G73" s="2">
        <f>IFERROR(__xludf.DUMMYFUNCTION("""COMPUTED_VALUE"""),82.8858999999999)</f>
        <v>82.8859</v>
      </c>
    </row>
    <row r="74">
      <c r="A74" s="1" t="s">
        <v>73</v>
      </c>
      <c r="D74" s="3">
        <f>IFERROR(__xludf.DUMMYFUNCTION("SPLIT(A74, ""|"")"),43238.0)</f>
        <v>43238</v>
      </c>
      <c r="E74" s="2">
        <f>IFERROR(__xludf.DUMMYFUNCTION("""COMPUTED_VALUE"""),1379103.0)</f>
        <v>1379103</v>
      </c>
      <c r="F74" s="2">
        <f>IFERROR(__xludf.DUMMYFUNCTION("""COMPUTED_VALUE"""),4478049.0)</f>
        <v>4478049</v>
      </c>
      <c r="G74" s="2">
        <f>IFERROR(__xludf.DUMMYFUNCTION("""COMPUTED_VALUE"""),29.2342)</f>
        <v>29.2342</v>
      </c>
    </row>
    <row r="75">
      <c r="A75" s="1" t="s">
        <v>74</v>
      </c>
      <c r="D75" s="3">
        <f>IFERROR(__xludf.DUMMYFUNCTION("SPLIT(A75, ""|"")"),43238.0)</f>
        <v>43238</v>
      </c>
      <c r="E75" s="2">
        <f>IFERROR(__xludf.DUMMYFUNCTION("""COMPUTED_VALUE"""),1596483.0)</f>
        <v>1596483</v>
      </c>
      <c r="F75" s="2">
        <f>IFERROR(__xludf.DUMMYFUNCTION("""COMPUTED_VALUE"""),4478413.0)</f>
        <v>4478413</v>
      </c>
      <c r="G75" s="2">
        <f>IFERROR(__xludf.DUMMYFUNCTION("""COMPUTED_VALUE"""),10.1432)</f>
        <v>10.1432</v>
      </c>
    </row>
    <row r="76">
      <c r="A76" s="1" t="s">
        <v>75</v>
      </c>
      <c r="D76" s="3">
        <f>IFERROR(__xludf.DUMMYFUNCTION("SPLIT(A76, ""|"")"),43238.0)</f>
        <v>43238</v>
      </c>
      <c r="E76" s="2">
        <f>IFERROR(__xludf.DUMMYFUNCTION("""COMPUTED_VALUE"""),1030023.0)</f>
        <v>1030023</v>
      </c>
      <c r="F76" s="2">
        <f>IFERROR(__xludf.DUMMYFUNCTION("""COMPUTED_VALUE"""),4477242.0)</f>
        <v>4477242</v>
      </c>
      <c r="G76" s="2">
        <f>IFERROR(__xludf.DUMMYFUNCTION("""COMPUTED_VALUE"""),69.4468)</f>
        <v>69.4468</v>
      </c>
    </row>
    <row r="77">
      <c r="A77" s="1" t="s">
        <v>76</v>
      </c>
      <c r="D77" s="3">
        <f>IFERROR(__xludf.DUMMYFUNCTION("SPLIT(A77, ""|"")"),42983.0)</f>
        <v>42983</v>
      </c>
      <c r="E77" s="2">
        <f>IFERROR(__xludf.DUMMYFUNCTION("""COMPUTED_VALUE"""),1407633.0)</f>
        <v>1407633</v>
      </c>
      <c r="F77" s="2">
        <f>IFERROR(__xludf.DUMMYFUNCTION("""COMPUTED_VALUE"""),3769938.0)</f>
        <v>3769938</v>
      </c>
      <c r="G77" s="2">
        <f>IFERROR(__xludf.DUMMYFUNCTION("""COMPUTED_VALUE"""),19.4834)</f>
        <v>19.4834</v>
      </c>
    </row>
    <row r="78">
      <c r="A78" s="1" t="s">
        <v>77</v>
      </c>
      <c r="D78" s="3">
        <f>IFERROR(__xludf.DUMMYFUNCTION("SPLIT(A78, ""|"")"),42983.0)</f>
        <v>42983</v>
      </c>
      <c r="E78" s="2">
        <f>IFERROR(__xludf.DUMMYFUNCTION("""COMPUTED_VALUE"""),1407573.0)</f>
        <v>1407573</v>
      </c>
      <c r="F78" s="2">
        <f>IFERROR(__xludf.DUMMYFUNCTION("""COMPUTED_VALUE"""),3769643.0)</f>
        <v>3769643</v>
      </c>
      <c r="G78" s="2">
        <f>IFERROR(__xludf.DUMMYFUNCTION("""COMPUTED_VALUE"""),73.8975)</f>
        <v>73.8975</v>
      </c>
    </row>
    <row r="79">
      <c r="A79" s="1" t="s">
        <v>78</v>
      </c>
      <c r="D79" s="3">
        <f>IFERROR(__xludf.DUMMYFUNCTION("SPLIT(A79, ""|"")"),42983.0)</f>
        <v>42983</v>
      </c>
      <c r="E79" s="2">
        <f>IFERROR(__xludf.DUMMYFUNCTION("""COMPUTED_VALUE"""),1386543.0)</f>
        <v>1386543</v>
      </c>
      <c r="F79" s="2">
        <f>IFERROR(__xludf.DUMMYFUNCTION("""COMPUTED_VALUE"""),3770010.0)</f>
        <v>3770010</v>
      </c>
      <c r="G79" s="2">
        <f>IFERROR(__xludf.DUMMYFUNCTION("""COMPUTED_VALUE"""),59.9655999999999)</f>
        <v>59.9656</v>
      </c>
    </row>
    <row r="80">
      <c r="A80" s="1" t="s">
        <v>79</v>
      </c>
      <c r="D80" s="3">
        <f>IFERROR(__xludf.DUMMYFUNCTION("SPLIT(A80, ""|"")"),42984.0)</f>
        <v>42984</v>
      </c>
      <c r="E80" s="2">
        <f>IFERROR(__xludf.DUMMYFUNCTION("""COMPUTED_VALUE"""),1046973.0)</f>
        <v>1046973</v>
      </c>
      <c r="F80" s="2">
        <f>IFERROR(__xludf.DUMMYFUNCTION("""COMPUTED_VALUE"""),3770441.0)</f>
        <v>3770441</v>
      </c>
      <c r="G80" s="2">
        <f>IFERROR(__xludf.DUMMYFUNCTION("""COMPUTED_VALUE"""),17.134)</f>
        <v>17.134</v>
      </c>
    </row>
    <row r="81">
      <c r="A81" s="1" t="s">
        <v>80</v>
      </c>
      <c r="D81" s="3">
        <f>IFERROR(__xludf.DUMMYFUNCTION("SPLIT(A81, ""|"")"),42984.0)</f>
        <v>42984</v>
      </c>
      <c r="E81" s="2">
        <f>IFERROR(__xludf.DUMMYFUNCTION("""COMPUTED_VALUE"""),1082913.0)</f>
        <v>1082913</v>
      </c>
      <c r="F81" s="2">
        <f>IFERROR(__xludf.DUMMYFUNCTION("""COMPUTED_VALUE"""),3770683.0)</f>
        <v>3770683</v>
      </c>
      <c r="G81" s="2">
        <f>IFERROR(__xludf.DUMMYFUNCTION("""COMPUTED_VALUE"""),121.9052)</f>
        <v>121.9052</v>
      </c>
    </row>
    <row r="82">
      <c r="A82" s="1" t="s">
        <v>81</v>
      </c>
      <c r="D82" s="3">
        <f>IFERROR(__xludf.DUMMYFUNCTION("SPLIT(A82, ""|"")"),42984.0)</f>
        <v>42984</v>
      </c>
      <c r="E82" s="2">
        <f>IFERROR(__xludf.DUMMYFUNCTION("""COMPUTED_VALUE"""),1267803.0)</f>
        <v>1267803</v>
      </c>
      <c r="F82" s="2">
        <f>IFERROR(__xludf.DUMMYFUNCTION("""COMPUTED_VALUE"""),3772594.0)</f>
        <v>3772594</v>
      </c>
      <c r="G82" s="2">
        <f>IFERROR(__xludf.DUMMYFUNCTION("""COMPUTED_VALUE"""),112.6967)</f>
        <v>112.6967</v>
      </c>
    </row>
    <row r="83">
      <c r="A83" s="1" t="s">
        <v>82</v>
      </c>
      <c r="D83" s="3">
        <f>IFERROR(__xludf.DUMMYFUNCTION("SPLIT(A83, ""|"")"),42984.0)</f>
        <v>42984</v>
      </c>
      <c r="E83" s="2">
        <f>IFERROR(__xludf.DUMMYFUNCTION("""COMPUTED_VALUE"""),1046973.0)</f>
        <v>1046973</v>
      </c>
      <c r="F83" s="2">
        <f>IFERROR(__xludf.DUMMYFUNCTION("""COMPUTED_VALUE"""),3770487.0)</f>
        <v>3770487</v>
      </c>
      <c r="G83" s="2">
        <f>IFERROR(__xludf.DUMMYFUNCTION("""COMPUTED_VALUE"""),23.2336)</f>
        <v>23.2336</v>
      </c>
    </row>
    <row r="84">
      <c r="A84" s="1" t="s">
        <v>83</v>
      </c>
      <c r="D84" s="3">
        <f>IFERROR(__xludf.DUMMYFUNCTION("SPLIT(A84, ""|"")"),42984.0)</f>
        <v>42984</v>
      </c>
      <c r="E84" s="2">
        <f>IFERROR(__xludf.DUMMYFUNCTION("""COMPUTED_VALUE"""),1408203.0)</f>
        <v>1408203</v>
      </c>
      <c r="F84" s="2">
        <f>IFERROR(__xludf.DUMMYFUNCTION("""COMPUTED_VALUE"""),3772091.0)</f>
        <v>3772091</v>
      </c>
      <c r="G84" s="2">
        <f>IFERROR(__xludf.DUMMYFUNCTION("""COMPUTED_VALUE"""),11.7)</f>
        <v>11.7</v>
      </c>
    </row>
    <row r="85">
      <c r="A85" s="1" t="s">
        <v>84</v>
      </c>
      <c r="D85" s="3">
        <f>IFERROR(__xludf.DUMMYFUNCTION("SPLIT(A85, ""|"")"),42985.0)</f>
        <v>42985</v>
      </c>
      <c r="E85" s="2">
        <f>IFERROR(__xludf.DUMMYFUNCTION("""COMPUTED_VALUE"""),366003.0)</f>
        <v>366003</v>
      </c>
      <c r="F85" s="2">
        <f>IFERROR(__xludf.DUMMYFUNCTION("""COMPUTED_VALUE"""),3773741.0)</f>
        <v>3773741</v>
      </c>
      <c r="G85" s="2">
        <f>IFERROR(__xludf.DUMMYFUNCTION("""COMPUTED_VALUE"""),79.67)</f>
        <v>79.67</v>
      </c>
    </row>
    <row r="86">
      <c r="A86" s="1" t="s">
        <v>85</v>
      </c>
      <c r="D86" s="3">
        <f>IFERROR(__xludf.DUMMYFUNCTION("SPLIT(A86, ""|"")"),42985.0)</f>
        <v>42985</v>
      </c>
      <c r="E86" s="2">
        <f>IFERROR(__xludf.DUMMYFUNCTION("""COMPUTED_VALUE"""),221733.0)</f>
        <v>221733</v>
      </c>
      <c r="F86" s="2">
        <f>IFERROR(__xludf.DUMMYFUNCTION("""COMPUTED_VALUE"""),3775210.0)</f>
        <v>3775210</v>
      </c>
      <c r="G86" s="2">
        <f>IFERROR(__xludf.DUMMYFUNCTION("""COMPUTED_VALUE"""),516.2565)</f>
        <v>516.2565</v>
      </c>
    </row>
    <row r="87">
      <c r="A87" s="1" t="s">
        <v>86</v>
      </c>
      <c r="D87" s="3">
        <f>IFERROR(__xludf.DUMMYFUNCTION("SPLIT(A87, ""|"")"),42985.0)</f>
        <v>42985</v>
      </c>
      <c r="E87" s="2">
        <f>IFERROR(__xludf.DUMMYFUNCTION("""COMPUTED_VALUE"""),1405383.0)</f>
        <v>1405383</v>
      </c>
      <c r="F87" s="2">
        <f>IFERROR(__xludf.DUMMYFUNCTION("""COMPUTED_VALUE"""),3773477.0)</f>
        <v>3773477</v>
      </c>
      <c r="G87" s="2">
        <f>IFERROR(__xludf.DUMMYFUNCTION("""COMPUTED_VALUE"""),64.6943)</f>
        <v>64.6943</v>
      </c>
    </row>
    <row r="88">
      <c r="A88" s="1" t="s">
        <v>87</v>
      </c>
      <c r="D88" s="3">
        <f>IFERROR(__xludf.DUMMYFUNCTION("SPLIT(A88, ""|"")"),42985.0)</f>
        <v>42985</v>
      </c>
      <c r="E88" s="2">
        <f>IFERROR(__xludf.DUMMYFUNCTION("""COMPUTED_VALUE"""),114033.0)</f>
        <v>114033</v>
      </c>
      <c r="F88" s="2">
        <f>IFERROR(__xludf.DUMMYFUNCTION("""COMPUTED_VALUE"""),3774160.0)</f>
        <v>3774160</v>
      </c>
      <c r="G88" s="2">
        <f>IFERROR(__xludf.DUMMYFUNCTION("""COMPUTED_VALUE"""),95.8462)</f>
        <v>95.8462</v>
      </c>
    </row>
    <row r="89">
      <c r="A89" s="1" t="s">
        <v>88</v>
      </c>
      <c r="D89" s="3">
        <f>IFERROR(__xludf.DUMMYFUNCTION("SPLIT(A89, ""|"")"),42985.0)</f>
        <v>42985</v>
      </c>
      <c r="E89" s="2">
        <f>IFERROR(__xludf.DUMMYFUNCTION("""COMPUTED_VALUE"""),948573.0)</f>
        <v>948573</v>
      </c>
      <c r="F89" s="2">
        <f>IFERROR(__xludf.DUMMYFUNCTION("""COMPUTED_VALUE"""),3775705.0)</f>
        <v>3775705</v>
      </c>
      <c r="G89" s="2">
        <f>IFERROR(__xludf.DUMMYFUNCTION("""COMPUTED_VALUE"""),98.1575)</f>
        <v>98.1575</v>
      </c>
    </row>
    <row r="90">
      <c r="A90" s="1" t="s">
        <v>89</v>
      </c>
      <c r="D90" s="3">
        <f>IFERROR(__xludf.DUMMYFUNCTION("SPLIT(A90, ""|"")"),42985.0)</f>
        <v>42985</v>
      </c>
      <c r="E90" s="2">
        <f>IFERROR(__xludf.DUMMYFUNCTION("""COMPUTED_VALUE"""),416013.0)</f>
        <v>416013</v>
      </c>
      <c r="F90" s="2">
        <f>IFERROR(__xludf.DUMMYFUNCTION("""COMPUTED_VALUE"""),3773914.0)</f>
        <v>3773914</v>
      </c>
      <c r="G90" s="2">
        <f>IFERROR(__xludf.DUMMYFUNCTION("""COMPUTED_VALUE"""),38.2104999999999)</f>
        <v>38.2105</v>
      </c>
    </row>
    <row r="91">
      <c r="A91" s="1" t="s">
        <v>90</v>
      </c>
      <c r="D91" s="3">
        <f>IFERROR(__xludf.DUMMYFUNCTION("SPLIT(A91, ""|"")"),42985.0)</f>
        <v>42985</v>
      </c>
      <c r="E91" s="2">
        <f>IFERROR(__xludf.DUMMYFUNCTION("""COMPUTED_VALUE"""),98433.0)</f>
        <v>98433</v>
      </c>
      <c r="F91" s="2">
        <f>IFERROR(__xludf.DUMMYFUNCTION("""COMPUTED_VALUE"""),3775734.0)</f>
        <v>3775734</v>
      </c>
      <c r="G91" s="2">
        <f>IFERROR(__xludf.DUMMYFUNCTION("""COMPUTED_VALUE"""),72.42)</f>
        <v>72.42</v>
      </c>
    </row>
    <row r="92">
      <c r="A92" s="1" t="s">
        <v>91</v>
      </c>
      <c r="D92" s="3">
        <f>IFERROR(__xludf.DUMMYFUNCTION("SPLIT(A92, ""|"")"),42985.0)</f>
        <v>42985</v>
      </c>
      <c r="E92" s="2">
        <f>IFERROR(__xludf.DUMMYFUNCTION("""COMPUTED_VALUE"""),1319343.0)</f>
        <v>1319343</v>
      </c>
      <c r="F92" s="2">
        <f>IFERROR(__xludf.DUMMYFUNCTION("""COMPUTED_VALUE"""),3775390.0)</f>
        <v>3775390</v>
      </c>
      <c r="G92" s="2">
        <f>IFERROR(__xludf.DUMMYFUNCTION("""COMPUTED_VALUE"""),62.5448)</f>
        <v>62.5448</v>
      </c>
    </row>
    <row r="93">
      <c r="A93" s="1" t="s">
        <v>92</v>
      </c>
      <c r="D93" s="3">
        <f>IFERROR(__xludf.DUMMYFUNCTION("SPLIT(A93, ""|"")"),42985.0)</f>
        <v>42985</v>
      </c>
      <c r="E93" s="2">
        <f>IFERROR(__xludf.DUMMYFUNCTION("""COMPUTED_VALUE"""),473733.0)</f>
        <v>473733</v>
      </c>
      <c r="F93" s="2">
        <f>IFERROR(__xludf.DUMMYFUNCTION("""COMPUTED_VALUE"""),3773841.0)</f>
        <v>3773841</v>
      </c>
      <c r="G93" s="2">
        <f>IFERROR(__xludf.DUMMYFUNCTION("""COMPUTED_VALUE"""),24.9752)</f>
        <v>24.9752</v>
      </c>
    </row>
    <row r="94">
      <c r="A94" s="1" t="s">
        <v>93</v>
      </c>
      <c r="D94" s="3">
        <f>IFERROR(__xludf.DUMMYFUNCTION("SPLIT(A94, ""|"")"),43241.0)</f>
        <v>43241</v>
      </c>
      <c r="E94" s="2">
        <f>IFERROR(__xludf.DUMMYFUNCTION("""COMPUTED_VALUE"""),1478823.0)</f>
        <v>1478823</v>
      </c>
      <c r="F94" s="2">
        <f>IFERROR(__xludf.DUMMYFUNCTION("""COMPUTED_VALUE"""),4484475.0)</f>
        <v>4484475</v>
      </c>
      <c r="G94" s="2">
        <f>IFERROR(__xludf.DUMMYFUNCTION("""COMPUTED_VALUE"""),58.0362)</f>
        <v>58.0362</v>
      </c>
    </row>
    <row r="95">
      <c r="A95" s="1" t="s">
        <v>94</v>
      </c>
      <c r="D95" s="3">
        <f>IFERROR(__xludf.DUMMYFUNCTION("SPLIT(A95, ""|"")"),43241.0)</f>
        <v>43241</v>
      </c>
      <c r="E95" s="2">
        <f>IFERROR(__xludf.DUMMYFUNCTION("""COMPUTED_VALUE"""),1495833.0)</f>
        <v>1495833</v>
      </c>
      <c r="F95" s="2">
        <f>IFERROR(__xludf.DUMMYFUNCTION("""COMPUTED_VALUE"""),4483860.0)</f>
        <v>4483860</v>
      </c>
      <c r="G95" s="2">
        <f>IFERROR(__xludf.DUMMYFUNCTION("""COMPUTED_VALUE"""),36.6846)</f>
        <v>36.6846</v>
      </c>
    </row>
    <row r="96">
      <c r="A96" s="1" t="s">
        <v>95</v>
      </c>
      <c r="D96" s="3">
        <f>IFERROR(__xludf.DUMMYFUNCTION("SPLIT(A96, ""|"")"),43241.0)</f>
        <v>43241</v>
      </c>
      <c r="E96" s="2">
        <f>IFERROR(__xludf.DUMMYFUNCTION("""COMPUTED_VALUE"""),1460043.0)</f>
        <v>1460043</v>
      </c>
      <c r="F96" s="2">
        <f>IFERROR(__xludf.DUMMYFUNCTION("""COMPUTED_VALUE"""),4484844.0)</f>
        <v>4484844</v>
      </c>
      <c r="G96" s="2">
        <f>IFERROR(__xludf.DUMMYFUNCTION("""COMPUTED_VALUE"""),73.1489)</f>
        <v>73.1489</v>
      </c>
    </row>
    <row r="97">
      <c r="A97" s="1" t="s">
        <v>96</v>
      </c>
      <c r="D97" s="3">
        <f>IFERROR(__xludf.DUMMYFUNCTION("SPLIT(A97, ""|"")"),43241.0)</f>
        <v>43241</v>
      </c>
      <c r="E97" s="2">
        <f>IFERROR(__xludf.DUMMYFUNCTION("""COMPUTED_VALUE"""),395523.0)</f>
        <v>395523</v>
      </c>
      <c r="F97" s="2">
        <f>IFERROR(__xludf.DUMMYFUNCTION("""COMPUTED_VALUE"""),4482818.0)</f>
        <v>4482818</v>
      </c>
      <c r="G97" s="2">
        <f>IFERROR(__xludf.DUMMYFUNCTION("""COMPUTED_VALUE"""),76.1238)</f>
        <v>76.1238</v>
      </c>
    </row>
    <row r="98">
      <c r="A98" s="1" t="s">
        <v>97</v>
      </c>
      <c r="D98" s="3">
        <f>IFERROR(__xludf.DUMMYFUNCTION("SPLIT(A98, ""|"")"),43241.0)</f>
        <v>43241</v>
      </c>
      <c r="E98" s="2">
        <f>IFERROR(__xludf.DUMMYFUNCTION("""COMPUTED_VALUE"""),1489683.0)</f>
        <v>1489683</v>
      </c>
      <c r="F98" s="2">
        <f>IFERROR(__xludf.DUMMYFUNCTION("""COMPUTED_VALUE"""),4482446.0)</f>
        <v>4482446</v>
      </c>
      <c r="G98" s="2">
        <f>IFERROR(__xludf.DUMMYFUNCTION("""COMPUTED_VALUE"""),52.4138)</f>
        <v>52.4138</v>
      </c>
    </row>
    <row r="99">
      <c r="A99" s="1" t="s">
        <v>98</v>
      </c>
      <c r="D99" s="3">
        <f>IFERROR(__xludf.DUMMYFUNCTION("SPLIT(A99, ""|"")"),43241.0)</f>
        <v>43241</v>
      </c>
      <c r="E99" s="2">
        <f>IFERROR(__xludf.DUMMYFUNCTION("""COMPUTED_VALUE"""),1410633.0)</f>
        <v>1410633</v>
      </c>
      <c r="F99" s="2">
        <f>IFERROR(__xludf.DUMMYFUNCTION("""COMPUTED_VALUE"""),4482988.0)</f>
        <v>4482988</v>
      </c>
      <c r="G99" s="2">
        <f>IFERROR(__xludf.DUMMYFUNCTION("""COMPUTED_VALUE"""),73.6159)</f>
        <v>73.6159</v>
      </c>
    </row>
    <row r="100">
      <c r="A100" s="1" t="s">
        <v>99</v>
      </c>
      <c r="D100" s="3">
        <f>IFERROR(__xludf.DUMMYFUNCTION("SPLIT(A100, ""|"")"),42986.0)</f>
        <v>42986</v>
      </c>
      <c r="E100" s="2">
        <f>IFERROR(__xludf.DUMMYFUNCTION("""COMPUTED_VALUE"""),1409583.0)</f>
        <v>1409583</v>
      </c>
      <c r="F100" s="2">
        <f>IFERROR(__xludf.DUMMYFUNCTION("""COMPUTED_VALUE"""),3777469.0)</f>
        <v>3777469</v>
      </c>
      <c r="G100" s="2">
        <f>IFERROR(__xludf.DUMMYFUNCTION("""COMPUTED_VALUE"""),86.2695)</f>
        <v>86.2695</v>
      </c>
    </row>
    <row r="101">
      <c r="A101" s="1" t="s">
        <v>100</v>
      </c>
      <c r="D101" s="3">
        <f>IFERROR(__xludf.DUMMYFUNCTION("SPLIT(A101, ""|"")"),42986.0)</f>
        <v>42986</v>
      </c>
      <c r="E101" s="2">
        <f>IFERROR(__xludf.DUMMYFUNCTION("""COMPUTED_VALUE"""),1344573.0)</f>
        <v>1344573</v>
      </c>
      <c r="F101" s="2">
        <f>IFERROR(__xludf.DUMMYFUNCTION("""COMPUTED_VALUE"""),3776427.0)</f>
        <v>3776427</v>
      </c>
      <c r="G101" s="2">
        <f>IFERROR(__xludf.DUMMYFUNCTION("""COMPUTED_VALUE"""),108.7199)</f>
        <v>108.7199</v>
      </c>
    </row>
    <row r="102">
      <c r="A102" s="1" t="s">
        <v>101</v>
      </c>
      <c r="D102" s="3">
        <f>IFERROR(__xludf.DUMMYFUNCTION("SPLIT(A102, ""|"")"),42986.0)</f>
        <v>42986</v>
      </c>
      <c r="E102" s="2">
        <f>IFERROR(__xludf.DUMMYFUNCTION("""COMPUTED_VALUE"""),1409553.0)</f>
        <v>1409553</v>
      </c>
      <c r="F102" s="2">
        <f>IFERROR(__xludf.DUMMYFUNCTION("""COMPUTED_VALUE"""),3777347.0)</f>
        <v>3777347</v>
      </c>
      <c r="G102" s="2">
        <f>IFERROR(__xludf.DUMMYFUNCTION("""COMPUTED_VALUE"""),63.3363)</f>
        <v>63.3363</v>
      </c>
    </row>
    <row r="103">
      <c r="A103" s="1" t="s">
        <v>102</v>
      </c>
      <c r="D103" s="3">
        <f>IFERROR(__xludf.DUMMYFUNCTION("SPLIT(A103, ""|"")"),42986.0)</f>
        <v>42986</v>
      </c>
      <c r="E103" s="2">
        <f>IFERROR(__xludf.DUMMYFUNCTION("""COMPUTED_VALUE"""),278733.0)</f>
        <v>278733</v>
      </c>
      <c r="F103" s="2">
        <f>IFERROR(__xludf.DUMMYFUNCTION("""COMPUTED_VALUE"""),3777805.0)</f>
        <v>3777805</v>
      </c>
      <c r="G103" s="2">
        <f>IFERROR(__xludf.DUMMYFUNCTION("""COMPUTED_VALUE"""),69.2045999999999)</f>
        <v>69.2046</v>
      </c>
    </row>
    <row r="104">
      <c r="A104" s="1" t="s">
        <v>103</v>
      </c>
      <c r="D104" s="3">
        <f>IFERROR(__xludf.DUMMYFUNCTION("SPLIT(A104, ""|"")"),42986.0)</f>
        <v>42986</v>
      </c>
      <c r="E104" s="2">
        <f>IFERROR(__xludf.DUMMYFUNCTION("""COMPUTED_VALUE"""),1313943.0)</f>
        <v>1313943</v>
      </c>
      <c r="F104" s="2">
        <f>IFERROR(__xludf.DUMMYFUNCTION("""COMPUTED_VALUE"""),3775961.0)</f>
        <v>3775961</v>
      </c>
      <c r="G104" s="2">
        <f>IFERROR(__xludf.DUMMYFUNCTION("""COMPUTED_VALUE"""),20.4657)</f>
        <v>20.4657</v>
      </c>
    </row>
    <row r="105">
      <c r="A105" s="1" t="s">
        <v>104</v>
      </c>
      <c r="D105" s="3">
        <f>IFERROR(__xludf.DUMMYFUNCTION("SPLIT(A105, ""|"")"),42986.0)</f>
        <v>42986</v>
      </c>
      <c r="E105" s="2">
        <f>IFERROR(__xludf.DUMMYFUNCTION("""COMPUTED_VALUE"""),306753.0)</f>
        <v>306753</v>
      </c>
      <c r="F105" s="2">
        <f>IFERROR(__xludf.DUMMYFUNCTION("""COMPUTED_VALUE"""),3777540.0)</f>
        <v>3777540</v>
      </c>
      <c r="G105" s="2">
        <f>IFERROR(__xludf.DUMMYFUNCTION("""COMPUTED_VALUE"""),67.9432)</f>
        <v>67.9432</v>
      </c>
    </row>
    <row r="106">
      <c r="A106" s="1" t="s">
        <v>105</v>
      </c>
      <c r="D106" s="3">
        <f>IFERROR(__xludf.DUMMYFUNCTION("SPLIT(A106, ""|"")"),42986.0)</f>
        <v>42986</v>
      </c>
      <c r="E106" s="2">
        <f>IFERROR(__xludf.DUMMYFUNCTION("""COMPUTED_VALUE"""),1128333.0)</f>
        <v>1128333</v>
      </c>
      <c r="F106" s="2">
        <f>IFERROR(__xludf.DUMMYFUNCTION("""COMPUTED_VALUE"""),3777095.0)</f>
        <v>3777095</v>
      </c>
      <c r="G106" s="2">
        <f>IFERROR(__xludf.DUMMYFUNCTION("""COMPUTED_VALUE"""),42.3372)</f>
        <v>42.3372</v>
      </c>
    </row>
    <row r="107">
      <c r="A107" s="1" t="s">
        <v>106</v>
      </c>
      <c r="D107" s="3">
        <f>IFERROR(__xludf.DUMMYFUNCTION("SPLIT(A107, ""|"")"),43242.0)</f>
        <v>43242</v>
      </c>
      <c r="E107" s="2">
        <f>IFERROR(__xludf.DUMMYFUNCTION("""COMPUTED_VALUE"""),1598733.0)</f>
        <v>1598733</v>
      </c>
      <c r="F107" s="2">
        <f>IFERROR(__xludf.DUMMYFUNCTION("""COMPUTED_VALUE"""),4487361.0)</f>
        <v>4487361</v>
      </c>
      <c r="G107" s="2">
        <f>IFERROR(__xludf.DUMMYFUNCTION("""COMPUTED_VALUE"""),45.308)</f>
        <v>45.308</v>
      </c>
    </row>
    <row r="108">
      <c r="A108" s="1" t="s">
        <v>107</v>
      </c>
      <c r="D108" s="3">
        <f>IFERROR(__xludf.DUMMYFUNCTION("SPLIT(A108, ""|"")"),43242.0)</f>
        <v>43242</v>
      </c>
      <c r="E108" s="2">
        <f>IFERROR(__xludf.DUMMYFUNCTION("""COMPUTED_VALUE"""),1207683.0)</f>
        <v>1207683</v>
      </c>
      <c r="F108" s="2">
        <f>IFERROR(__xludf.DUMMYFUNCTION("""COMPUTED_VALUE"""),4486520.0)</f>
        <v>4486520</v>
      </c>
      <c r="G108" s="2">
        <f>IFERROR(__xludf.DUMMYFUNCTION("""COMPUTED_VALUE"""),96.3830999999999)</f>
        <v>96.3831</v>
      </c>
    </row>
    <row r="109">
      <c r="A109" s="1" t="s">
        <v>108</v>
      </c>
      <c r="D109" s="3">
        <f>IFERROR(__xludf.DUMMYFUNCTION("SPLIT(A109, ""|"")"),43242.0)</f>
        <v>43242</v>
      </c>
      <c r="E109" s="2">
        <f>IFERROR(__xludf.DUMMYFUNCTION("""COMPUTED_VALUE"""),1598583.0)</f>
        <v>1598583</v>
      </c>
      <c r="F109" s="2">
        <f>IFERROR(__xludf.DUMMYFUNCTION("""COMPUTED_VALUE"""),4486809.0)</f>
        <v>4486809</v>
      </c>
      <c r="G109" s="2">
        <f>IFERROR(__xludf.DUMMYFUNCTION("""COMPUTED_VALUE"""),18.5687)</f>
        <v>18.5687</v>
      </c>
    </row>
    <row r="110">
      <c r="A110" s="1" t="s">
        <v>109</v>
      </c>
      <c r="D110" s="3">
        <f>IFERROR(__xludf.DUMMYFUNCTION("SPLIT(A110, ""|"")"),43242.0)</f>
        <v>43242</v>
      </c>
      <c r="E110" s="2">
        <f>IFERROR(__xludf.DUMMYFUNCTION("""COMPUTED_VALUE"""),1598403.0)</f>
        <v>1598403</v>
      </c>
      <c r="F110" s="2">
        <f>IFERROR(__xludf.DUMMYFUNCTION("""COMPUTED_VALUE"""),4486489.0)</f>
        <v>4486489</v>
      </c>
      <c r="G110" s="2">
        <f>IFERROR(__xludf.DUMMYFUNCTION("""COMPUTED_VALUE"""),19.2053999999999)</f>
        <v>19.2054</v>
      </c>
    </row>
    <row r="111">
      <c r="A111" s="1" t="s">
        <v>110</v>
      </c>
      <c r="D111" s="3">
        <f>IFERROR(__xludf.DUMMYFUNCTION("SPLIT(A111, ""|"")"),42987.0)</f>
        <v>42987</v>
      </c>
      <c r="E111" s="2">
        <f>IFERROR(__xludf.DUMMYFUNCTION("""COMPUTED_VALUE"""),1409613.0)</f>
        <v>1409613</v>
      </c>
      <c r="F111" s="2">
        <f>IFERROR(__xludf.DUMMYFUNCTION("""COMPUTED_VALUE"""),3778092.0)</f>
        <v>3778092</v>
      </c>
      <c r="G111" s="2">
        <f>IFERROR(__xludf.DUMMYFUNCTION("""COMPUTED_VALUE"""),26.403)</f>
        <v>26.403</v>
      </c>
    </row>
    <row r="112">
      <c r="A112" s="1" t="s">
        <v>111</v>
      </c>
      <c r="D112" s="3">
        <f>IFERROR(__xludf.DUMMYFUNCTION("SPLIT(A112, ""|"")"),42987.0)</f>
        <v>42987</v>
      </c>
      <c r="E112" s="2">
        <f>IFERROR(__xludf.DUMMYFUNCTION("""COMPUTED_VALUE"""),1051203.0)</f>
        <v>1051203</v>
      </c>
      <c r="F112" s="2">
        <f>IFERROR(__xludf.DUMMYFUNCTION("""COMPUTED_VALUE"""),3779343.0)</f>
        <v>3779343</v>
      </c>
      <c r="G112" s="2">
        <f>IFERROR(__xludf.DUMMYFUNCTION("""COMPUTED_VALUE"""),41.2164)</f>
        <v>41.2164</v>
      </c>
    </row>
    <row r="113">
      <c r="A113" s="1" t="s">
        <v>112</v>
      </c>
      <c r="D113" s="3">
        <f>IFERROR(__xludf.DUMMYFUNCTION("SPLIT(A113, ""|"")"),42987.0)</f>
        <v>42987</v>
      </c>
      <c r="E113" s="2">
        <f>IFERROR(__xludf.DUMMYFUNCTION("""COMPUTED_VALUE"""),1410123.0)</f>
        <v>1410123</v>
      </c>
      <c r="F113" s="2">
        <f>IFERROR(__xludf.DUMMYFUNCTION("""COMPUTED_VALUE"""),3779438.0)</f>
        <v>3779438</v>
      </c>
      <c r="G113" s="2">
        <f>IFERROR(__xludf.DUMMYFUNCTION("""COMPUTED_VALUE"""),8.0583)</f>
        <v>8.0583</v>
      </c>
    </row>
    <row r="114">
      <c r="A114" s="1" t="s">
        <v>113</v>
      </c>
      <c r="D114" s="3">
        <f>IFERROR(__xludf.DUMMYFUNCTION("SPLIT(A114, ""|"")"),43243.0)</f>
        <v>43243</v>
      </c>
      <c r="E114" s="2">
        <f>IFERROR(__xludf.DUMMYFUNCTION("""COMPUTED_VALUE"""),1035543.0)</f>
        <v>1035543</v>
      </c>
      <c r="F114" s="2">
        <f>IFERROR(__xludf.DUMMYFUNCTION("""COMPUTED_VALUE"""),4489891.0)</f>
        <v>4489891</v>
      </c>
      <c r="G114" s="2">
        <f>IFERROR(__xludf.DUMMYFUNCTION("""COMPUTED_VALUE"""),59.9934)</f>
        <v>59.9934</v>
      </c>
    </row>
    <row r="115">
      <c r="A115" s="1" t="s">
        <v>114</v>
      </c>
      <c r="D115" s="3">
        <f>IFERROR(__xludf.DUMMYFUNCTION("SPLIT(A115, ""|"")"),43243.0)</f>
        <v>43243</v>
      </c>
      <c r="E115" s="2">
        <f>IFERROR(__xludf.DUMMYFUNCTION("""COMPUTED_VALUE"""),217743.0)</f>
        <v>217743</v>
      </c>
      <c r="F115" s="2">
        <f>IFERROR(__xludf.DUMMYFUNCTION("""COMPUTED_VALUE"""),4488479.0)</f>
        <v>4488479</v>
      </c>
      <c r="G115" s="2">
        <f>IFERROR(__xludf.DUMMYFUNCTION("""COMPUTED_VALUE"""),127.7557)</f>
        <v>127.7557</v>
      </c>
    </row>
    <row r="116">
      <c r="A116" s="1" t="s">
        <v>115</v>
      </c>
      <c r="D116" s="3">
        <f>IFERROR(__xludf.DUMMYFUNCTION("SPLIT(A116, ""|"")"),43243.0)</f>
        <v>43243</v>
      </c>
      <c r="E116" s="2">
        <f>IFERROR(__xludf.DUMMYFUNCTION("""COMPUTED_VALUE"""),1594203.0)</f>
        <v>1594203</v>
      </c>
      <c r="F116" s="2">
        <f>IFERROR(__xludf.DUMMYFUNCTION("""COMPUTED_VALUE"""),4487883.0)</f>
        <v>4487883</v>
      </c>
      <c r="G116" s="2">
        <f>IFERROR(__xludf.DUMMYFUNCTION("""COMPUTED_VALUE"""),96.6124)</f>
        <v>96.6124</v>
      </c>
    </row>
    <row r="117">
      <c r="A117" s="1" t="s">
        <v>116</v>
      </c>
      <c r="D117" s="3">
        <f>IFERROR(__xludf.DUMMYFUNCTION("SPLIT(A117, ""|"")"),43243.0)</f>
        <v>43243</v>
      </c>
      <c r="E117" s="2">
        <f>IFERROR(__xludf.DUMMYFUNCTION("""COMPUTED_VALUE"""),1220583.0)</f>
        <v>1220583</v>
      </c>
      <c r="F117" s="2">
        <f>IFERROR(__xludf.DUMMYFUNCTION("""COMPUTED_VALUE"""),4488195.0)</f>
        <v>4488195</v>
      </c>
      <c r="G117" s="2">
        <f>IFERROR(__xludf.DUMMYFUNCTION("""COMPUTED_VALUE"""),59.4633)</f>
        <v>59.4633</v>
      </c>
    </row>
    <row r="118">
      <c r="A118" s="1" t="s">
        <v>117</v>
      </c>
      <c r="D118" s="3">
        <f>IFERROR(__xludf.DUMMYFUNCTION("SPLIT(A118, ""|"")"),42988.0)</f>
        <v>42988</v>
      </c>
      <c r="E118" s="2">
        <f>IFERROR(__xludf.DUMMYFUNCTION("""COMPUTED_VALUE"""),184683.0)</f>
        <v>184683</v>
      </c>
      <c r="F118" s="2">
        <f>IFERROR(__xludf.DUMMYFUNCTION("""COMPUTED_VALUE"""),3781314.0)</f>
        <v>3781314</v>
      </c>
      <c r="G118" s="2">
        <f>IFERROR(__xludf.DUMMYFUNCTION("""COMPUTED_VALUE"""),84.1364)</f>
        <v>84.1364</v>
      </c>
    </row>
    <row r="119">
      <c r="A119" s="1" t="s">
        <v>118</v>
      </c>
      <c r="D119" s="3">
        <f>IFERROR(__xludf.DUMMYFUNCTION("SPLIT(A119, ""|"")"),42988.0)</f>
        <v>42988</v>
      </c>
      <c r="E119" s="2">
        <f>IFERROR(__xludf.DUMMYFUNCTION("""COMPUTED_VALUE"""),184683.0)</f>
        <v>184683</v>
      </c>
      <c r="F119" s="2">
        <f>IFERROR(__xludf.DUMMYFUNCTION("""COMPUTED_VALUE"""),3781338.0)</f>
        <v>3781338</v>
      </c>
      <c r="G119" s="2">
        <f>IFERROR(__xludf.DUMMYFUNCTION("""COMPUTED_VALUE"""),72.2746)</f>
        <v>72.2746</v>
      </c>
    </row>
    <row r="120">
      <c r="A120" s="1" t="s">
        <v>119</v>
      </c>
      <c r="D120" s="3">
        <f>IFERROR(__xludf.DUMMYFUNCTION("SPLIT(A120, ""|"")"),42988.0)</f>
        <v>42988</v>
      </c>
      <c r="E120" s="2">
        <f>IFERROR(__xludf.DUMMYFUNCTION("""COMPUTED_VALUE"""),367683.0)</f>
        <v>367683</v>
      </c>
      <c r="F120" s="2">
        <f>IFERROR(__xludf.DUMMYFUNCTION("""COMPUTED_VALUE"""),3782918.0)</f>
        <v>3782918</v>
      </c>
      <c r="G120" s="2">
        <f>IFERROR(__xludf.DUMMYFUNCTION("""COMPUTED_VALUE"""),47.3871)</f>
        <v>47.3871</v>
      </c>
    </row>
    <row r="121">
      <c r="A121" s="1" t="s">
        <v>120</v>
      </c>
      <c r="D121" s="3">
        <f>IFERROR(__xludf.DUMMYFUNCTION("SPLIT(A121, ""|"")"),42988.0)</f>
        <v>42988</v>
      </c>
      <c r="E121" s="2">
        <f>IFERROR(__xludf.DUMMYFUNCTION("""COMPUTED_VALUE"""),1410513.0)</f>
        <v>1410513</v>
      </c>
      <c r="F121" s="2">
        <f>IFERROR(__xludf.DUMMYFUNCTION("""COMPUTED_VALUE"""),3780820.0)</f>
        <v>3780820</v>
      </c>
      <c r="G121" s="2">
        <f>IFERROR(__xludf.DUMMYFUNCTION("""COMPUTED_VALUE"""),59.3244)</f>
        <v>59.3244</v>
      </c>
    </row>
    <row r="122">
      <c r="A122" s="1" t="s">
        <v>121</v>
      </c>
      <c r="D122" s="3">
        <f>IFERROR(__xludf.DUMMYFUNCTION("SPLIT(A122, ""|"")"),42988.0)</f>
        <v>42988</v>
      </c>
      <c r="E122" s="2">
        <f>IFERROR(__xludf.DUMMYFUNCTION("""COMPUTED_VALUE"""),1410633.0)</f>
        <v>1410633</v>
      </c>
      <c r="F122" s="2">
        <f>IFERROR(__xludf.DUMMYFUNCTION("""COMPUTED_VALUE"""),3781236.0)</f>
        <v>3781236</v>
      </c>
      <c r="G122" s="2">
        <f>IFERROR(__xludf.DUMMYFUNCTION("""COMPUTED_VALUE"""),86.469)</f>
        <v>86.469</v>
      </c>
    </row>
    <row r="123">
      <c r="A123" s="1" t="s">
        <v>122</v>
      </c>
      <c r="D123" s="3">
        <f>IFERROR(__xludf.DUMMYFUNCTION("SPLIT(A123, ""|"")"),42988.0)</f>
        <v>42988</v>
      </c>
      <c r="E123" s="2">
        <f>IFERROR(__xludf.DUMMYFUNCTION("""COMPUTED_VALUE"""),1039983.0)</f>
        <v>1039983</v>
      </c>
      <c r="F123" s="2">
        <f>IFERROR(__xludf.DUMMYFUNCTION("""COMPUTED_VALUE"""),3781271.0)</f>
        <v>3781271</v>
      </c>
      <c r="G123" s="2">
        <f>IFERROR(__xludf.DUMMYFUNCTION("""COMPUTED_VALUE"""),67.7144999999999)</f>
        <v>67.7145</v>
      </c>
    </row>
    <row r="124">
      <c r="A124" s="1" t="s">
        <v>123</v>
      </c>
      <c r="D124" s="3">
        <f>IFERROR(__xludf.DUMMYFUNCTION("SPLIT(A124, ""|"")"),42988.0)</f>
        <v>42988</v>
      </c>
      <c r="E124" s="2">
        <f>IFERROR(__xludf.DUMMYFUNCTION("""COMPUTED_VALUE"""),1410543.0)</f>
        <v>1410543</v>
      </c>
      <c r="F124" s="2">
        <f>IFERROR(__xludf.DUMMYFUNCTION("""COMPUTED_VALUE"""),3780931.0)</f>
        <v>3780931</v>
      </c>
      <c r="G124" s="2">
        <f>IFERROR(__xludf.DUMMYFUNCTION("""COMPUTED_VALUE"""),45.4989)</f>
        <v>45.4989</v>
      </c>
    </row>
    <row r="125">
      <c r="A125" s="1" t="s">
        <v>124</v>
      </c>
      <c r="D125" s="3">
        <f>IFERROR(__xludf.DUMMYFUNCTION("SPLIT(A125, ""|"")"),43244.0)</f>
        <v>43244</v>
      </c>
      <c r="E125" s="2">
        <f>IFERROR(__xludf.DUMMYFUNCTION("""COMPUTED_VALUE"""),1584483.0)</f>
        <v>1584483</v>
      </c>
      <c r="F125" s="2">
        <f>IFERROR(__xludf.DUMMYFUNCTION("""COMPUTED_VALUE"""),4490858.0)</f>
        <v>4490858</v>
      </c>
      <c r="G125" s="2">
        <f>IFERROR(__xludf.DUMMYFUNCTION("""COMPUTED_VALUE"""),183.0138)</f>
        <v>183.0138</v>
      </c>
    </row>
    <row r="126">
      <c r="A126" s="1" t="s">
        <v>125</v>
      </c>
      <c r="D126" s="3">
        <f>IFERROR(__xludf.DUMMYFUNCTION("SPLIT(A126, ""|"")"),43244.0)</f>
        <v>43244</v>
      </c>
      <c r="E126" s="2">
        <f>IFERROR(__xludf.DUMMYFUNCTION("""COMPUTED_VALUE"""),1524873.0)</f>
        <v>1524873</v>
      </c>
      <c r="F126" s="2">
        <f>IFERROR(__xludf.DUMMYFUNCTION("""COMPUTED_VALUE"""),4490190.0)</f>
        <v>4490190</v>
      </c>
      <c r="G126" s="2">
        <f>IFERROR(__xludf.DUMMYFUNCTION("""COMPUTED_VALUE"""),80.6593)</f>
        <v>80.6593</v>
      </c>
    </row>
    <row r="127">
      <c r="A127" s="1" t="s">
        <v>126</v>
      </c>
      <c r="D127" s="3">
        <f>IFERROR(__xludf.DUMMYFUNCTION("SPLIT(A127, ""|"")"),42989.0)</f>
        <v>42989</v>
      </c>
      <c r="E127" s="2">
        <f>IFERROR(__xludf.DUMMYFUNCTION("""COMPUTED_VALUE"""),33993.0)</f>
        <v>33993</v>
      </c>
      <c r="F127" s="2">
        <f>IFERROR(__xludf.DUMMYFUNCTION("""COMPUTED_VALUE"""),3783476.0)</f>
        <v>3783476</v>
      </c>
      <c r="G127" s="2">
        <f>IFERROR(__xludf.DUMMYFUNCTION("""COMPUTED_VALUE"""),39.3022)</f>
        <v>39.3022</v>
      </c>
    </row>
    <row r="128">
      <c r="A128" s="1" t="s">
        <v>127</v>
      </c>
      <c r="D128" s="3">
        <f>IFERROR(__xludf.DUMMYFUNCTION("SPLIT(A128, ""|"")"),42989.0)</f>
        <v>42989</v>
      </c>
      <c r="E128" s="2">
        <f>IFERROR(__xludf.DUMMYFUNCTION("""COMPUTED_VALUE"""),1313493.0)</f>
        <v>1313493</v>
      </c>
      <c r="F128" s="2">
        <f>IFERROR(__xludf.DUMMYFUNCTION("""COMPUTED_VALUE"""),3785544.0)</f>
        <v>3785544</v>
      </c>
      <c r="G128" s="2">
        <f>IFERROR(__xludf.DUMMYFUNCTION("""COMPUTED_VALUE"""),40.4787)</f>
        <v>40.4787</v>
      </c>
    </row>
    <row r="129">
      <c r="A129" s="1" t="s">
        <v>128</v>
      </c>
      <c r="D129" s="3">
        <f>IFERROR(__xludf.DUMMYFUNCTION("SPLIT(A129, ""|"")"),42989.0)</f>
        <v>42989</v>
      </c>
      <c r="E129" s="2">
        <f>IFERROR(__xludf.DUMMYFUNCTION("""COMPUTED_VALUE"""),1388343.0)</f>
        <v>1388343</v>
      </c>
      <c r="F129" s="2">
        <f>IFERROR(__xludf.DUMMYFUNCTION("""COMPUTED_VALUE"""),3784981.0)</f>
        <v>3784981</v>
      </c>
      <c r="G129" s="2">
        <f>IFERROR(__xludf.DUMMYFUNCTION("""COMPUTED_VALUE"""),51.6709)</f>
        <v>51.6709</v>
      </c>
    </row>
    <row r="130">
      <c r="A130" s="1" t="s">
        <v>129</v>
      </c>
      <c r="D130" s="3">
        <f>IFERROR(__xludf.DUMMYFUNCTION("SPLIT(A130, ""|"")"),42989.0)</f>
        <v>42989</v>
      </c>
      <c r="E130" s="2">
        <f>IFERROR(__xludf.DUMMYFUNCTION("""COMPUTED_VALUE"""),186663.0)</f>
        <v>186663</v>
      </c>
      <c r="F130" s="2">
        <f>IFERROR(__xludf.DUMMYFUNCTION("""COMPUTED_VALUE"""),3784978.0)</f>
        <v>3784978</v>
      </c>
      <c r="G130" s="2">
        <f>IFERROR(__xludf.DUMMYFUNCTION("""COMPUTED_VALUE"""),117.6399)</f>
        <v>117.6399</v>
      </c>
    </row>
    <row r="131">
      <c r="A131" s="1" t="s">
        <v>130</v>
      </c>
      <c r="D131" s="3">
        <f>IFERROR(__xludf.DUMMYFUNCTION("SPLIT(A131, ""|"")"),42989.0)</f>
        <v>42989</v>
      </c>
      <c r="E131" s="2">
        <f>IFERROR(__xludf.DUMMYFUNCTION("""COMPUTED_VALUE"""),1341963.0)</f>
        <v>1341963</v>
      </c>
      <c r="F131" s="2">
        <f>IFERROR(__xludf.DUMMYFUNCTION("""COMPUTED_VALUE"""),3786186.0)</f>
        <v>3786186</v>
      </c>
      <c r="G131" s="2">
        <f>IFERROR(__xludf.DUMMYFUNCTION("""COMPUTED_VALUE"""),133.184499999999)</f>
        <v>133.1845</v>
      </c>
    </row>
    <row r="132">
      <c r="A132" s="1" t="s">
        <v>131</v>
      </c>
      <c r="D132" s="3">
        <f>IFERROR(__xludf.DUMMYFUNCTION("SPLIT(A132, ""|"")"),42989.0)</f>
        <v>42989</v>
      </c>
      <c r="E132" s="2">
        <f>IFERROR(__xludf.DUMMYFUNCTION("""COMPUTED_VALUE"""),1372023.0)</f>
        <v>1372023</v>
      </c>
      <c r="F132" s="2">
        <f>IFERROR(__xludf.DUMMYFUNCTION("""COMPUTED_VALUE"""),3783743.0)</f>
        <v>3783743</v>
      </c>
      <c r="G132" s="2">
        <f>IFERROR(__xludf.DUMMYFUNCTION("""COMPUTED_VALUE"""),49.0652)</f>
        <v>49.0652</v>
      </c>
    </row>
    <row r="133">
      <c r="A133" s="1" t="s">
        <v>132</v>
      </c>
      <c r="D133" s="3">
        <f>IFERROR(__xludf.DUMMYFUNCTION("SPLIT(A133, ""|"")"),43245.0)</f>
        <v>43245</v>
      </c>
      <c r="E133" s="2">
        <f>IFERROR(__xludf.DUMMYFUNCTION("""COMPUTED_VALUE"""),1324833.0)</f>
        <v>1324833</v>
      </c>
      <c r="F133" s="2">
        <f>IFERROR(__xludf.DUMMYFUNCTION("""COMPUTED_VALUE"""),4492412.0)</f>
        <v>4492412</v>
      </c>
      <c r="G133" s="2">
        <f>IFERROR(__xludf.DUMMYFUNCTION("""COMPUTED_VALUE"""),33.1659)</f>
        <v>33.1659</v>
      </c>
    </row>
    <row r="134">
      <c r="A134" s="1" t="s">
        <v>133</v>
      </c>
      <c r="D134" s="3">
        <f>IFERROR(__xludf.DUMMYFUNCTION("SPLIT(A134, ""|"")"),43245.0)</f>
        <v>43245</v>
      </c>
      <c r="E134" s="2">
        <f>IFERROR(__xludf.DUMMYFUNCTION("""COMPUTED_VALUE"""),845193.0)</f>
        <v>845193</v>
      </c>
      <c r="F134" s="2">
        <f>IFERROR(__xludf.DUMMYFUNCTION("""COMPUTED_VALUE"""),4493499.0)</f>
        <v>4493499</v>
      </c>
      <c r="G134" s="2">
        <f>IFERROR(__xludf.DUMMYFUNCTION("""COMPUTED_VALUE"""),110.2292)</f>
        <v>110.2292</v>
      </c>
    </row>
    <row r="135">
      <c r="A135" s="1" t="s">
        <v>134</v>
      </c>
      <c r="D135" s="3">
        <f>IFERROR(__xludf.DUMMYFUNCTION("SPLIT(A135, ""|"")"),43245.0)</f>
        <v>43245</v>
      </c>
      <c r="E135" s="2">
        <f>IFERROR(__xludf.DUMMYFUNCTION("""COMPUTED_VALUE"""),1387113.0)</f>
        <v>1387113</v>
      </c>
      <c r="F135" s="2">
        <f>IFERROR(__xludf.DUMMYFUNCTION("""COMPUTED_VALUE"""),4493329.0)</f>
        <v>4493329</v>
      </c>
      <c r="G135" s="2">
        <f>IFERROR(__xludf.DUMMYFUNCTION("""COMPUTED_VALUE"""),326.809)</f>
        <v>326.809</v>
      </c>
    </row>
    <row r="136">
      <c r="A136" s="1" t="s">
        <v>135</v>
      </c>
      <c r="D136" s="3">
        <f>IFERROR(__xludf.DUMMYFUNCTION("SPLIT(A136, ""|"")"),43245.0)</f>
        <v>43245</v>
      </c>
      <c r="E136" s="2">
        <f>IFERROR(__xludf.DUMMYFUNCTION("""COMPUTED_VALUE"""),1600143.0)</f>
        <v>1600143</v>
      </c>
      <c r="F136" s="2">
        <f>IFERROR(__xludf.DUMMYFUNCTION("""COMPUTED_VALUE"""),4493113.0)</f>
        <v>4493113</v>
      </c>
      <c r="G136" s="2">
        <f>IFERROR(__xludf.DUMMYFUNCTION("""COMPUTED_VALUE"""),25.9998)</f>
        <v>25.9998</v>
      </c>
    </row>
    <row r="137">
      <c r="A137" s="1" t="s">
        <v>136</v>
      </c>
      <c r="D137" s="3">
        <f>IFERROR(__xludf.DUMMYFUNCTION("SPLIT(A137, ""|"")"),42990.0)</f>
        <v>42990</v>
      </c>
      <c r="E137" s="2">
        <f>IFERROR(__xludf.DUMMYFUNCTION("""COMPUTED_VALUE"""),1299123.0)</f>
        <v>1299123</v>
      </c>
      <c r="F137" s="2">
        <f>IFERROR(__xludf.DUMMYFUNCTION("""COMPUTED_VALUE"""),3787933.0)</f>
        <v>3787933</v>
      </c>
      <c r="G137" s="2">
        <f>IFERROR(__xludf.DUMMYFUNCTION("""COMPUTED_VALUE"""),14.85)</f>
        <v>14.85</v>
      </c>
    </row>
    <row r="138">
      <c r="A138" s="1" t="s">
        <v>137</v>
      </c>
      <c r="D138" s="3">
        <f>IFERROR(__xludf.DUMMYFUNCTION("SPLIT(A138, ""|"")"),42990.0)</f>
        <v>42990</v>
      </c>
      <c r="E138" s="2">
        <f>IFERROR(__xludf.DUMMYFUNCTION("""COMPUTED_VALUE"""),1306263.0)</f>
        <v>1306263</v>
      </c>
      <c r="F138" s="2">
        <f>IFERROR(__xludf.DUMMYFUNCTION("""COMPUTED_VALUE"""),3787622.0)</f>
        <v>3787622</v>
      </c>
      <c r="G138" s="2">
        <f>IFERROR(__xludf.DUMMYFUNCTION("""COMPUTED_VALUE"""),72.0226)</f>
        <v>72.0226</v>
      </c>
    </row>
    <row r="139">
      <c r="A139" s="1" t="s">
        <v>138</v>
      </c>
      <c r="D139" s="3">
        <f>IFERROR(__xludf.DUMMYFUNCTION("SPLIT(A139, ""|"")"),42990.0)</f>
        <v>42990</v>
      </c>
      <c r="E139" s="2">
        <f>IFERROR(__xludf.DUMMYFUNCTION("""COMPUTED_VALUE"""),1411923.0)</f>
        <v>1411923</v>
      </c>
      <c r="F139" s="2">
        <f>IFERROR(__xludf.DUMMYFUNCTION("""COMPUTED_VALUE"""),3786311.0)</f>
        <v>3786311</v>
      </c>
      <c r="G139" s="2">
        <f>IFERROR(__xludf.DUMMYFUNCTION("""COMPUTED_VALUE"""),25.3081)</f>
        <v>25.3081</v>
      </c>
    </row>
    <row r="140">
      <c r="A140" s="1" t="s">
        <v>139</v>
      </c>
      <c r="D140" s="3">
        <f>IFERROR(__xludf.DUMMYFUNCTION("SPLIT(A140, ""|"")"),42990.0)</f>
        <v>42990</v>
      </c>
      <c r="E140" s="2">
        <f>IFERROR(__xludf.DUMMYFUNCTION("""COMPUTED_VALUE"""),1373283.0)</f>
        <v>1373283</v>
      </c>
      <c r="F140" s="2">
        <f>IFERROR(__xludf.DUMMYFUNCTION("""COMPUTED_VALUE"""),3786377.0)</f>
        <v>3786377</v>
      </c>
      <c r="G140" s="2">
        <f>IFERROR(__xludf.DUMMYFUNCTION("""COMPUTED_VALUE"""),73.2193)</f>
        <v>73.2193</v>
      </c>
    </row>
    <row r="141">
      <c r="A141" s="1" t="s">
        <v>140</v>
      </c>
      <c r="D141" s="3">
        <f>IFERROR(__xludf.DUMMYFUNCTION("SPLIT(A141, ""|"")"),42990.0)</f>
        <v>42990</v>
      </c>
      <c r="E141" s="2">
        <f>IFERROR(__xludf.DUMMYFUNCTION("""COMPUTED_VALUE"""),1177893.0)</f>
        <v>1177893</v>
      </c>
      <c r="F141" s="2">
        <f>IFERROR(__xludf.DUMMYFUNCTION("""COMPUTED_VALUE"""),3786337.0)</f>
        <v>3786337</v>
      </c>
      <c r="G141" s="2">
        <f>IFERROR(__xludf.DUMMYFUNCTION("""COMPUTED_VALUE"""),76.6666999999999)</f>
        <v>76.6667</v>
      </c>
    </row>
    <row r="142">
      <c r="A142" s="1" t="s">
        <v>141</v>
      </c>
      <c r="D142" s="3">
        <f>IFERROR(__xludf.DUMMYFUNCTION("SPLIT(A142, ""|"")"),43246.0)</f>
        <v>43246</v>
      </c>
      <c r="E142" s="2">
        <f>IFERROR(__xludf.DUMMYFUNCTION("""COMPUTED_VALUE"""),1600623.0)</f>
        <v>1600623</v>
      </c>
      <c r="F142" s="2">
        <f>IFERROR(__xludf.DUMMYFUNCTION("""COMPUTED_VALUE"""),4495157.0)</f>
        <v>4495157</v>
      </c>
      <c r="G142" s="2">
        <f>IFERROR(__xludf.DUMMYFUNCTION("""COMPUTED_VALUE"""),68.4547)</f>
        <v>68.4547</v>
      </c>
    </row>
    <row r="143">
      <c r="A143" s="1" t="s">
        <v>142</v>
      </c>
      <c r="D143" s="3">
        <f>IFERROR(__xludf.DUMMYFUNCTION("SPLIT(A143, ""|"")"),43246.0)</f>
        <v>43246</v>
      </c>
      <c r="E143" s="2">
        <f>IFERROR(__xludf.DUMMYFUNCTION("""COMPUTED_VALUE"""),1406043.0)</f>
        <v>1406043</v>
      </c>
      <c r="F143" s="2">
        <f>IFERROR(__xludf.DUMMYFUNCTION("""COMPUTED_VALUE"""),4494357.0)</f>
        <v>4494357</v>
      </c>
      <c r="G143" s="2">
        <f>IFERROR(__xludf.DUMMYFUNCTION("""COMPUTED_VALUE"""),80.166)</f>
        <v>80.166</v>
      </c>
    </row>
    <row r="144">
      <c r="A144" s="1" t="s">
        <v>143</v>
      </c>
      <c r="D144" s="3">
        <f>IFERROR(__xludf.DUMMYFUNCTION("SPLIT(A144, ""|"")"),43246.0)</f>
        <v>43246</v>
      </c>
      <c r="E144" s="2">
        <f>IFERROR(__xludf.DUMMYFUNCTION("""COMPUTED_VALUE"""),1089273.0)</f>
        <v>1089273</v>
      </c>
      <c r="F144" s="2">
        <f>IFERROR(__xludf.DUMMYFUNCTION("""COMPUTED_VALUE"""),4494438.0)</f>
        <v>4494438</v>
      </c>
      <c r="G144" s="2">
        <f>IFERROR(__xludf.DUMMYFUNCTION("""COMPUTED_VALUE"""),47.9598)</f>
        <v>47.9598</v>
      </c>
    </row>
    <row r="145">
      <c r="A145" s="1" t="s">
        <v>144</v>
      </c>
      <c r="D145" s="3">
        <f>IFERROR(__xludf.DUMMYFUNCTION("SPLIT(A145, ""|"")"),43246.0)</f>
        <v>43246</v>
      </c>
      <c r="E145" s="2">
        <f>IFERROR(__xludf.DUMMYFUNCTION("""COMPUTED_VALUE"""),1600803.0)</f>
        <v>1600803</v>
      </c>
      <c r="F145" s="2">
        <f>IFERROR(__xludf.DUMMYFUNCTION("""COMPUTED_VALUE"""),4495919.0)</f>
        <v>4495919</v>
      </c>
      <c r="G145" s="2">
        <f>IFERROR(__xludf.DUMMYFUNCTION("""COMPUTED_VALUE"""),56.9082)</f>
        <v>56.9082</v>
      </c>
    </row>
    <row r="146">
      <c r="A146" s="1" t="s">
        <v>145</v>
      </c>
      <c r="D146" s="3">
        <f>IFERROR(__xludf.DUMMYFUNCTION("SPLIT(A146, ""|"")"),43246.0)</f>
        <v>43246</v>
      </c>
      <c r="E146" s="2">
        <f>IFERROR(__xludf.DUMMYFUNCTION("""COMPUTED_VALUE"""),1141683.0)</f>
        <v>1141683</v>
      </c>
      <c r="F146" s="2">
        <f>IFERROR(__xludf.DUMMYFUNCTION("""COMPUTED_VALUE"""),4494426.0)</f>
        <v>4494426</v>
      </c>
      <c r="G146" s="2">
        <f>IFERROR(__xludf.DUMMYFUNCTION("""COMPUTED_VALUE"""),75.1767)</f>
        <v>75.1767</v>
      </c>
    </row>
    <row r="147">
      <c r="A147" s="1" t="s">
        <v>146</v>
      </c>
      <c r="D147" s="3">
        <f>IFERROR(__xludf.DUMMYFUNCTION("SPLIT(A147, ""|"")"),43246.0)</f>
        <v>43246</v>
      </c>
      <c r="E147" s="2">
        <f>IFERROR(__xludf.DUMMYFUNCTION("""COMPUTED_VALUE"""),89313.0)</f>
        <v>89313</v>
      </c>
      <c r="F147" s="2">
        <f>IFERROR(__xludf.DUMMYFUNCTION("""COMPUTED_VALUE"""),4494791.0)</f>
        <v>4494791</v>
      </c>
      <c r="G147" s="2">
        <f>IFERROR(__xludf.DUMMYFUNCTION("""COMPUTED_VALUE"""),64.9553)</f>
        <v>64.9553</v>
      </c>
    </row>
    <row r="148">
      <c r="A148" s="1" t="s">
        <v>147</v>
      </c>
      <c r="D148" s="3">
        <f>IFERROR(__xludf.DUMMYFUNCTION("SPLIT(A148, ""|"")"),42991.0)</f>
        <v>42991</v>
      </c>
      <c r="E148" s="2">
        <f>IFERROR(__xludf.DUMMYFUNCTION("""COMPUTED_VALUE"""),1412973.0)</f>
        <v>1412973</v>
      </c>
      <c r="F148" s="2">
        <f>IFERROR(__xludf.DUMMYFUNCTION("""COMPUTED_VALUE"""),3790830.0)</f>
        <v>3790830</v>
      </c>
      <c r="G148" s="2">
        <f>IFERROR(__xludf.DUMMYFUNCTION("""COMPUTED_VALUE"""),258.8221)</f>
        <v>258.8221</v>
      </c>
    </row>
    <row r="149">
      <c r="A149" s="1" t="s">
        <v>148</v>
      </c>
      <c r="D149" s="3">
        <f>IFERROR(__xludf.DUMMYFUNCTION("SPLIT(A149, ""|"")"),42991.0)</f>
        <v>42991</v>
      </c>
      <c r="E149" s="2">
        <f>IFERROR(__xludf.DUMMYFUNCTION("""COMPUTED_VALUE"""),1194483.0)</f>
        <v>1194483</v>
      </c>
      <c r="F149" s="2">
        <f>IFERROR(__xludf.DUMMYFUNCTION("""COMPUTED_VALUE"""),3790584.0)</f>
        <v>3790584</v>
      </c>
      <c r="G149" s="2">
        <f>IFERROR(__xludf.DUMMYFUNCTION("""COMPUTED_VALUE"""),120.964399999999)</f>
        <v>120.9644</v>
      </c>
    </row>
    <row r="150">
      <c r="A150" s="1" t="s">
        <v>149</v>
      </c>
      <c r="D150" s="3">
        <f>IFERROR(__xludf.DUMMYFUNCTION("SPLIT(A150, ""|"")"),42991.0)</f>
        <v>42991</v>
      </c>
      <c r="E150" s="2">
        <f>IFERROR(__xludf.DUMMYFUNCTION("""COMPUTED_VALUE"""),848373.0)</f>
        <v>848373</v>
      </c>
      <c r="F150" s="2">
        <f>IFERROR(__xludf.DUMMYFUNCTION("""COMPUTED_VALUE"""),3791222.0)</f>
        <v>3791222</v>
      </c>
      <c r="G150" s="2">
        <f>IFERROR(__xludf.DUMMYFUNCTION("""COMPUTED_VALUE"""),79.1667)</f>
        <v>79.1667</v>
      </c>
    </row>
    <row r="151">
      <c r="A151" s="1" t="s">
        <v>150</v>
      </c>
      <c r="D151" s="3">
        <f>IFERROR(__xludf.DUMMYFUNCTION("SPLIT(A151, ""|"")"),42991.0)</f>
        <v>42991</v>
      </c>
      <c r="E151" s="2">
        <f>IFERROR(__xludf.DUMMYFUNCTION("""COMPUTED_VALUE"""),1412583.0)</f>
        <v>1412583</v>
      </c>
      <c r="F151" s="2">
        <f>IFERROR(__xludf.DUMMYFUNCTION("""COMPUTED_VALUE"""),3789106.0)</f>
        <v>3789106</v>
      </c>
      <c r="G151" s="2">
        <f>IFERROR(__xludf.DUMMYFUNCTION("""COMPUTED_VALUE"""),76.6668)</f>
        <v>76.6668</v>
      </c>
    </row>
    <row r="152">
      <c r="A152" s="1" t="s">
        <v>151</v>
      </c>
      <c r="D152" s="3">
        <f>IFERROR(__xludf.DUMMYFUNCTION("SPLIT(A152, ""|"")"),42991.0)</f>
        <v>42991</v>
      </c>
      <c r="E152" s="2">
        <f>IFERROR(__xludf.DUMMYFUNCTION("""COMPUTED_VALUE"""),1209573.0)</f>
        <v>1209573</v>
      </c>
      <c r="F152" s="2">
        <f>IFERROR(__xludf.DUMMYFUNCTION("""COMPUTED_VALUE"""),3789251.0)</f>
        <v>3789251</v>
      </c>
      <c r="G152" s="2">
        <f>IFERROR(__xludf.DUMMYFUNCTION("""COMPUTED_VALUE"""),28.893)</f>
        <v>28.893</v>
      </c>
    </row>
    <row r="153">
      <c r="A153" s="1" t="s">
        <v>152</v>
      </c>
      <c r="D153" s="3">
        <f>IFERROR(__xludf.DUMMYFUNCTION("SPLIT(A153, ""|"")"),42991.0)</f>
        <v>42991</v>
      </c>
      <c r="E153" s="2">
        <f>IFERROR(__xludf.DUMMYFUNCTION("""COMPUTED_VALUE"""),1194483.0)</f>
        <v>1194483</v>
      </c>
      <c r="F153" s="2">
        <f>IFERROR(__xludf.DUMMYFUNCTION("""COMPUTED_VALUE"""),3790736.0)</f>
        <v>3790736</v>
      </c>
      <c r="G153" s="2">
        <f>IFERROR(__xludf.DUMMYFUNCTION("""COMPUTED_VALUE"""),138.990099999999)</f>
        <v>138.9901</v>
      </c>
    </row>
    <row r="154">
      <c r="A154" s="1" t="s">
        <v>153</v>
      </c>
      <c r="D154" s="3">
        <f>IFERROR(__xludf.DUMMYFUNCTION("SPLIT(A154, ""|"")"),42991.0)</f>
        <v>42991</v>
      </c>
      <c r="E154" s="2">
        <f>IFERROR(__xludf.DUMMYFUNCTION("""COMPUTED_VALUE"""),1212723.0)</f>
        <v>1212723</v>
      </c>
      <c r="F154" s="2">
        <f>IFERROR(__xludf.DUMMYFUNCTION("""COMPUTED_VALUE"""),3789404.0)</f>
        <v>3789404</v>
      </c>
      <c r="G154" s="2">
        <f>IFERROR(__xludf.DUMMYFUNCTION("""COMPUTED_VALUE"""),14.6065)</f>
        <v>14.6065</v>
      </c>
    </row>
    <row r="155">
      <c r="A155" s="1" t="s">
        <v>154</v>
      </c>
      <c r="D155" s="3">
        <f>IFERROR(__xludf.DUMMYFUNCTION("SPLIT(A155, ""|"")"),43247.0)</f>
        <v>43247</v>
      </c>
      <c r="E155" s="2">
        <f>IFERROR(__xludf.DUMMYFUNCTION("""COMPUTED_VALUE"""),1105443.0)</f>
        <v>1105443</v>
      </c>
      <c r="F155" s="2">
        <f>IFERROR(__xludf.DUMMYFUNCTION("""COMPUTED_VALUE"""),4497037.0)</f>
        <v>4497037</v>
      </c>
      <c r="G155" s="2">
        <f>IFERROR(__xludf.DUMMYFUNCTION("""COMPUTED_VALUE"""),116.1399)</f>
        <v>116.1399</v>
      </c>
    </row>
    <row r="156">
      <c r="A156" s="1" t="s">
        <v>155</v>
      </c>
      <c r="D156" s="3">
        <f>IFERROR(__xludf.DUMMYFUNCTION("SPLIT(A156, ""|"")"),43247.0)</f>
        <v>43247</v>
      </c>
      <c r="E156" s="2">
        <f>IFERROR(__xludf.DUMMYFUNCTION("""COMPUTED_VALUE"""),1575603.0)</f>
        <v>1575603</v>
      </c>
      <c r="F156" s="2">
        <f>IFERROR(__xludf.DUMMYFUNCTION("""COMPUTED_VALUE"""),4496598.0)</f>
        <v>4496598</v>
      </c>
      <c r="G156" s="2">
        <f>IFERROR(__xludf.DUMMYFUNCTION("""COMPUTED_VALUE"""),197.7408)</f>
        <v>197.7408</v>
      </c>
    </row>
    <row r="157">
      <c r="A157" s="1" t="s">
        <v>156</v>
      </c>
      <c r="D157" s="3">
        <f>IFERROR(__xludf.DUMMYFUNCTION("SPLIT(A157, ""|"")"),43247.0)</f>
        <v>43247</v>
      </c>
      <c r="E157" s="2">
        <f>IFERROR(__xludf.DUMMYFUNCTION("""COMPUTED_VALUE"""),1339083.0)</f>
        <v>1339083</v>
      </c>
      <c r="F157" s="2">
        <f>IFERROR(__xludf.DUMMYFUNCTION("""COMPUTED_VALUE"""),4496972.0)</f>
        <v>4496972</v>
      </c>
      <c r="G157" s="2">
        <f>IFERROR(__xludf.DUMMYFUNCTION("""COMPUTED_VALUE"""),72.1374)</f>
        <v>72.1374</v>
      </c>
    </row>
    <row r="158">
      <c r="A158" s="1" t="s">
        <v>157</v>
      </c>
      <c r="D158" s="3">
        <f>IFERROR(__xludf.DUMMYFUNCTION("SPLIT(A158, ""|"")"),43247.0)</f>
        <v>43247</v>
      </c>
      <c r="E158" s="2">
        <f>IFERROR(__xludf.DUMMYFUNCTION("""COMPUTED_VALUE"""),1299153.0)</f>
        <v>1299153</v>
      </c>
      <c r="F158" s="2">
        <f>IFERROR(__xludf.DUMMYFUNCTION("""COMPUTED_VALUE"""),4498191.0)</f>
        <v>4498191</v>
      </c>
      <c r="G158" s="2">
        <f>IFERROR(__xludf.DUMMYFUNCTION("""COMPUTED_VALUE"""),76.4982)</f>
        <v>76.4982</v>
      </c>
    </row>
    <row r="159">
      <c r="A159" s="1" t="s">
        <v>158</v>
      </c>
      <c r="D159" s="3">
        <f>IFERROR(__xludf.DUMMYFUNCTION("SPLIT(A159, ""|"")"),43247.0)</f>
        <v>43247</v>
      </c>
      <c r="E159" s="2">
        <f>IFERROR(__xludf.DUMMYFUNCTION("""COMPUTED_VALUE"""),1601013.0)</f>
        <v>1601013</v>
      </c>
      <c r="F159" s="2">
        <f>IFERROR(__xludf.DUMMYFUNCTION("""COMPUTED_VALUE"""),4496766.0)</f>
        <v>4496766</v>
      </c>
      <c r="G159" s="2">
        <f>IFERROR(__xludf.DUMMYFUNCTION("""COMPUTED_VALUE"""),14.7456)</f>
        <v>14.7456</v>
      </c>
    </row>
    <row r="160">
      <c r="A160" s="1" t="s">
        <v>159</v>
      </c>
      <c r="D160" s="3">
        <f>IFERROR(__xludf.DUMMYFUNCTION("SPLIT(A160, ""|"")"),43247.0)</f>
        <v>43247</v>
      </c>
      <c r="E160" s="2">
        <f>IFERROR(__xludf.DUMMYFUNCTION("""COMPUTED_VALUE"""),358443.0)</f>
        <v>358443</v>
      </c>
      <c r="F160" s="2">
        <f>IFERROR(__xludf.DUMMYFUNCTION("""COMPUTED_VALUE"""),4498323.0)</f>
        <v>4498323</v>
      </c>
      <c r="G160" s="2">
        <f>IFERROR(__xludf.DUMMYFUNCTION("""COMPUTED_VALUE"""),120.5839)</f>
        <v>120.5839</v>
      </c>
    </row>
    <row r="161">
      <c r="A161" s="1" t="s">
        <v>160</v>
      </c>
      <c r="D161" s="3">
        <f>IFERROR(__xludf.DUMMYFUNCTION("SPLIT(A161, ""|"")"),43247.0)</f>
        <v>43247</v>
      </c>
      <c r="E161" s="2">
        <f>IFERROR(__xludf.DUMMYFUNCTION("""COMPUTED_VALUE"""),1457223.0)</f>
        <v>1457223</v>
      </c>
      <c r="F161" s="2">
        <f>IFERROR(__xludf.DUMMYFUNCTION("""COMPUTED_VALUE"""),4496275.0)</f>
        <v>4496275</v>
      </c>
      <c r="G161" s="2">
        <f>IFERROR(__xludf.DUMMYFUNCTION("""COMPUTED_VALUE"""),74.1946)</f>
        <v>74.1946</v>
      </c>
    </row>
    <row r="162">
      <c r="A162" s="1" t="s">
        <v>161</v>
      </c>
      <c r="D162" s="3">
        <f>IFERROR(__xludf.DUMMYFUNCTION("SPLIT(A162, ""|"")"),43247.0)</f>
        <v>43247</v>
      </c>
      <c r="E162" s="2">
        <f>IFERROR(__xludf.DUMMYFUNCTION("""COMPUTED_VALUE"""),1014183.0)</f>
        <v>1014183</v>
      </c>
      <c r="F162" s="2">
        <f>IFERROR(__xludf.DUMMYFUNCTION("""COMPUTED_VALUE"""),4496845.0)</f>
        <v>4496845</v>
      </c>
      <c r="G162" s="2">
        <f>IFERROR(__xludf.DUMMYFUNCTION("""COMPUTED_VALUE"""),64.432)</f>
        <v>64.432</v>
      </c>
    </row>
    <row r="163">
      <c r="A163" s="1" t="s">
        <v>162</v>
      </c>
      <c r="D163" s="3">
        <f>IFERROR(__xludf.DUMMYFUNCTION("SPLIT(A163, ""|"")"),42992.0)</f>
        <v>42992</v>
      </c>
      <c r="E163" s="2">
        <f>IFERROR(__xludf.DUMMYFUNCTION("""COMPUTED_VALUE"""),1413543.0)</f>
        <v>1413543</v>
      </c>
      <c r="F163" s="2">
        <f>IFERROR(__xludf.DUMMYFUNCTION("""COMPUTED_VALUE"""),3792956.0)</f>
        <v>3792956</v>
      </c>
      <c r="G163" s="2">
        <f>IFERROR(__xludf.DUMMYFUNCTION("""COMPUTED_VALUE"""),77.539)</f>
        <v>77.539</v>
      </c>
    </row>
    <row r="164">
      <c r="A164" s="1" t="s">
        <v>163</v>
      </c>
      <c r="D164" s="3">
        <f>IFERROR(__xludf.DUMMYFUNCTION("SPLIT(A164, ""|"")"),42992.0)</f>
        <v>42992</v>
      </c>
      <c r="E164" s="2">
        <f>IFERROR(__xludf.DUMMYFUNCTION("""COMPUTED_VALUE"""),1089273.0)</f>
        <v>1089273</v>
      </c>
      <c r="F164" s="2">
        <f>IFERROR(__xludf.DUMMYFUNCTION("""COMPUTED_VALUE"""),3792815.0)</f>
        <v>3792815</v>
      </c>
      <c r="G164" s="2">
        <f>IFERROR(__xludf.DUMMYFUNCTION("""COMPUTED_VALUE"""),69.6)</f>
        <v>69.6</v>
      </c>
    </row>
    <row r="165">
      <c r="A165" s="1" t="s">
        <v>164</v>
      </c>
      <c r="D165" s="3">
        <f>IFERROR(__xludf.DUMMYFUNCTION("SPLIT(A165, ""|"")"),42992.0)</f>
        <v>42992</v>
      </c>
      <c r="E165" s="2">
        <f>IFERROR(__xludf.DUMMYFUNCTION("""COMPUTED_VALUE"""),1397703.0)</f>
        <v>1397703</v>
      </c>
      <c r="F165" s="2">
        <f>IFERROR(__xludf.DUMMYFUNCTION("""COMPUTED_VALUE"""),3791624.0)</f>
        <v>3791624</v>
      </c>
      <c r="G165" s="2">
        <f>IFERROR(__xludf.DUMMYFUNCTION("""COMPUTED_VALUE"""),49.4394)</f>
        <v>49.4394</v>
      </c>
    </row>
    <row r="166">
      <c r="A166" s="1" t="s">
        <v>165</v>
      </c>
      <c r="D166" s="3">
        <f>IFERROR(__xludf.DUMMYFUNCTION("SPLIT(A166, ""|"")"),42992.0)</f>
        <v>42992</v>
      </c>
      <c r="E166" s="2">
        <f>IFERROR(__xludf.DUMMYFUNCTION("""COMPUTED_VALUE"""),1413663.0)</f>
        <v>1413663</v>
      </c>
      <c r="F166" s="2">
        <f>IFERROR(__xludf.DUMMYFUNCTION("""COMPUTED_VALUE"""),3793370.0)</f>
        <v>3793370</v>
      </c>
      <c r="G166" s="2">
        <f>IFERROR(__xludf.DUMMYFUNCTION("""COMPUTED_VALUE"""),68.8895)</f>
        <v>68.8895</v>
      </c>
    </row>
    <row r="167">
      <c r="A167" s="1" t="s">
        <v>166</v>
      </c>
      <c r="D167" s="3">
        <f>IFERROR(__xludf.DUMMYFUNCTION("SPLIT(A167, ""|"")"),43248.0)</f>
        <v>43248</v>
      </c>
      <c r="E167" s="2">
        <f>IFERROR(__xludf.DUMMYFUNCTION("""COMPUTED_VALUE"""),1099653.0)</f>
        <v>1099653</v>
      </c>
      <c r="F167" s="2">
        <f>IFERROR(__xludf.DUMMYFUNCTION("""COMPUTED_VALUE"""),4502104.0)</f>
        <v>4502104</v>
      </c>
      <c r="G167" s="2">
        <f>IFERROR(__xludf.DUMMYFUNCTION("""COMPUTED_VALUE"""),51.668)</f>
        <v>51.668</v>
      </c>
    </row>
    <row r="168">
      <c r="A168" s="1" t="s">
        <v>167</v>
      </c>
      <c r="D168" s="3">
        <f>IFERROR(__xludf.DUMMYFUNCTION("SPLIT(A168, ""|"")"),43248.0)</f>
        <v>43248</v>
      </c>
      <c r="E168" s="2">
        <f>IFERROR(__xludf.DUMMYFUNCTION("""COMPUTED_VALUE"""),1237893.0)</f>
        <v>1237893</v>
      </c>
      <c r="F168" s="2">
        <f>IFERROR(__xludf.DUMMYFUNCTION("""COMPUTED_VALUE"""),4500952.0)</f>
        <v>4500952</v>
      </c>
      <c r="G168" s="2">
        <f>IFERROR(__xludf.DUMMYFUNCTION("""COMPUTED_VALUE"""),77.4349)</f>
        <v>77.4349</v>
      </c>
    </row>
    <row r="169">
      <c r="A169" s="1" t="s">
        <v>168</v>
      </c>
      <c r="D169" s="3">
        <f>IFERROR(__xludf.DUMMYFUNCTION("SPLIT(A169, ""|"")"),43248.0)</f>
        <v>43248</v>
      </c>
      <c r="E169" s="2">
        <f>IFERROR(__xludf.DUMMYFUNCTION("""COMPUTED_VALUE"""),1601883.0)</f>
        <v>1601883</v>
      </c>
      <c r="F169" s="2">
        <f>IFERROR(__xludf.DUMMYFUNCTION("""COMPUTED_VALUE"""),4500960.0)</f>
        <v>4500960</v>
      </c>
      <c r="G169" s="2">
        <f>IFERROR(__xludf.DUMMYFUNCTION("""COMPUTED_VALUE"""),62.1795)</f>
        <v>62.1795</v>
      </c>
    </row>
    <row r="170">
      <c r="A170" s="1" t="s">
        <v>169</v>
      </c>
      <c r="D170" s="3">
        <f>IFERROR(__xludf.DUMMYFUNCTION("SPLIT(A170, ""|"")"),43248.0)</f>
        <v>43248</v>
      </c>
      <c r="E170" s="2">
        <f>IFERROR(__xludf.DUMMYFUNCTION("""COMPUTED_VALUE"""),1351803.0)</f>
        <v>1351803</v>
      </c>
      <c r="F170" s="2">
        <f>IFERROR(__xludf.DUMMYFUNCTION("""COMPUTED_VALUE"""),4500460.0)</f>
        <v>4500460</v>
      </c>
      <c r="G170" s="2">
        <f>IFERROR(__xludf.DUMMYFUNCTION("""COMPUTED_VALUE"""),66.3338)</f>
        <v>66.3338</v>
      </c>
    </row>
    <row r="171">
      <c r="A171" s="1" t="s">
        <v>170</v>
      </c>
      <c r="D171" s="3">
        <f>IFERROR(__xludf.DUMMYFUNCTION("SPLIT(A171, ""|"")"),43248.0)</f>
        <v>43248</v>
      </c>
      <c r="E171" s="2">
        <f>IFERROR(__xludf.DUMMYFUNCTION("""COMPUTED_VALUE"""),465123.0)</f>
        <v>465123</v>
      </c>
      <c r="F171" s="2">
        <f>IFERROR(__xludf.DUMMYFUNCTION("""COMPUTED_VALUE"""),4499782.0)</f>
        <v>4499782</v>
      </c>
      <c r="G171" s="2">
        <f>IFERROR(__xludf.DUMMYFUNCTION("""COMPUTED_VALUE"""),69.1844)</f>
        <v>69.1844</v>
      </c>
    </row>
    <row r="172">
      <c r="A172" s="1" t="s">
        <v>171</v>
      </c>
      <c r="D172" s="3">
        <f>IFERROR(__xludf.DUMMYFUNCTION("SPLIT(A172, ""|"")"),43248.0)</f>
        <v>43248</v>
      </c>
      <c r="E172" s="2">
        <f>IFERROR(__xludf.DUMMYFUNCTION("""COMPUTED_VALUE"""),1203693.0)</f>
        <v>1203693</v>
      </c>
      <c r="F172" s="2">
        <f>IFERROR(__xludf.DUMMYFUNCTION("""COMPUTED_VALUE"""),4501084.0)</f>
        <v>4501084</v>
      </c>
      <c r="G172" s="2">
        <f>IFERROR(__xludf.DUMMYFUNCTION("""COMPUTED_VALUE"""),55.0083)</f>
        <v>55.0083</v>
      </c>
    </row>
    <row r="173">
      <c r="A173" s="1" t="s">
        <v>172</v>
      </c>
      <c r="D173" s="3">
        <f>IFERROR(__xludf.DUMMYFUNCTION("SPLIT(A173, ""|"")"),43248.0)</f>
        <v>43248</v>
      </c>
      <c r="E173" s="2">
        <f>IFERROR(__xludf.DUMMYFUNCTION("""COMPUTED_VALUE"""),1190553.0)</f>
        <v>1190553</v>
      </c>
      <c r="F173" s="2">
        <f>IFERROR(__xludf.DUMMYFUNCTION("""COMPUTED_VALUE"""),4499872.0)</f>
        <v>4499872</v>
      </c>
      <c r="G173" s="2">
        <f>IFERROR(__xludf.DUMMYFUNCTION("""COMPUTED_VALUE"""),18.5687)</f>
        <v>18.5687</v>
      </c>
    </row>
    <row r="174">
      <c r="A174" s="1" t="s">
        <v>173</v>
      </c>
      <c r="D174" s="3">
        <f>IFERROR(__xludf.DUMMYFUNCTION("SPLIT(A174, ""|"")"),43248.0)</f>
        <v>43248</v>
      </c>
      <c r="E174" s="2">
        <f>IFERROR(__xludf.DUMMYFUNCTION("""COMPUTED_VALUE"""),1437663.0)</f>
        <v>1437663</v>
      </c>
      <c r="F174" s="2">
        <f>IFERROR(__xludf.DUMMYFUNCTION("""COMPUTED_VALUE"""),4500075.0)</f>
        <v>4500075</v>
      </c>
      <c r="G174" s="2">
        <f>IFERROR(__xludf.DUMMYFUNCTION("""COMPUTED_VALUE"""),139.8779)</f>
        <v>139.8779</v>
      </c>
    </row>
    <row r="175">
      <c r="A175" s="1" t="s">
        <v>174</v>
      </c>
      <c r="D175" s="3">
        <f>IFERROR(__xludf.DUMMYFUNCTION("SPLIT(A175, ""|"")"),43248.0)</f>
        <v>43248</v>
      </c>
      <c r="E175" s="2">
        <f>IFERROR(__xludf.DUMMYFUNCTION("""COMPUTED_VALUE"""),1069473.0)</f>
        <v>1069473</v>
      </c>
      <c r="F175" s="2">
        <f>IFERROR(__xludf.DUMMYFUNCTION("""COMPUTED_VALUE"""),4502002.0)</f>
        <v>4502002</v>
      </c>
      <c r="G175" s="2">
        <f>IFERROR(__xludf.DUMMYFUNCTION("""COMPUTED_VALUE"""),30.9187)</f>
        <v>30.9187</v>
      </c>
    </row>
    <row r="176">
      <c r="A176" s="1" t="s">
        <v>175</v>
      </c>
      <c r="D176" s="3">
        <f>IFERROR(__xludf.DUMMYFUNCTION("SPLIT(A176, ""|"")"),42993.0)</f>
        <v>42993</v>
      </c>
      <c r="E176" s="2">
        <f>IFERROR(__xludf.DUMMYFUNCTION("""COMPUTED_VALUE"""),1414173.0)</f>
        <v>1414173</v>
      </c>
      <c r="F176" s="2">
        <f>IFERROR(__xludf.DUMMYFUNCTION("""COMPUTED_VALUE"""),3795538.0)</f>
        <v>3795538</v>
      </c>
      <c r="G176" s="2">
        <f>IFERROR(__xludf.DUMMYFUNCTION("""COMPUTED_VALUE"""),36.0657)</f>
        <v>36.0657</v>
      </c>
    </row>
    <row r="177">
      <c r="A177" s="1" t="s">
        <v>176</v>
      </c>
      <c r="D177" s="3">
        <f>IFERROR(__xludf.DUMMYFUNCTION("SPLIT(A177, ""|"")"),42993.0)</f>
        <v>42993</v>
      </c>
      <c r="E177" s="2">
        <f>IFERROR(__xludf.DUMMYFUNCTION("""COMPUTED_VALUE"""),234783.0)</f>
        <v>234783</v>
      </c>
      <c r="F177" s="2">
        <f>IFERROR(__xludf.DUMMYFUNCTION("""COMPUTED_VALUE"""),3795539.0)</f>
        <v>3795539</v>
      </c>
      <c r="G177" s="2">
        <f>IFERROR(__xludf.DUMMYFUNCTION("""COMPUTED_VALUE"""),68.5592)</f>
        <v>68.5592</v>
      </c>
    </row>
    <row r="178">
      <c r="A178" s="1" t="s">
        <v>177</v>
      </c>
      <c r="D178" s="3">
        <f>IFERROR(__xludf.DUMMYFUNCTION("SPLIT(A178, ""|"")"),43249.0)</f>
        <v>43249</v>
      </c>
      <c r="E178" s="2">
        <f>IFERROR(__xludf.DUMMYFUNCTION("""COMPUTED_VALUE"""),1344573.0)</f>
        <v>1344573</v>
      </c>
      <c r="F178" s="2">
        <f>IFERROR(__xludf.DUMMYFUNCTION("""COMPUTED_VALUE"""),4504337.0)</f>
        <v>4504337</v>
      </c>
      <c r="G178" s="2">
        <f>IFERROR(__xludf.DUMMYFUNCTION("""COMPUTED_VALUE"""),90.5514999999999)</f>
        <v>90.5515</v>
      </c>
    </row>
    <row r="179">
      <c r="A179" s="1" t="s">
        <v>178</v>
      </c>
      <c r="D179" s="3">
        <f>IFERROR(__xludf.DUMMYFUNCTION("SPLIT(A179, ""|"")"),43249.0)</f>
        <v>43249</v>
      </c>
      <c r="E179" s="2">
        <f>IFERROR(__xludf.DUMMYFUNCTION("""COMPUTED_VALUE"""),1441233.0)</f>
        <v>1441233</v>
      </c>
      <c r="F179" s="2">
        <f>IFERROR(__xludf.DUMMYFUNCTION("""COMPUTED_VALUE"""),4502638.0)</f>
        <v>4502638</v>
      </c>
      <c r="G179" s="2">
        <f>IFERROR(__xludf.DUMMYFUNCTION("""COMPUTED_VALUE"""),66.2917)</f>
        <v>66.2917</v>
      </c>
    </row>
    <row r="180">
      <c r="A180" s="1" t="s">
        <v>179</v>
      </c>
      <c r="D180" s="3">
        <f>IFERROR(__xludf.DUMMYFUNCTION("SPLIT(A180, ""|"")"),43249.0)</f>
        <v>43249</v>
      </c>
      <c r="E180" s="2">
        <f>IFERROR(__xludf.DUMMYFUNCTION("""COMPUTED_VALUE"""),1602633.0)</f>
        <v>1602633</v>
      </c>
      <c r="F180" s="2">
        <f>IFERROR(__xludf.DUMMYFUNCTION("""COMPUTED_VALUE"""),4504249.0)</f>
        <v>4504249</v>
      </c>
      <c r="G180" s="2">
        <f>IFERROR(__xludf.DUMMYFUNCTION("""COMPUTED_VALUE"""),35.6633999999999)</f>
        <v>35.6634</v>
      </c>
    </row>
    <row r="181">
      <c r="A181" s="1" t="s">
        <v>180</v>
      </c>
      <c r="D181" s="3">
        <f>IFERROR(__xludf.DUMMYFUNCTION("SPLIT(A181, ""|"")"),43249.0)</f>
        <v>43249</v>
      </c>
      <c r="E181" s="2">
        <f>IFERROR(__xludf.DUMMYFUNCTION("""COMPUTED_VALUE"""),1345623.0)</f>
        <v>1345623</v>
      </c>
      <c r="F181" s="2">
        <f>IFERROR(__xludf.DUMMYFUNCTION("""COMPUTED_VALUE"""),4504825.0)</f>
        <v>4504825</v>
      </c>
      <c r="G181" s="2">
        <f>IFERROR(__xludf.DUMMYFUNCTION("""COMPUTED_VALUE"""),71.126)</f>
        <v>71.126</v>
      </c>
    </row>
    <row r="182">
      <c r="A182" s="1" t="s">
        <v>181</v>
      </c>
      <c r="D182" s="3">
        <f>IFERROR(__xludf.DUMMYFUNCTION("SPLIT(A182, ""|"")"),43249.0)</f>
        <v>43249</v>
      </c>
      <c r="E182" s="2">
        <f>IFERROR(__xludf.DUMMYFUNCTION("""COMPUTED_VALUE"""),1404093.0)</f>
        <v>1404093</v>
      </c>
      <c r="F182" s="2">
        <f>IFERROR(__xludf.DUMMYFUNCTION("""COMPUTED_VALUE"""),4504809.0)</f>
        <v>4504809</v>
      </c>
      <c r="G182" s="2">
        <f>IFERROR(__xludf.DUMMYFUNCTION("""COMPUTED_VALUE"""),68.5248)</f>
        <v>68.5248</v>
      </c>
    </row>
    <row r="183">
      <c r="A183" s="1" t="s">
        <v>182</v>
      </c>
      <c r="D183" s="3">
        <f>IFERROR(__xludf.DUMMYFUNCTION("SPLIT(A183, ""|"")"),43250.0)</f>
        <v>43250</v>
      </c>
      <c r="E183" s="2">
        <f>IFERROR(__xludf.DUMMYFUNCTION("""COMPUTED_VALUE"""),1603233.0)</f>
        <v>1603233</v>
      </c>
      <c r="F183" s="2">
        <f>IFERROR(__xludf.DUMMYFUNCTION("""COMPUTED_VALUE"""),4506809.0)</f>
        <v>4506809</v>
      </c>
      <c r="G183" s="2">
        <f>IFERROR(__xludf.DUMMYFUNCTION("""COMPUTED_VALUE"""),44.4098)</f>
        <v>44.4098</v>
      </c>
    </row>
    <row r="184">
      <c r="A184" s="1" t="s">
        <v>183</v>
      </c>
      <c r="D184" s="3">
        <f>IFERROR(__xludf.DUMMYFUNCTION("SPLIT(A184, ""|"")"),43250.0)</f>
        <v>43250</v>
      </c>
      <c r="E184" s="2">
        <f>IFERROR(__xludf.DUMMYFUNCTION("""COMPUTED_VALUE"""),318843.0)</f>
        <v>318843</v>
      </c>
      <c r="F184" s="2">
        <f>IFERROR(__xludf.DUMMYFUNCTION("""COMPUTED_VALUE"""),4505837.0)</f>
        <v>4505837</v>
      </c>
      <c r="G184" s="2">
        <f>IFERROR(__xludf.DUMMYFUNCTION("""COMPUTED_VALUE"""),67.4523)</f>
        <v>67.4523</v>
      </c>
    </row>
    <row r="185">
      <c r="A185" s="1" t="s">
        <v>184</v>
      </c>
      <c r="D185" s="3">
        <f>IFERROR(__xludf.DUMMYFUNCTION("SPLIT(A185, ""|"")"),43250.0)</f>
        <v>43250</v>
      </c>
      <c r="E185" s="2">
        <f>IFERROR(__xludf.DUMMYFUNCTION("""COMPUTED_VALUE"""),1452153.0)</f>
        <v>1452153</v>
      </c>
      <c r="F185" s="2">
        <f>IFERROR(__xludf.DUMMYFUNCTION("""COMPUTED_VALUE"""),4506806.0)</f>
        <v>4506806</v>
      </c>
      <c r="G185" s="2">
        <f>IFERROR(__xludf.DUMMYFUNCTION("""COMPUTED_VALUE"""),63.9906)</f>
        <v>63.9906</v>
      </c>
    </row>
    <row r="186">
      <c r="A186" s="1" t="s">
        <v>185</v>
      </c>
      <c r="D186" s="3">
        <f>IFERROR(__xludf.DUMMYFUNCTION("SPLIT(A186, ""|"")"),43250.0)</f>
        <v>43250</v>
      </c>
      <c r="E186" s="2">
        <f>IFERROR(__xludf.DUMMYFUNCTION("""COMPUTED_VALUE"""),1571643.0)</f>
        <v>1571643</v>
      </c>
      <c r="F186" s="2">
        <f>IFERROR(__xludf.DUMMYFUNCTION("""COMPUTED_VALUE"""),4507121.0)</f>
        <v>4507121</v>
      </c>
      <c r="G186" s="2">
        <f>IFERROR(__xludf.DUMMYFUNCTION("""COMPUTED_VALUE"""),65.2672)</f>
        <v>65.2672</v>
      </c>
    </row>
    <row r="187">
      <c r="A187" s="1" t="s">
        <v>186</v>
      </c>
      <c r="D187" s="3">
        <f>IFERROR(__xludf.DUMMYFUNCTION("SPLIT(A187, ""|"")"),43250.0)</f>
        <v>43250</v>
      </c>
      <c r="E187" s="2">
        <f>IFERROR(__xludf.DUMMYFUNCTION("""COMPUTED_VALUE"""),1492563.0)</f>
        <v>1492563</v>
      </c>
      <c r="F187" s="2">
        <f>IFERROR(__xludf.DUMMYFUNCTION("""COMPUTED_VALUE"""),4507468.0)</f>
        <v>4507468</v>
      </c>
      <c r="G187" s="2">
        <f>IFERROR(__xludf.DUMMYFUNCTION("""COMPUTED_VALUE"""),76.1245)</f>
        <v>76.1245</v>
      </c>
    </row>
    <row r="188">
      <c r="A188" s="1" t="s">
        <v>187</v>
      </c>
      <c r="D188" s="3">
        <f>IFERROR(__xludf.DUMMYFUNCTION("SPLIT(A188, ""|"")"),43250.0)</f>
        <v>43250</v>
      </c>
      <c r="E188" s="2">
        <f>IFERROR(__xludf.DUMMYFUNCTION("""COMPUTED_VALUE"""),240393.0)</f>
        <v>240393</v>
      </c>
      <c r="F188" s="2">
        <f>IFERROR(__xludf.DUMMYFUNCTION("""COMPUTED_VALUE"""),4505464.0)</f>
        <v>4505464</v>
      </c>
      <c r="G188" s="2">
        <f>IFERROR(__xludf.DUMMYFUNCTION("""COMPUTED_VALUE"""),86.4402)</f>
        <v>86.4402</v>
      </c>
    </row>
    <row r="189">
      <c r="A189" s="1" t="s">
        <v>188</v>
      </c>
      <c r="D189" s="3">
        <f>IFERROR(__xludf.DUMMYFUNCTION("SPLIT(A189, ""|"")"),43250.0)</f>
        <v>43250</v>
      </c>
      <c r="E189" s="2">
        <f>IFERROR(__xludf.DUMMYFUNCTION("""COMPUTED_VALUE"""),1561593.0)</f>
        <v>1561593</v>
      </c>
      <c r="F189" s="2">
        <f>IFERROR(__xludf.DUMMYFUNCTION("""COMPUTED_VALUE"""),4506597.0)</f>
        <v>4506597</v>
      </c>
      <c r="G189" s="2">
        <f>IFERROR(__xludf.DUMMYFUNCTION("""COMPUTED_VALUE"""),81.1399)</f>
        <v>81.1399</v>
      </c>
    </row>
    <row r="190">
      <c r="A190" s="1" t="s">
        <v>189</v>
      </c>
      <c r="D190" s="3">
        <f>IFERROR(__xludf.DUMMYFUNCTION("SPLIT(A190, ""|"")"),43250.0)</f>
        <v>43250</v>
      </c>
      <c r="E190" s="2">
        <f>IFERROR(__xludf.DUMMYFUNCTION("""COMPUTED_VALUE"""),1369353.0)</f>
        <v>1369353</v>
      </c>
      <c r="F190" s="2">
        <f>IFERROR(__xludf.DUMMYFUNCTION("""COMPUTED_VALUE"""),4507418.0)</f>
        <v>4507418</v>
      </c>
      <c r="G190" s="2">
        <f>IFERROR(__xludf.DUMMYFUNCTION("""COMPUTED_VALUE"""),10.6118)</f>
        <v>10.6118</v>
      </c>
    </row>
    <row r="191">
      <c r="A191" s="1" t="s">
        <v>190</v>
      </c>
      <c r="D191" s="3">
        <f>IFERROR(__xludf.DUMMYFUNCTION("SPLIT(A191, ""|"")"),43250.0)</f>
        <v>43250</v>
      </c>
      <c r="E191" s="2">
        <f>IFERROR(__xludf.DUMMYFUNCTION("""COMPUTED_VALUE"""),1364553.0)</f>
        <v>1364553</v>
      </c>
      <c r="F191" s="2">
        <f>IFERROR(__xludf.DUMMYFUNCTION("""COMPUTED_VALUE"""),4506604.0)</f>
        <v>4506604</v>
      </c>
      <c r="G191" s="2">
        <f>IFERROR(__xludf.DUMMYFUNCTION("""COMPUTED_VALUE"""),38.7347)</f>
        <v>38.7347</v>
      </c>
    </row>
    <row r="192">
      <c r="A192" s="1" t="s">
        <v>191</v>
      </c>
      <c r="D192" s="3">
        <f>IFERROR(__xludf.DUMMYFUNCTION("SPLIT(A192, ""|"")"),42995.0)</f>
        <v>42995</v>
      </c>
      <c r="E192" s="2">
        <f>IFERROR(__xludf.DUMMYFUNCTION("""COMPUTED_VALUE"""),1415223.0)</f>
        <v>1415223</v>
      </c>
      <c r="F192" s="2">
        <f>IFERROR(__xludf.DUMMYFUNCTION("""COMPUTED_VALUE"""),3799421.0)</f>
        <v>3799421</v>
      </c>
      <c r="G192" s="2">
        <f>IFERROR(__xludf.DUMMYFUNCTION("""COMPUTED_VALUE"""),16.1667)</f>
        <v>16.1667</v>
      </c>
    </row>
    <row r="193">
      <c r="A193" s="1" t="s">
        <v>192</v>
      </c>
      <c r="D193" s="3">
        <f>IFERROR(__xludf.DUMMYFUNCTION("SPLIT(A193, ""|"")"),42995.0)</f>
        <v>42995</v>
      </c>
      <c r="E193" s="2">
        <f>IFERROR(__xludf.DUMMYFUNCTION("""COMPUTED_VALUE"""),1195233.0)</f>
        <v>1195233</v>
      </c>
      <c r="F193" s="2">
        <f>IFERROR(__xludf.DUMMYFUNCTION("""COMPUTED_VALUE"""),3799188.0)</f>
        <v>3799188</v>
      </c>
      <c r="G193" s="2">
        <f>IFERROR(__xludf.DUMMYFUNCTION("""COMPUTED_VALUE"""),49.6868999999999)</f>
        <v>49.6869</v>
      </c>
    </row>
    <row r="194">
      <c r="A194" s="1" t="s">
        <v>193</v>
      </c>
      <c r="D194" s="3">
        <f>IFERROR(__xludf.DUMMYFUNCTION("SPLIT(A194, ""|"")"),42995.0)</f>
        <v>42995</v>
      </c>
      <c r="E194" s="2">
        <f>IFERROR(__xludf.DUMMYFUNCTION("""COMPUTED_VALUE"""),1230573.0)</f>
        <v>1230573</v>
      </c>
      <c r="F194" s="2">
        <f>IFERROR(__xludf.DUMMYFUNCTION("""COMPUTED_VALUE"""),3799025.0)</f>
        <v>3799025</v>
      </c>
      <c r="G194" s="2">
        <f>IFERROR(__xludf.DUMMYFUNCTION("""COMPUTED_VALUE"""),75.723)</f>
        <v>75.723</v>
      </c>
    </row>
    <row r="195">
      <c r="A195" s="1" t="s">
        <v>194</v>
      </c>
      <c r="D195" s="3">
        <f>IFERROR(__xludf.DUMMYFUNCTION("SPLIT(A195, ""|"")"),42995.0)</f>
        <v>42995</v>
      </c>
      <c r="E195" s="2">
        <f>IFERROR(__xludf.DUMMYFUNCTION("""COMPUTED_VALUE"""),1387113.0)</f>
        <v>1387113</v>
      </c>
      <c r="F195" s="2">
        <f>IFERROR(__xludf.DUMMYFUNCTION("""COMPUTED_VALUE"""),3797458.0)</f>
        <v>3797458</v>
      </c>
      <c r="G195" s="2">
        <f>IFERROR(__xludf.DUMMYFUNCTION("""COMPUTED_VALUE"""),319.3305)</f>
        <v>319.3305</v>
      </c>
    </row>
    <row r="196">
      <c r="A196" s="1" t="s">
        <v>195</v>
      </c>
      <c r="D196" s="3">
        <f>IFERROR(__xludf.DUMMYFUNCTION("SPLIT(A196, ""|"")"),43251.0)</f>
        <v>43251</v>
      </c>
      <c r="E196" s="2">
        <f>IFERROR(__xludf.DUMMYFUNCTION("""COMPUTED_VALUE"""),1149063.0)</f>
        <v>1149063</v>
      </c>
      <c r="F196" s="2">
        <f>IFERROR(__xludf.DUMMYFUNCTION("""COMPUTED_VALUE"""),4508645.0)</f>
        <v>4508645</v>
      </c>
      <c r="G196" s="2">
        <f>IFERROR(__xludf.DUMMYFUNCTION("""COMPUTED_VALUE"""),79.1001)</f>
        <v>79.1001</v>
      </c>
    </row>
    <row r="197">
      <c r="A197" s="1" t="s">
        <v>196</v>
      </c>
      <c r="D197" s="3">
        <f>IFERROR(__xludf.DUMMYFUNCTION("SPLIT(A197, ""|"")"),43251.0)</f>
        <v>43251</v>
      </c>
      <c r="E197" s="2">
        <f>IFERROR(__xludf.DUMMYFUNCTION("""COMPUTED_VALUE"""),1578423.0)</f>
        <v>1578423</v>
      </c>
      <c r="F197" s="2">
        <f>IFERROR(__xludf.DUMMYFUNCTION("""COMPUTED_VALUE"""),4509482.0)</f>
        <v>4509482</v>
      </c>
      <c r="G197" s="2">
        <f>IFERROR(__xludf.DUMMYFUNCTION("""COMPUTED_VALUE"""),38.1222)</f>
        <v>38.1222</v>
      </c>
    </row>
    <row r="198">
      <c r="A198" s="1" t="s">
        <v>197</v>
      </c>
      <c r="D198" s="3">
        <f>IFERROR(__xludf.DUMMYFUNCTION("SPLIT(A198, ""|"")"),43251.0)</f>
        <v>43251</v>
      </c>
      <c r="E198" s="2">
        <f>IFERROR(__xludf.DUMMYFUNCTION("""COMPUTED_VALUE"""),1416303.0)</f>
        <v>1416303</v>
      </c>
      <c r="F198" s="2">
        <f>IFERROR(__xludf.DUMMYFUNCTION("""COMPUTED_VALUE"""),4510290.0)</f>
        <v>4510290</v>
      </c>
      <c r="G198" s="2">
        <f>IFERROR(__xludf.DUMMYFUNCTION("""COMPUTED_VALUE"""),66.1717)</f>
        <v>66.1717</v>
      </c>
    </row>
    <row r="199">
      <c r="A199" s="1" t="s">
        <v>198</v>
      </c>
      <c r="D199" s="3">
        <f>IFERROR(__xludf.DUMMYFUNCTION("SPLIT(A199, ""|"")"),43251.0)</f>
        <v>43251</v>
      </c>
      <c r="E199" s="2">
        <f>IFERROR(__xludf.DUMMYFUNCTION("""COMPUTED_VALUE"""),1187913.0)</f>
        <v>1187913</v>
      </c>
      <c r="F199" s="2">
        <f>IFERROR(__xludf.DUMMYFUNCTION("""COMPUTED_VALUE"""),4508599.0)</f>
        <v>4508599</v>
      </c>
      <c r="G199" s="2">
        <f>IFERROR(__xludf.DUMMYFUNCTION("""COMPUTED_VALUE"""),33.7368)</f>
        <v>33.7368</v>
      </c>
    </row>
    <row r="200">
      <c r="A200" s="1" t="s">
        <v>199</v>
      </c>
      <c r="D200" s="3">
        <f>IFERROR(__xludf.DUMMYFUNCTION("SPLIT(A200, ""|"")"),43251.0)</f>
        <v>43251</v>
      </c>
      <c r="E200" s="2">
        <f>IFERROR(__xludf.DUMMYFUNCTION("""COMPUTED_VALUE"""),1113423.0)</f>
        <v>1113423</v>
      </c>
      <c r="F200" s="2">
        <f>IFERROR(__xludf.DUMMYFUNCTION("""COMPUTED_VALUE"""),4509175.0)</f>
        <v>4509175</v>
      </c>
      <c r="G200" s="2">
        <f>IFERROR(__xludf.DUMMYFUNCTION("""COMPUTED_VALUE"""),106.5981)</f>
        <v>106.5981</v>
      </c>
    </row>
    <row r="201">
      <c r="A201" s="1" t="s">
        <v>200</v>
      </c>
      <c r="D201" s="3">
        <f>IFERROR(__xludf.DUMMYFUNCTION("SPLIT(A201, ""|"")"),43251.0)</f>
        <v>43251</v>
      </c>
      <c r="E201" s="2">
        <f>IFERROR(__xludf.DUMMYFUNCTION("""COMPUTED_VALUE"""),1603893.0)</f>
        <v>1603893</v>
      </c>
      <c r="F201" s="2">
        <f>IFERROR(__xludf.DUMMYFUNCTION("""COMPUTED_VALUE"""),4509713.0)</f>
        <v>4509713</v>
      </c>
      <c r="G201" s="2">
        <f>IFERROR(__xludf.DUMMYFUNCTION("""COMPUTED_VALUE"""),70.9194)</f>
        <v>70.9194</v>
      </c>
    </row>
    <row r="202">
      <c r="A202" s="1" t="s">
        <v>201</v>
      </c>
      <c r="D202" s="3">
        <f>IFERROR(__xludf.DUMMYFUNCTION("SPLIT(A202, ""|"")"),42996.0)</f>
        <v>42996</v>
      </c>
      <c r="E202" s="2">
        <f>IFERROR(__xludf.DUMMYFUNCTION("""COMPUTED_VALUE"""),1184643.0)</f>
        <v>1184643</v>
      </c>
      <c r="F202" s="2">
        <f>IFERROR(__xludf.DUMMYFUNCTION("""COMPUTED_VALUE"""),3802444.0)</f>
        <v>3802444</v>
      </c>
      <c r="G202" s="2">
        <f>IFERROR(__xludf.DUMMYFUNCTION("""COMPUTED_VALUE"""),140.9388)</f>
        <v>140.9388</v>
      </c>
    </row>
    <row r="203">
      <c r="A203" s="1" t="s">
        <v>202</v>
      </c>
      <c r="D203" s="3">
        <f>IFERROR(__xludf.DUMMYFUNCTION("SPLIT(A203, ""|"")"),42996.0)</f>
        <v>42996</v>
      </c>
      <c r="E203" s="2">
        <f>IFERROR(__xludf.DUMMYFUNCTION("""COMPUTED_VALUE"""),265773.0)</f>
        <v>265773</v>
      </c>
      <c r="F203" s="2">
        <f>IFERROR(__xludf.DUMMYFUNCTION("""COMPUTED_VALUE"""),3802535.0)</f>
        <v>3802535</v>
      </c>
      <c r="G203" s="2">
        <f>IFERROR(__xludf.DUMMYFUNCTION("""COMPUTED_VALUE"""),83.3165)</f>
        <v>83.3165</v>
      </c>
    </row>
    <row r="204">
      <c r="A204" s="1" t="s">
        <v>203</v>
      </c>
      <c r="D204" s="3">
        <f>IFERROR(__xludf.DUMMYFUNCTION("SPLIT(A204, ""|"")"),42996.0)</f>
        <v>42996</v>
      </c>
      <c r="E204" s="2">
        <f>IFERROR(__xludf.DUMMYFUNCTION("""COMPUTED_VALUE"""),1415343.0)</f>
        <v>1415343</v>
      </c>
      <c r="F204" s="2">
        <f>IFERROR(__xludf.DUMMYFUNCTION("""COMPUTED_VALUE"""),3799967.0)</f>
        <v>3799967</v>
      </c>
      <c r="G204" s="2">
        <f>IFERROR(__xludf.DUMMYFUNCTION("""COMPUTED_VALUE"""),60.2237)</f>
        <v>60.2237</v>
      </c>
    </row>
    <row r="205">
      <c r="A205" s="1" t="s">
        <v>204</v>
      </c>
      <c r="D205" s="3">
        <f>IFERROR(__xludf.DUMMYFUNCTION("SPLIT(A205, ""|"")"),42996.0)</f>
        <v>42996</v>
      </c>
      <c r="E205" s="2">
        <f>IFERROR(__xludf.DUMMYFUNCTION("""COMPUTED_VALUE"""),1183473.0)</f>
        <v>1183473</v>
      </c>
      <c r="F205" s="2">
        <f>IFERROR(__xludf.DUMMYFUNCTION("""COMPUTED_VALUE"""),3800681.0)</f>
        <v>3800681</v>
      </c>
      <c r="G205" s="2">
        <f>IFERROR(__xludf.DUMMYFUNCTION("""COMPUTED_VALUE"""),77.875)</f>
        <v>77.875</v>
      </c>
    </row>
    <row r="206">
      <c r="A206" s="1" t="s">
        <v>205</v>
      </c>
      <c r="D206" s="3">
        <f>IFERROR(__xludf.DUMMYFUNCTION("SPLIT(A206, ""|"")"),42996.0)</f>
        <v>42996</v>
      </c>
      <c r="E206" s="2">
        <f>IFERROR(__xludf.DUMMYFUNCTION("""COMPUTED_VALUE"""),1257633.0)</f>
        <v>1257633</v>
      </c>
      <c r="F206" s="2">
        <f>IFERROR(__xludf.DUMMYFUNCTION("""COMPUTED_VALUE"""),3802173.0)</f>
        <v>3802173</v>
      </c>
      <c r="G206" s="2">
        <f>IFERROR(__xludf.DUMMYFUNCTION("""COMPUTED_VALUE"""),67.8588999999999)</f>
        <v>67.8589</v>
      </c>
    </row>
    <row r="207">
      <c r="A207" s="1" t="s">
        <v>206</v>
      </c>
      <c r="D207" s="3">
        <f>IFERROR(__xludf.DUMMYFUNCTION("SPLIT(A207, ""|"")"),42996.0)</f>
        <v>42996</v>
      </c>
      <c r="E207" s="2">
        <f>IFERROR(__xludf.DUMMYFUNCTION("""COMPUTED_VALUE"""),1237893.0)</f>
        <v>1237893</v>
      </c>
      <c r="F207" s="2">
        <f>IFERROR(__xludf.DUMMYFUNCTION("""COMPUTED_VALUE"""),3802218.0)</f>
        <v>3802218</v>
      </c>
      <c r="G207" s="2">
        <f>IFERROR(__xludf.DUMMYFUNCTION("""COMPUTED_VALUE"""),81.1836999999999)</f>
        <v>81.1837</v>
      </c>
    </row>
    <row r="208">
      <c r="A208" s="1" t="s">
        <v>207</v>
      </c>
      <c r="D208" s="3">
        <f>IFERROR(__xludf.DUMMYFUNCTION("SPLIT(A208, ""|"")"),42996.0)</f>
        <v>42996</v>
      </c>
      <c r="E208" s="2">
        <f>IFERROR(__xludf.DUMMYFUNCTION("""COMPUTED_VALUE"""),1415553.0)</f>
        <v>1415553</v>
      </c>
      <c r="F208" s="2">
        <f>IFERROR(__xludf.DUMMYFUNCTION("""COMPUTED_VALUE"""),3800870.0)</f>
        <v>3800870</v>
      </c>
      <c r="G208" s="2">
        <f>IFERROR(__xludf.DUMMYFUNCTION("""COMPUTED_VALUE"""),24.4717)</f>
        <v>24.4717</v>
      </c>
    </row>
    <row r="209">
      <c r="A209" s="1" t="s">
        <v>208</v>
      </c>
      <c r="D209" s="3">
        <f>IFERROR(__xludf.DUMMYFUNCTION("SPLIT(A209, ""|"")"),42996.0)</f>
        <v>42996</v>
      </c>
      <c r="E209" s="2">
        <f>IFERROR(__xludf.DUMMYFUNCTION("""COMPUTED_VALUE"""),1370283.0)</f>
        <v>1370283</v>
      </c>
      <c r="F209" s="2">
        <f>IFERROR(__xludf.DUMMYFUNCTION("""COMPUTED_VALUE"""),3800665.0)</f>
        <v>3800665</v>
      </c>
      <c r="G209" s="2">
        <f>IFERROR(__xludf.DUMMYFUNCTION("""COMPUTED_VALUE"""),94.6325)</f>
        <v>94.6325</v>
      </c>
    </row>
    <row r="210">
      <c r="A210" s="1" t="s">
        <v>209</v>
      </c>
      <c r="D210" s="3">
        <f>IFERROR(__xludf.DUMMYFUNCTION("SPLIT(A210, ""|"")"),43252.0)</f>
        <v>43252</v>
      </c>
      <c r="E210" s="2">
        <f>IFERROR(__xludf.DUMMYFUNCTION("""COMPUTED_VALUE"""),1533513.0)</f>
        <v>1533513</v>
      </c>
      <c r="F210" s="2">
        <f>IFERROR(__xludf.DUMMYFUNCTION("""COMPUTED_VALUE"""),4510986.0)</f>
        <v>4510986</v>
      </c>
      <c r="G210" s="2">
        <f>IFERROR(__xludf.DUMMYFUNCTION("""COMPUTED_VALUE"""),78.5403)</f>
        <v>78.5403</v>
      </c>
    </row>
    <row r="211">
      <c r="A211" s="1" t="s">
        <v>210</v>
      </c>
      <c r="D211" s="3">
        <f>IFERROR(__xludf.DUMMYFUNCTION("SPLIT(A211, ""|"")"),43252.0)</f>
        <v>43252</v>
      </c>
      <c r="E211" s="2">
        <f>IFERROR(__xludf.DUMMYFUNCTION("""COMPUTED_VALUE"""),1528503.0)</f>
        <v>1528503</v>
      </c>
      <c r="F211" s="2">
        <f>IFERROR(__xludf.DUMMYFUNCTION("""COMPUTED_VALUE"""),4512056.0)</f>
        <v>4512056</v>
      </c>
      <c r="G211" s="2">
        <f>IFERROR(__xludf.DUMMYFUNCTION("""COMPUTED_VALUE"""),106.5022)</f>
        <v>106.5022</v>
      </c>
    </row>
    <row r="212">
      <c r="A212" s="1" t="s">
        <v>211</v>
      </c>
      <c r="D212" s="3">
        <f>IFERROR(__xludf.DUMMYFUNCTION("SPLIT(A212, ""|"")"),43252.0)</f>
        <v>43252</v>
      </c>
      <c r="E212" s="2">
        <f>IFERROR(__xludf.DUMMYFUNCTION("""COMPUTED_VALUE"""),1596543.0)</f>
        <v>1596543</v>
      </c>
      <c r="F212" s="2">
        <f>IFERROR(__xludf.DUMMYFUNCTION("""COMPUTED_VALUE"""),4510960.0)</f>
        <v>4510960</v>
      </c>
      <c r="G212" s="2">
        <f>IFERROR(__xludf.DUMMYFUNCTION("""COMPUTED_VALUE"""),17.5291)</f>
        <v>17.5291</v>
      </c>
    </row>
    <row r="213">
      <c r="A213" s="1" t="s">
        <v>212</v>
      </c>
      <c r="D213" s="3">
        <f>IFERROR(__xludf.DUMMYFUNCTION("SPLIT(A213, ""|"")"),43252.0)</f>
        <v>43252</v>
      </c>
      <c r="E213" s="2">
        <f>IFERROR(__xludf.DUMMYFUNCTION("""COMPUTED_VALUE"""),300033.0)</f>
        <v>300033</v>
      </c>
      <c r="F213" s="2">
        <f>IFERROR(__xludf.DUMMYFUNCTION("""COMPUTED_VALUE"""),4511874.0)</f>
        <v>4511874</v>
      </c>
      <c r="G213" s="2">
        <f>IFERROR(__xludf.DUMMYFUNCTION("""COMPUTED_VALUE"""),74.0217)</f>
        <v>74.0217</v>
      </c>
    </row>
    <row r="214">
      <c r="A214" s="1" t="s">
        <v>213</v>
      </c>
      <c r="D214" s="3">
        <f>IFERROR(__xludf.DUMMYFUNCTION("SPLIT(A214, ""|"")"),43252.0)</f>
        <v>43252</v>
      </c>
      <c r="E214" s="2">
        <f>IFERROR(__xludf.DUMMYFUNCTION("""COMPUTED_VALUE"""),1604373.0)</f>
        <v>1604373</v>
      </c>
      <c r="F214" s="2">
        <f>IFERROR(__xludf.DUMMYFUNCTION("""COMPUTED_VALUE"""),4511638.0)</f>
        <v>4511638</v>
      </c>
      <c r="G214" s="2">
        <f>IFERROR(__xludf.DUMMYFUNCTION("""COMPUTED_VALUE"""),92.9243999999999)</f>
        <v>92.9244</v>
      </c>
    </row>
    <row r="215">
      <c r="A215" s="1" t="s">
        <v>214</v>
      </c>
      <c r="D215" s="3">
        <f>IFERROR(__xludf.DUMMYFUNCTION("SPLIT(A215, ""|"")"),42997.0)</f>
        <v>42997</v>
      </c>
      <c r="E215" s="2">
        <f>IFERROR(__xludf.DUMMYFUNCTION("""COMPUTED_VALUE"""),1416123.0)</f>
        <v>1416123</v>
      </c>
      <c r="F215" s="2">
        <f>IFERROR(__xludf.DUMMYFUNCTION("""COMPUTED_VALUE"""),3803787.0)</f>
        <v>3803787</v>
      </c>
      <c r="G215" s="2">
        <f>IFERROR(__xludf.DUMMYFUNCTION("""COMPUTED_VALUE"""),97.165)</f>
        <v>97.165</v>
      </c>
    </row>
    <row r="216">
      <c r="A216" s="1" t="s">
        <v>215</v>
      </c>
      <c r="D216" s="3">
        <f>IFERROR(__xludf.DUMMYFUNCTION("SPLIT(A216, ""|"")"),42997.0)</f>
        <v>42997</v>
      </c>
      <c r="E216" s="2">
        <f>IFERROR(__xludf.DUMMYFUNCTION("""COMPUTED_VALUE"""),1278843.0)</f>
        <v>1278843</v>
      </c>
      <c r="F216" s="2">
        <f>IFERROR(__xludf.DUMMYFUNCTION("""COMPUTED_VALUE"""),3802940.0)</f>
        <v>3802940</v>
      </c>
      <c r="G216" s="2">
        <f>IFERROR(__xludf.DUMMYFUNCTION("""COMPUTED_VALUE"""),30.7023)</f>
        <v>30.7023</v>
      </c>
    </row>
    <row r="217">
      <c r="A217" s="1" t="s">
        <v>216</v>
      </c>
      <c r="D217" s="3">
        <f>IFERROR(__xludf.DUMMYFUNCTION("SPLIT(A217, ""|"")"),42997.0)</f>
        <v>42997</v>
      </c>
      <c r="E217" s="2">
        <f>IFERROR(__xludf.DUMMYFUNCTION("""COMPUTED_VALUE"""),1416303.0)</f>
        <v>1416303</v>
      </c>
      <c r="F217" s="2">
        <f>IFERROR(__xludf.DUMMYFUNCTION("""COMPUTED_VALUE"""),3804194.0)</f>
        <v>3804194</v>
      </c>
      <c r="G217" s="2">
        <f>IFERROR(__xludf.DUMMYFUNCTION("""COMPUTED_VALUE"""),79.0796)</f>
        <v>79.0796</v>
      </c>
    </row>
    <row r="218">
      <c r="A218" s="1" t="s">
        <v>217</v>
      </c>
      <c r="D218" s="3">
        <f>IFERROR(__xludf.DUMMYFUNCTION("SPLIT(A218, ""|"")"),42997.0)</f>
        <v>42997</v>
      </c>
      <c r="E218" s="2">
        <f>IFERROR(__xludf.DUMMYFUNCTION("""COMPUTED_VALUE"""),392763.0)</f>
        <v>392763</v>
      </c>
      <c r="F218" s="2">
        <f>IFERROR(__xludf.DUMMYFUNCTION("""COMPUTED_VALUE"""),3803363.0)</f>
        <v>3803363</v>
      </c>
      <c r="G218" s="2">
        <f>IFERROR(__xludf.DUMMYFUNCTION("""COMPUTED_VALUE"""),8.25)</f>
        <v>8.25</v>
      </c>
    </row>
    <row r="219">
      <c r="A219" s="1" t="s">
        <v>218</v>
      </c>
      <c r="D219" s="3">
        <f>IFERROR(__xludf.DUMMYFUNCTION("SPLIT(A219, ""|"")"),43253.0)</f>
        <v>43253</v>
      </c>
      <c r="E219" s="2">
        <f>IFERROR(__xludf.DUMMYFUNCTION("""COMPUTED_VALUE"""),1319343.0)</f>
        <v>1319343</v>
      </c>
      <c r="F219" s="2">
        <f>IFERROR(__xludf.DUMMYFUNCTION("""COMPUTED_VALUE"""),4514040.0)</f>
        <v>4514040</v>
      </c>
      <c r="G219" s="2">
        <f>IFERROR(__xludf.DUMMYFUNCTION("""COMPUTED_VALUE"""),70.9299)</f>
        <v>70.9299</v>
      </c>
    </row>
    <row r="220">
      <c r="A220" s="1" t="s">
        <v>219</v>
      </c>
      <c r="D220" s="3">
        <f>IFERROR(__xludf.DUMMYFUNCTION("SPLIT(A220, ""|"")"),43253.0)</f>
        <v>43253</v>
      </c>
      <c r="E220" s="2">
        <f>IFERROR(__xludf.DUMMYFUNCTION("""COMPUTED_VALUE"""),1604913.0)</f>
        <v>1604913</v>
      </c>
      <c r="F220" s="2">
        <f>IFERROR(__xludf.DUMMYFUNCTION("""COMPUTED_VALUE"""),4513611.0)</f>
        <v>4513611</v>
      </c>
      <c r="G220" s="2">
        <f>IFERROR(__xludf.DUMMYFUNCTION("""COMPUTED_VALUE"""),51.9113)</f>
        <v>51.9113</v>
      </c>
    </row>
    <row r="221">
      <c r="A221" s="1" t="s">
        <v>220</v>
      </c>
      <c r="D221" s="3">
        <f>IFERROR(__xludf.DUMMYFUNCTION("SPLIT(A221, ""|"")"),43253.0)</f>
        <v>43253</v>
      </c>
      <c r="E221" s="2">
        <f>IFERROR(__xludf.DUMMYFUNCTION("""COMPUTED_VALUE"""),1167393.0)</f>
        <v>1167393</v>
      </c>
      <c r="F221" s="2">
        <f>IFERROR(__xludf.DUMMYFUNCTION("""COMPUTED_VALUE"""),4514429.0)</f>
        <v>4514429</v>
      </c>
      <c r="G221" s="2">
        <f>IFERROR(__xludf.DUMMYFUNCTION("""COMPUTED_VALUE"""),50.5258)</f>
        <v>50.5258</v>
      </c>
    </row>
    <row r="222">
      <c r="A222" s="1" t="s">
        <v>221</v>
      </c>
      <c r="D222" s="3">
        <f>IFERROR(__xludf.DUMMYFUNCTION("SPLIT(A222, ""|"")"),43253.0)</f>
        <v>43253</v>
      </c>
      <c r="E222" s="2">
        <f>IFERROR(__xludf.DUMMYFUNCTION("""COMPUTED_VALUE"""),1332093.0)</f>
        <v>1332093</v>
      </c>
      <c r="F222" s="2">
        <f>IFERROR(__xludf.DUMMYFUNCTION("""COMPUTED_VALUE"""),4513394.0)</f>
        <v>4513394</v>
      </c>
      <c r="G222" s="2">
        <f>IFERROR(__xludf.DUMMYFUNCTION("""COMPUTED_VALUE"""),18.711)</f>
        <v>18.711</v>
      </c>
    </row>
    <row r="223">
      <c r="A223" s="1" t="s">
        <v>222</v>
      </c>
      <c r="D223" s="3">
        <f>IFERROR(__xludf.DUMMYFUNCTION("SPLIT(A223, ""|"")"),43254.0)</f>
        <v>43254</v>
      </c>
      <c r="E223" s="2">
        <f>IFERROR(__xludf.DUMMYFUNCTION("""COMPUTED_VALUE"""),1561233.0)</f>
        <v>1561233</v>
      </c>
      <c r="F223" s="2">
        <f>IFERROR(__xludf.DUMMYFUNCTION("""COMPUTED_VALUE"""),4515667.0)</f>
        <v>4515667</v>
      </c>
      <c r="G223" s="2">
        <f>IFERROR(__xludf.DUMMYFUNCTION("""COMPUTED_VALUE"""),80.5285)</f>
        <v>80.5285</v>
      </c>
    </row>
    <row r="224">
      <c r="A224" s="1" t="s">
        <v>223</v>
      </c>
      <c r="D224" s="3">
        <f>IFERROR(__xludf.DUMMYFUNCTION("SPLIT(A224, ""|"")"),43254.0)</f>
        <v>43254</v>
      </c>
      <c r="E224" s="2">
        <f>IFERROR(__xludf.DUMMYFUNCTION("""COMPUTED_VALUE"""),1605603.0)</f>
        <v>1605603</v>
      </c>
      <c r="F224" s="2">
        <f>IFERROR(__xludf.DUMMYFUNCTION("""COMPUTED_VALUE"""),4515942.0)</f>
        <v>4515942</v>
      </c>
      <c r="G224" s="2">
        <f>IFERROR(__xludf.DUMMYFUNCTION("""COMPUTED_VALUE"""),34.3226)</f>
        <v>34.3226</v>
      </c>
    </row>
    <row r="225">
      <c r="A225" s="1" t="s">
        <v>224</v>
      </c>
      <c r="D225" s="3">
        <f>IFERROR(__xludf.DUMMYFUNCTION("SPLIT(A225, ""|"")"),43254.0)</f>
        <v>43254</v>
      </c>
      <c r="E225" s="2">
        <f>IFERROR(__xludf.DUMMYFUNCTION("""COMPUTED_VALUE"""),1605693.0)</f>
        <v>1605693</v>
      </c>
      <c r="F225" s="2">
        <f>IFERROR(__xludf.DUMMYFUNCTION("""COMPUTED_VALUE"""),4516272.0)</f>
        <v>4516272</v>
      </c>
      <c r="G225" s="2">
        <f>IFERROR(__xludf.DUMMYFUNCTION("""COMPUTED_VALUE"""),23.1285)</f>
        <v>23.1285</v>
      </c>
    </row>
    <row r="226">
      <c r="A226" s="1" t="s">
        <v>225</v>
      </c>
      <c r="D226" s="3">
        <f>IFERROR(__xludf.DUMMYFUNCTION("SPLIT(A226, ""|"")"),43254.0)</f>
        <v>43254</v>
      </c>
      <c r="E226" s="2">
        <f>IFERROR(__xludf.DUMMYFUNCTION("""COMPUTED_VALUE"""),1265883.0)</f>
        <v>1265883</v>
      </c>
      <c r="F226" s="2">
        <f>IFERROR(__xludf.DUMMYFUNCTION("""COMPUTED_VALUE"""),4515995.0)</f>
        <v>4515995</v>
      </c>
      <c r="G226" s="2">
        <f>IFERROR(__xludf.DUMMYFUNCTION("""COMPUTED_VALUE"""),76.1674)</f>
        <v>76.1674</v>
      </c>
    </row>
    <row r="227">
      <c r="A227" s="1" t="s">
        <v>226</v>
      </c>
      <c r="D227" s="3">
        <f>IFERROR(__xludf.DUMMYFUNCTION("SPLIT(A227, ""|"")"),43254.0)</f>
        <v>43254</v>
      </c>
      <c r="E227" s="2">
        <f>IFERROR(__xludf.DUMMYFUNCTION("""COMPUTED_VALUE"""),1605783.0)</f>
        <v>1605783</v>
      </c>
      <c r="F227" s="2">
        <f>IFERROR(__xludf.DUMMYFUNCTION("""COMPUTED_VALUE"""),4516599.0)</f>
        <v>4516599</v>
      </c>
      <c r="G227" s="2">
        <f>IFERROR(__xludf.DUMMYFUNCTION("""COMPUTED_VALUE"""),67.1129)</f>
        <v>67.1129</v>
      </c>
    </row>
    <row r="228">
      <c r="A228" s="1" t="s">
        <v>227</v>
      </c>
      <c r="D228" s="3">
        <f>IFERROR(__xludf.DUMMYFUNCTION("SPLIT(A228, ""|"")"),43254.0)</f>
        <v>43254</v>
      </c>
      <c r="E228" s="2">
        <f>IFERROR(__xludf.DUMMYFUNCTION("""COMPUTED_VALUE"""),1605423.0)</f>
        <v>1605423</v>
      </c>
      <c r="F228" s="2">
        <f>IFERROR(__xludf.DUMMYFUNCTION("""COMPUTED_VALUE"""),4515340.0)</f>
        <v>4515340</v>
      </c>
      <c r="G228" s="2">
        <f>IFERROR(__xludf.DUMMYFUNCTION("""COMPUTED_VALUE"""),73.9194)</f>
        <v>73.9194</v>
      </c>
    </row>
    <row r="229">
      <c r="A229" s="1" t="s">
        <v>228</v>
      </c>
      <c r="D229" s="3">
        <f>IFERROR(__xludf.DUMMYFUNCTION("SPLIT(A229, ""|"")"),43254.0)</f>
        <v>43254</v>
      </c>
      <c r="E229" s="2">
        <f>IFERROR(__xludf.DUMMYFUNCTION("""COMPUTED_VALUE"""),1435293.0)</f>
        <v>1435293</v>
      </c>
      <c r="F229" s="2">
        <f>IFERROR(__xludf.DUMMYFUNCTION("""COMPUTED_VALUE"""),4516088.0)</f>
        <v>4516088</v>
      </c>
      <c r="G229" s="2">
        <f>IFERROR(__xludf.DUMMYFUNCTION("""COMPUTED_VALUE"""),71.1142)</f>
        <v>71.1142</v>
      </c>
    </row>
    <row r="230">
      <c r="A230" s="1" t="s">
        <v>229</v>
      </c>
      <c r="D230" s="3">
        <f>IFERROR(__xludf.DUMMYFUNCTION("SPLIT(A230, ""|"")"),43254.0)</f>
        <v>43254</v>
      </c>
      <c r="E230" s="2">
        <f>IFERROR(__xludf.DUMMYFUNCTION("""COMPUTED_VALUE"""),1435293.0)</f>
        <v>1435293</v>
      </c>
      <c r="F230" s="2">
        <f>IFERROR(__xludf.DUMMYFUNCTION("""COMPUTED_VALUE"""),4516103.0)</f>
        <v>4516103</v>
      </c>
      <c r="G230" s="2">
        <f>IFERROR(__xludf.DUMMYFUNCTION("""COMPUTED_VALUE"""),109.5735)</f>
        <v>109.5735</v>
      </c>
    </row>
    <row r="231">
      <c r="A231" s="1" t="s">
        <v>230</v>
      </c>
      <c r="D231" s="3">
        <f>IFERROR(__xludf.DUMMYFUNCTION("SPLIT(A231, ""|"")"),42999.0)</f>
        <v>42999</v>
      </c>
      <c r="E231" s="2">
        <f>IFERROR(__xludf.DUMMYFUNCTION("""COMPUTED_VALUE"""),1414173.0)</f>
        <v>1414173</v>
      </c>
      <c r="F231" s="2">
        <f>IFERROR(__xludf.DUMMYFUNCTION("""COMPUTED_VALUE"""),3808942.0)</f>
        <v>3808942</v>
      </c>
      <c r="G231" s="2">
        <f>IFERROR(__xludf.DUMMYFUNCTION("""COMPUTED_VALUE"""),43.8483)</f>
        <v>43.8483</v>
      </c>
    </row>
    <row r="232">
      <c r="A232" s="1" t="s">
        <v>231</v>
      </c>
      <c r="D232" s="3">
        <f>IFERROR(__xludf.DUMMYFUNCTION("SPLIT(A232, ""|"")"),42999.0)</f>
        <v>42999</v>
      </c>
      <c r="E232" s="2">
        <f>IFERROR(__xludf.DUMMYFUNCTION("""COMPUTED_VALUE"""),1198923.0)</f>
        <v>1198923</v>
      </c>
      <c r="F232" s="2">
        <f>IFERROR(__xludf.DUMMYFUNCTION("""COMPUTED_VALUE"""),3808066.0)</f>
        <v>3808066</v>
      </c>
      <c r="G232" s="2">
        <f>IFERROR(__xludf.DUMMYFUNCTION("""COMPUTED_VALUE"""),73.3177)</f>
        <v>73.3177</v>
      </c>
    </row>
    <row r="233">
      <c r="A233" s="1" t="s">
        <v>232</v>
      </c>
      <c r="D233" s="3">
        <f>IFERROR(__xludf.DUMMYFUNCTION("SPLIT(A233, ""|"")"),42999.0)</f>
        <v>42999</v>
      </c>
      <c r="E233" s="2">
        <f>IFERROR(__xludf.DUMMYFUNCTION("""COMPUTED_VALUE"""),357093.0)</f>
        <v>357093</v>
      </c>
      <c r="F233" s="2">
        <f>IFERROR(__xludf.DUMMYFUNCTION("""COMPUTED_VALUE"""),3807306.0)</f>
        <v>3807306</v>
      </c>
      <c r="G233" s="2">
        <f>IFERROR(__xludf.DUMMYFUNCTION("""COMPUTED_VALUE"""),41.247)</f>
        <v>41.247</v>
      </c>
    </row>
    <row r="234">
      <c r="A234" s="1" t="s">
        <v>233</v>
      </c>
      <c r="D234" s="3">
        <f>IFERROR(__xludf.DUMMYFUNCTION("SPLIT(A234, ""|"")"),42999.0)</f>
        <v>42999</v>
      </c>
      <c r="E234" s="2">
        <f>IFERROR(__xludf.DUMMYFUNCTION("""COMPUTED_VALUE"""),1417113.0)</f>
        <v>1417113</v>
      </c>
      <c r="F234" s="2">
        <f>IFERROR(__xludf.DUMMYFUNCTION("""COMPUTED_VALUE"""),3807450.0)</f>
        <v>3807450</v>
      </c>
      <c r="G234" s="2">
        <f>IFERROR(__xludf.DUMMYFUNCTION("""COMPUTED_VALUE"""),62.342)</f>
        <v>62.342</v>
      </c>
    </row>
    <row r="235">
      <c r="A235" s="1" t="s">
        <v>234</v>
      </c>
      <c r="D235" s="3">
        <f>IFERROR(__xludf.DUMMYFUNCTION("SPLIT(A235, ""|"")"),43255.0)</f>
        <v>43255</v>
      </c>
      <c r="E235" s="2">
        <f>IFERROR(__xludf.DUMMYFUNCTION("""COMPUTED_VALUE"""),1606233.0)</f>
        <v>1606233</v>
      </c>
      <c r="F235" s="2">
        <f>IFERROR(__xludf.DUMMYFUNCTION("""COMPUTED_VALUE"""),4518616.0)</f>
        <v>4518616</v>
      </c>
      <c r="G235" s="2">
        <f>IFERROR(__xludf.DUMMYFUNCTION("""COMPUTED_VALUE"""),46.6)</f>
        <v>46.6</v>
      </c>
    </row>
    <row r="236">
      <c r="A236" s="1" t="s">
        <v>235</v>
      </c>
      <c r="D236" s="3">
        <f>IFERROR(__xludf.DUMMYFUNCTION("SPLIT(A236, ""|"")"),43255.0)</f>
        <v>43255</v>
      </c>
      <c r="E236" s="2">
        <f>IFERROR(__xludf.DUMMYFUNCTION("""COMPUTED_VALUE"""),1580073.0)</f>
        <v>1580073</v>
      </c>
      <c r="F236" s="2">
        <f>IFERROR(__xludf.DUMMYFUNCTION("""COMPUTED_VALUE"""),4520222.0)</f>
        <v>4520222</v>
      </c>
      <c r="G236" s="2">
        <f>IFERROR(__xludf.DUMMYFUNCTION("""COMPUTED_VALUE"""),13.209)</f>
        <v>13.209</v>
      </c>
    </row>
    <row r="237">
      <c r="A237" s="1" t="s">
        <v>236</v>
      </c>
      <c r="D237" s="3">
        <f>IFERROR(__xludf.DUMMYFUNCTION("SPLIT(A237, ""|"")"),43255.0)</f>
        <v>43255</v>
      </c>
      <c r="E237" s="2">
        <f>IFERROR(__xludf.DUMMYFUNCTION("""COMPUTED_VALUE"""),1427553.0)</f>
        <v>1427553</v>
      </c>
      <c r="F237" s="2">
        <f>IFERROR(__xludf.DUMMYFUNCTION("""COMPUTED_VALUE"""),4518328.0)</f>
        <v>4518328</v>
      </c>
      <c r="G237" s="2">
        <f>IFERROR(__xludf.DUMMYFUNCTION("""COMPUTED_VALUE"""),102.2)</f>
        <v>102.2</v>
      </c>
    </row>
    <row r="238">
      <c r="A238" s="1" t="s">
        <v>237</v>
      </c>
      <c r="D238" s="3">
        <f>IFERROR(__xludf.DUMMYFUNCTION("SPLIT(A238, ""|"")"),43255.0)</f>
        <v>43255</v>
      </c>
      <c r="E238" s="2">
        <f>IFERROR(__xludf.DUMMYFUNCTION("""COMPUTED_VALUE"""),1491273.0)</f>
        <v>1491273</v>
      </c>
      <c r="F238" s="2">
        <f>IFERROR(__xludf.DUMMYFUNCTION("""COMPUTED_VALUE"""),4517993.0)</f>
        <v>4517993</v>
      </c>
      <c r="G238" s="2">
        <f>IFERROR(__xludf.DUMMYFUNCTION("""COMPUTED_VALUE"""),84.9792)</f>
        <v>84.9792</v>
      </c>
    </row>
    <row r="239">
      <c r="A239" s="1" t="s">
        <v>238</v>
      </c>
      <c r="D239" s="3">
        <f>IFERROR(__xludf.DUMMYFUNCTION("SPLIT(A239, ""|"")"),43255.0)</f>
        <v>43255</v>
      </c>
      <c r="E239" s="2">
        <f>IFERROR(__xludf.DUMMYFUNCTION("""COMPUTED_VALUE"""),1588233.0)</f>
        <v>1588233</v>
      </c>
      <c r="F239" s="2">
        <f>IFERROR(__xludf.DUMMYFUNCTION("""COMPUTED_VALUE"""),4517995.0)</f>
        <v>4517995</v>
      </c>
      <c r="G239" s="2">
        <f>IFERROR(__xludf.DUMMYFUNCTION("""COMPUTED_VALUE"""),84.5417)</f>
        <v>84.5417</v>
      </c>
    </row>
    <row r="240">
      <c r="A240" s="1" t="s">
        <v>239</v>
      </c>
      <c r="D240" s="3">
        <f>IFERROR(__xludf.DUMMYFUNCTION("SPLIT(A240, ""|"")"),43255.0)</f>
        <v>43255</v>
      </c>
      <c r="E240" s="2">
        <f>IFERROR(__xludf.DUMMYFUNCTION("""COMPUTED_VALUE"""),1606743.0)</f>
        <v>1606743</v>
      </c>
      <c r="F240" s="2">
        <f>IFERROR(__xludf.DUMMYFUNCTION("""COMPUTED_VALUE"""),4520844.0)</f>
        <v>4520844</v>
      </c>
      <c r="G240" s="2">
        <f>IFERROR(__xludf.DUMMYFUNCTION("""COMPUTED_VALUE"""),29.1863)</f>
        <v>29.1863</v>
      </c>
    </row>
    <row r="241">
      <c r="A241" s="1" t="s">
        <v>240</v>
      </c>
      <c r="D241" s="3">
        <f>IFERROR(__xludf.DUMMYFUNCTION("SPLIT(A241, ""|"")"),43000.0)</f>
        <v>43000</v>
      </c>
      <c r="E241" s="2">
        <f>IFERROR(__xludf.DUMMYFUNCTION("""COMPUTED_VALUE"""),857583.0)</f>
        <v>857583</v>
      </c>
      <c r="F241" s="2">
        <f>IFERROR(__xludf.DUMMYFUNCTION("""COMPUTED_VALUE"""),3810555.0)</f>
        <v>3810555</v>
      </c>
      <c r="G241" s="2">
        <f>IFERROR(__xludf.DUMMYFUNCTION("""COMPUTED_VALUE"""),128.6616)</f>
        <v>128.6616</v>
      </c>
    </row>
    <row r="242">
      <c r="A242" s="1" t="s">
        <v>241</v>
      </c>
      <c r="D242" s="3">
        <f>IFERROR(__xludf.DUMMYFUNCTION("SPLIT(A242, ""|"")"),43000.0)</f>
        <v>43000</v>
      </c>
      <c r="E242" s="2">
        <f>IFERROR(__xludf.DUMMYFUNCTION("""COMPUTED_VALUE"""),1100373.0)</f>
        <v>1100373</v>
      </c>
      <c r="F242" s="2">
        <f>IFERROR(__xludf.DUMMYFUNCTION("""COMPUTED_VALUE"""),3810494.0)</f>
        <v>3810494</v>
      </c>
      <c r="G242" s="2">
        <f>IFERROR(__xludf.DUMMYFUNCTION("""COMPUTED_VALUE"""),69.2625)</f>
        <v>69.2625</v>
      </c>
    </row>
    <row r="243">
      <c r="A243" s="1" t="s">
        <v>242</v>
      </c>
      <c r="D243" s="3">
        <f>IFERROR(__xludf.DUMMYFUNCTION("SPLIT(A243, ""|"")"),43000.0)</f>
        <v>43000</v>
      </c>
      <c r="E243" s="2">
        <f>IFERROR(__xludf.DUMMYFUNCTION("""COMPUTED_VALUE"""),1314993.0)</f>
        <v>1314993</v>
      </c>
      <c r="F243" s="2">
        <f>IFERROR(__xludf.DUMMYFUNCTION("""COMPUTED_VALUE"""),3809885.0)</f>
        <v>3809885</v>
      </c>
      <c r="G243" s="2">
        <f>IFERROR(__xludf.DUMMYFUNCTION("""COMPUTED_VALUE"""),64.9374)</f>
        <v>64.9374</v>
      </c>
    </row>
    <row r="244">
      <c r="A244" s="1" t="s">
        <v>243</v>
      </c>
      <c r="D244" s="3">
        <f>IFERROR(__xludf.DUMMYFUNCTION("SPLIT(A244, ""|"")"),43000.0)</f>
        <v>43000</v>
      </c>
      <c r="E244" s="2">
        <f>IFERROR(__xludf.DUMMYFUNCTION("""COMPUTED_VALUE"""),190803.0)</f>
        <v>190803</v>
      </c>
      <c r="F244" s="2">
        <f>IFERROR(__xludf.DUMMYFUNCTION("""COMPUTED_VALUE"""),3809825.0)</f>
        <v>3809825</v>
      </c>
      <c r="G244" s="2">
        <f>IFERROR(__xludf.DUMMYFUNCTION("""COMPUTED_VALUE"""),64.0281)</f>
        <v>64.0281</v>
      </c>
    </row>
    <row r="245">
      <c r="A245" s="1" t="s">
        <v>244</v>
      </c>
      <c r="D245" s="3">
        <f>IFERROR(__xludf.DUMMYFUNCTION("SPLIT(A245, ""|"")"),43000.0)</f>
        <v>43000</v>
      </c>
      <c r="E245" s="2">
        <f>IFERROR(__xludf.DUMMYFUNCTION("""COMPUTED_VALUE"""),1239273.0)</f>
        <v>1239273</v>
      </c>
      <c r="F245" s="2">
        <f>IFERROR(__xludf.DUMMYFUNCTION("""COMPUTED_VALUE"""),3811051.0)</f>
        <v>3811051</v>
      </c>
      <c r="G245" s="2">
        <f>IFERROR(__xludf.DUMMYFUNCTION("""COMPUTED_VALUE"""),110.7597)</f>
        <v>110.7597</v>
      </c>
    </row>
    <row r="246">
      <c r="A246" s="1" t="s">
        <v>245</v>
      </c>
      <c r="D246" s="3">
        <f>IFERROR(__xludf.DUMMYFUNCTION("SPLIT(A246, ""|"")"),43256.0)</f>
        <v>43256</v>
      </c>
      <c r="E246" s="2">
        <f>IFERROR(__xludf.DUMMYFUNCTION("""COMPUTED_VALUE"""),481893.0)</f>
        <v>481893</v>
      </c>
      <c r="F246" s="2">
        <f>IFERROR(__xludf.DUMMYFUNCTION("""COMPUTED_VALUE"""),4522046.0)</f>
        <v>4522046</v>
      </c>
      <c r="G246" s="2">
        <f>IFERROR(__xludf.DUMMYFUNCTION("""COMPUTED_VALUE"""),85.5416999999999)</f>
        <v>85.5417</v>
      </c>
    </row>
    <row r="247">
      <c r="A247" s="1" t="s">
        <v>246</v>
      </c>
      <c r="D247" s="3">
        <f>IFERROR(__xludf.DUMMYFUNCTION("SPLIT(A247, ""|"")"),43256.0)</f>
        <v>43256</v>
      </c>
      <c r="E247" s="2">
        <f>IFERROR(__xludf.DUMMYFUNCTION("""COMPUTED_VALUE"""),1409553.0)</f>
        <v>1409553</v>
      </c>
      <c r="F247" s="2">
        <f>IFERROR(__xludf.DUMMYFUNCTION("""COMPUTED_VALUE"""),4522139.0)</f>
        <v>4522139</v>
      </c>
      <c r="G247" s="2">
        <f>IFERROR(__xludf.DUMMYFUNCTION("""COMPUTED_VALUE"""),64.6173)</f>
        <v>64.6173</v>
      </c>
    </row>
    <row r="248">
      <c r="A248" s="1" t="s">
        <v>247</v>
      </c>
      <c r="D248" s="3">
        <f>IFERROR(__xludf.DUMMYFUNCTION("SPLIT(A248, ""|"")"),43256.0)</f>
        <v>43256</v>
      </c>
      <c r="E248" s="2">
        <f>IFERROR(__xludf.DUMMYFUNCTION("""COMPUTED_VALUE"""),1603743.0)</f>
        <v>1603743</v>
      </c>
      <c r="F248" s="2">
        <f>IFERROR(__xludf.DUMMYFUNCTION("""COMPUTED_VALUE"""),4522262.0)</f>
        <v>4522262</v>
      </c>
      <c r="G248" s="2">
        <f>IFERROR(__xludf.DUMMYFUNCTION("""COMPUTED_VALUE"""),133.3333)</f>
        <v>133.3333</v>
      </c>
    </row>
    <row r="249">
      <c r="A249" s="1" t="s">
        <v>248</v>
      </c>
      <c r="D249" s="3">
        <f>IFERROR(__xludf.DUMMYFUNCTION("SPLIT(A249, ""|"")"),43256.0)</f>
        <v>43256</v>
      </c>
      <c r="E249" s="2">
        <f>IFERROR(__xludf.DUMMYFUNCTION("""COMPUTED_VALUE"""),1049163.0)</f>
        <v>1049163</v>
      </c>
      <c r="F249" s="2">
        <f>IFERROR(__xludf.DUMMYFUNCTION("""COMPUTED_VALUE"""),4523636.0)</f>
        <v>4523636</v>
      </c>
      <c r="G249" s="2">
        <f>IFERROR(__xludf.DUMMYFUNCTION("""COMPUTED_VALUE"""),30.4266)</f>
        <v>30.4266</v>
      </c>
    </row>
    <row r="250">
      <c r="A250" s="1" t="s">
        <v>249</v>
      </c>
      <c r="D250" s="3">
        <f>IFERROR(__xludf.DUMMYFUNCTION("SPLIT(A250, ""|"")"),43256.0)</f>
        <v>43256</v>
      </c>
      <c r="E250" s="2">
        <f>IFERROR(__xludf.DUMMYFUNCTION("""COMPUTED_VALUE"""),1081713.0)</f>
        <v>1081713</v>
      </c>
      <c r="F250" s="2">
        <f>IFERROR(__xludf.DUMMYFUNCTION("""COMPUTED_VALUE"""),4522266.0)</f>
        <v>4522266</v>
      </c>
      <c r="G250" s="2">
        <f>IFERROR(__xludf.DUMMYFUNCTION("""COMPUTED_VALUE"""),75.125)</f>
        <v>75.125</v>
      </c>
    </row>
    <row r="251">
      <c r="A251" s="1" t="s">
        <v>250</v>
      </c>
      <c r="D251" s="3">
        <f>IFERROR(__xludf.DUMMYFUNCTION("SPLIT(A251, ""|"")"),43256.0)</f>
        <v>43256</v>
      </c>
      <c r="E251" s="2">
        <f>IFERROR(__xludf.DUMMYFUNCTION("""COMPUTED_VALUE"""),1505163.0)</f>
        <v>1505163</v>
      </c>
      <c r="F251" s="2">
        <f>IFERROR(__xludf.DUMMYFUNCTION("""COMPUTED_VALUE"""),4521549.0)</f>
        <v>4521549</v>
      </c>
      <c r="G251" s="2">
        <f>IFERROR(__xludf.DUMMYFUNCTION("""COMPUTED_VALUE"""),75.2029)</f>
        <v>75.2029</v>
      </c>
    </row>
    <row r="252">
      <c r="A252" s="1" t="s">
        <v>251</v>
      </c>
      <c r="D252" s="3">
        <f>IFERROR(__xludf.DUMMYFUNCTION("SPLIT(A252, ""|"")"),43001.0)</f>
        <v>43001</v>
      </c>
      <c r="E252" s="2">
        <f>IFERROR(__xludf.DUMMYFUNCTION("""COMPUTED_VALUE"""),1406643.0)</f>
        <v>1406643</v>
      </c>
      <c r="F252" s="2">
        <f>IFERROR(__xludf.DUMMYFUNCTION("""COMPUTED_VALUE"""),3812240.0)</f>
        <v>3812240</v>
      </c>
      <c r="G252" s="2">
        <f>IFERROR(__xludf.DUMMYFUNCTION("""COMPUTED_VALUE"""),75.367)</f>
        <v>75.367</v>
      </c>
    </row>
    <row r="253">
      <c r="A253" s="1" t="s">
        <v>252</v>
      </c>
      <c r="D253" s="3">
        <f>IFERROR(__xludf.DUMMYFUNCTION("SPLIT(A253, ""|"")"),43001.0)</f>
        <v>43001</v>
      </c>
      <c r="E253" s="2">
        <f>IFERROR(__xludf.DUMMYFUNCTION("""COMPUTED_VALUE"""),1418103.0)</f>
        <v>1418103</v>
      </c>
      <c r="F253" s="2">
        <f>IFERROR(__xludf.DUMMYFUNCTION("""COMPUTED_VALUE"""),3811686.0)</f>
        <v>3811686</v>
      </c>
      <c r="G253" s="2">
        <f>IFERROR(__xludf.DUMMYFUNCTION("""COMPUTED_VALUE"""),123.9495)</f>
        <v>123.9495</v>
      </c>
    </row>
    <row r="254">
      <c r="A254" s="1" t="s">
        <v>253</v>
      </c>
      <c r="D254" s="3">
        <f>IFERROR(__xludf.DUMMYFUNCTION("SPLIT(A254, ""|"")"),43001.0)</f>
        <v>43001</v>
      </c>
      <c r="E254" s="2">
        <f>IFERROR(__xludf.DUMMYFUNCTION("""COMPUTED_VALUE"""),146283.0)</f>
        <v>146283</v>
      </c>
      <c r="F254" s="2">
        <f>IFERROR(__xludf.DUMMYFUNCTION("""COMPUTED_VALUE"""),3811749.0)</f>
        <v>3811749</v>
      </c>
      <c r="G254" s="2">
        <f>IFERROR(__xludf.DUMMYFUNCTION("""COMPUTED_VALUE"""),161.1)</f>
        <v>161.1</v>
      </c>
    </row>
    <row r="255">
      <c r="A255" s="1" t="s">
        <v>254</v>
      </c>
      <c r="D255" s="3">
        <f>IFERROR(__xludf.DUMMYFUNCTION("SPLIT(A255, ""|"")"),43001.0)</f>
        <v>43001</v>
      </c>
      <c r="E255" s="2">
        <f>IFERROR(__xludf.DUMMYFUNCTION("""COMPUTED_VALUE"""),392763.0)</f>
        <v>392763</v>
      </c>
      <c r="F255" s="2">
        <f>IFERROR(__xludf.DUMMYFUNCTION("""COMPUTED_VALUE"""),3811600.0)</f>
        <v>3811600</v>
      </c>
      <c r="G255" s="2">
        <f>IFERROR(__xludf.DUMMYFUNCTION("""COMPUTED_VALUE"""),70.4275)</f>
        <v>70.4275</v>
      </c>
    </row>
    <row r="256">
      <c r="A256" s="1" t="s">
        <v>255</v>
      </c>
      <c r="D256" s="3">
        <f>IFERROR(__xludf.DUMMYFUNCTION("SPLIT(A256, ""|"")"),43001.0)</f>
        <v>43001</v>
      </c>
      <c r="E256" s="2">
        <f>IFERROR(__xludf.DUMMYFUNCTION("""COMPUTED_VALUE"""),1360113.0)</f>
        <v>1360113</v>
      </c>
      <c r="F256" s="2">
        <f>IFERROR(__xludf.DUMMYFUNCTION("""COMPUTED_VALUE"""),3812078.0)</f>
        <v>3812078</v>
      </c>
      <c r="G256" s="2">
        <f>IFERROR(__xludf.DUMMYFUNCTION("""COMPUTED_VALUE"""),67.0397999999999)</f>
        <v>67.0398</v>
      </c>
    </row>
    <row r="257">
      <c r="A257" s="1" t="s">
        <v>256</v>
      </c>
      <c r="D257" s="3">
        <f>IFERROR(__xludf.DUMMYFUNCTION("SPLIT(A257, ""|"")"),43257.0)</f>
        <v>43257</v>
      </c>
      <c r="E257" s="2">
        <f>IFERROR(__xludf.DUMMYFUNCTION("""COMPUTED_VALUE"""),1567323.0)</f>
        <v>1567323</v>
      </c>
      <c r="F257" s="2">
        <f>IFERROR(__xludf.DUMMYFUNCTION("""COMPUTED_VALUE"""),4525857.0)</f>
        <v>4525857</v>
      </c>
      <c r="G257" s="2">
        <f>IFERROR(__xludf.DUMMYFUNCTION("""COMPUTED_VALUE"""),26.771)</f>
        <v>26.771</v>
      </c>
    </row>
    <row r="258">
      <c r="A258" s="1" t="s">
        <v>257</v>
      </c>
      <c r="D258" s="3">
        <f>IFERROR(__xludf.DUMMYFUNCTION("SPLIT(A258, ""|"")"),43257.0)</f>
        <v>43257</v>
      </c>
      <c r="E258" s="2">
        <f>IFERROR(__xludf.DUMMYFUNCTION("""COMPUTED_VALUE"""),1387113.0)</f>
        <v>1387113</v>
      </c>
      <c r="F258" s="2">
        <f>IFERROR(__xludf.DUMMYFUNCTION("""COMPUTED_VALUE"""),4524924.0)</f>
        <v>4524924</v>
      </c>
      <c r="G258" s="2">
        <f>IFERROR(__xludf.DUMMYFUNCTION("""COMPUTED_VALUE"""),187.021699999999)</f>
        <v>187.0217</v>
      </c>
    </row>
    <row r="259">
      <c r="A259" s="1" t="s">
        <v>258</v>
      </c>
      <c r="D259" s="3">
        <f>IFERROR(__xludf.DUMMYFUNCTION("SPLIT(A259, ""|"")"),43257.0)</f>
        <v>43257</v>
      </c>
      <c r="E259" s="2">
        <f>IFERROR(__xludf.DUMMYFUNCTION("""COMPUTED_VALUE"""),1593933.0)</f>
        <v>1593933</v>
      </c>
      <c r="F259" s="2">
        <f>IFERROR(__xludf.DUMMYFUNCTION("""COMPUTED_VALUE"""),4523901.0)</f>
        <v>4523901</v>
      </c>
      <c r="G259" s="2">
        <f>IFERROR(__xludf.DUMMYFUNCTION("""COMPUTED_VALUE"""),16.6583)</f>
        <v>16.6583</v>
      </c>
    </row>
    <row r="260">
      <c r="A260" s="1" t="s">
        <v>259</v>
      </c>
      <c r="D260" s="3">
        <f>IFERROR(__xludf.DUMMYFUNCTION("SPLIT(A260, ""|"")"),43257.0)</f>
        <v>43257</v>
      </c>
      <c r="E260" s="2">
        <f>IFERROR(__xludf.DUMMYFUNCTION("""COMPUTED_VALUE"""),1607913.0)</f>
        <v>1607913</v>
      </c>
      <c r="F260" s="2">
        <f>IFERROR(__xludf.DUMMYFUNCTION("""COMPUTED_VALUE"""),4525766.0)</f>
        <v>4525766</v>
      </c>
      <c r="G260" s="2">
        <f>IFERROR(__xludf.DUMMYFUNCTION("""COMPUTED_VALUE"""),51.2724999999999)</f>
        <v>51.2725</v>
      </c>
    </row>
    <row r="261">
      <c r="A261" s="1" t="s">
        <v>260</v>
      </c>
      <c r="D261" s="3">
        <f>IFERROR(__xludf.DUMMYFUNCTION("SPLIT(A261, ""|"")"),43002.0)</f>
        <v>43002</v>
      </c>
      <c r="E261" s="2">
        <f>IFERROR(__xludf.DUMMYFUNCTION("""COMPUTED_VALUE"""),91623.0)</f>
        <v>91623</v>
      </c>
      <c r="F261" s="2">
        <f>IFERROR(__xludf.DUMMYFUNCTION("""COMPUTED_VALUE"""),3814270.0)</f>
        <v>3814270</v>
      </c>
      <c r="G261" s="2">
        <f>IFERROR(__xludf.DUMMYFUNCTION("""COMPUTED_VALUE"""),25.3017)</f>
        <v>25.3017</v>
      </c>
    </row>
    <row r="262">
      <c r="A262" s="1" t="s">
        <v>261</v>
      </c>
      <c r="D262" s="3">
        <f>IFERROR(__xludf.DUMMYFUNCTION("SPLIT(A262, ""|"")"),43002.0)</f>
        <v>43002</v>
      </c>
      <c r="E262" s="2">
        <f>IFERROR(__xludf.DUMMYFUNCTION("""COMPUTED_VALUE"""),1292223.0)</f>
        <v>1292223</v>
      </c>
      <c r="F262" s="2">
        <f>IFERROR(__xludf.DUMMYFUNCTION("""COMPUTED_VALUE"""),3814625.0)</f>
        <v>3814625</v>
      </c>
      <c r="G262" s="2">
        <f>IFERROR(__xludf.DUMMYFUNCTION("""COMPUTED_VALUE"""),55.68)</f>
        <v>55.68</v>
      </c>
    </row>
    <row r="263">
      <c r="A263" s="1" t="s">
        <v>262</v>
      </c>
      <c r="D263" s="3">
        <f>IFERROR(__xludf.DUMMYFUNCTION("SPLIT(A263, ""|"")"),43002.0)</f>
        <v>43002</v>
      </c>
      <c r="E263" s="2">
        <f>IFERROR(__xludf.DUMMYFUNCTION("""COMPUTED_VALUE"""),257913.0)</f>
        <v>257913</v>
      </c>
      <c r="F263" s="2">
        <f>IFERROR(__xludf.DUMMYFUNCTION("""COMPUTED_VALUE"""),3814871.0)</f>
        <v>3814871</v>
      </c>
      <c r="G263" s="2">
        <f>IFERROR(__xludf.DUMMYFUNCTION("""COMPUTED_VALUE"""),153.3209)</f>
        <v>153.3209</v>
      </c>
    </row>
    <row r="264">
      <c r="A264" s="1" t="s">
        <v>263</v>
      </c>
      <c r="D264" s="3">
        <f>IFERROR(__xludf.DUMMYFUNCTION("SPLIT(A264, ""|"")"),43002.0)</f>
        <v>43002</v>
      </c>
      <c r="E264" s="2">
        <f>IFERROR(__xludf.DUMMYFUNCTION("""COMPUTED_VALUE"""),1223523.0)</f>
        <v>1223523</v>
      </c>
      <c r="F264" s="2">
        <f>IFERROR(__xludf.DUMMYFUNCTION("""COMPUTED_VALUE"""),3814931.0)</f>
        <v>3814931</v>
      </c>
      <c r="G264" s="2">
        <f>IFERROR(__xludf.DUMMYFUNCTION("""COMPUTED_VALUE"""),145.4638)</f>
        <v>145.4638</v>
      </c>
    </row>
    <row r="265">
      <c r="A265" s="1" t="s">
        <v>264</v>
      </c>
      <c r="D265" s="3">
        <f>IFERROR(__xludf.DUMMYFUNCTION("SPLIT(A265, ""|"")"),43002.0)</f>
        <v>43002</v>
      </c>
      <c r="E265" s="2">
        <f>IFERROR(__xludf.DUMMYFUNCTION("""COMPUTED_VALUE"""),1165353.0)</f>
        <v>1165353</v>
      </c>
      <c r="F265" s="2">
        <f>IFERROR(__xludf.DUMMYFUNCTION("""COMPUTED_VALUE"""),3814266.0)</f>
        <v>3814266</v>
      </c>
      <c r="G265" s="2">
        <f>IFERROR(__xludf.DUMMYFUNCTION("""COMPUTED_VALUE"""),79.7876999999999)</f>
        <v>79.7877</v>
      </c>
    </row>
    <row r="266">
      <c r="A266" s="1" t="s">
        <v>265</v>
      </c>
      <c r="D266" s="3">
        <f>IFERROR(__xludf.DUMMYFUNCTION("SPLIT(A266, ""|"")"),43002.0)</f>
        <v>43002</v>
      </c>
      <c r="E266" s="2">
        <f>IFERROR(__xludf.DUMMYFUNCTION("""COMPUTED_VALUE"""),257913.0)</f>
        <v>257913</v>
      </c>
      <c r="F266" s="2">
        <f>IFERROR(__xludf.DUMMYFUNCTION("""COMPUTED_VALUE"""),3814832.0)</f>
        <v>3814832</v>
      </c>
      <c r="G266" s="2">
        <f>IFERROR(__xludf.DUMMYFUNCTION("""COMPUTED_VALUE"""),8.25)</f>
        <v>8.25</v>
      </c>
    </row>
    <row r="267">
      <c r="A267" s="1" t="s">
        <v>266</v>
      </c>
      <c r="D267" s="3">
        <f>IFERROR(__xludf.DUMMYFUNCTION("SPLIT(A267, ""|"")"),43258.0)</f>
        <v>43258</v>
      </c>
      <c r="E267" s="2">
        <f>IFERROR(__xludf.DUMMYFUNCTION("""COMPUTED_VALUE"""),1608363.0)</f>
        <v>1608363</v>
      </c>
      <c r="F267" s="2">
        <f>IFERROR(__xludf.DUMMYFUNCTION("""COMPUTED_VALUE"""),4527624.0)</f>
        <v>4527624</v>
      </c>
      <c r="G267" s="2">
        <f>IFERROR(__xludf.DUMMYFUNCTION("""COMPUTED_VALUE"""),36.6616999999999)</f>
        <v>36.6617</v>
      </c>
    </row>
    <row r="268">
      <c r="A268" s="1" t="s">
        <v>267</v>
      </c>
      <c r="D268" s="3">
        <f>IFERROR(__xludf.DUMMYFUNCTION("SPLIT(A268, ""|"")"),43258.0)</f>
        <v>43258</v>
      </c>
      <c r="E268" s="2">
        <f>IFERROR(__xludf.DUMMYFUNCTION("""COMPUTED_VALUE"""),1608123.0)</f>
        <v>1608123</v>
      </c>
      <c r="F268" s="2">
        <f>IFERROR(__xludf.DUMMYFUNCTION("""COMPUTED_VALUE"""),4526536.0)</f>
        <v>4526536</v>
      </c>
      <c r="G268" s="2">
        <f>IFERROR(__xludf.DUMMYFUNCTION("""COMPUTED_VALUE"""),5.6322)</f>
        <v>5.6322</v>
      </c>
    </row>
    <row r="269">
      <c r="A269" s="1" t="s">
        <v>268</v>
      </c>
      <c r="D269" s="3">
        <f>IFERROR(__xludf.DUMMYFUNCTION("SPLIT(A269, ""|"")"),43258.0)</f>
        <v>43258</v>
      </c>
      <c r="E269" s="2">
        <f>IFERROR(__xludf.DUMMYFUNCTION("""COMPUTED_VALUE"""),1608423.0)</f>
        <v>1608423</v>
      </c>
      <c r="F269" s="2">
        <f>IFERROR(__xludf.DUMMYFUNCTION("""COMPUTED_VALUE"""),4527721.0)</f>
        <v>4527721</v>
      </c>
      <c r="G269" s="2">
        <f>IFERROR(__xludf.DUMMYFUNCTION("""COMPUTED_VALUE"""),39.7457)</f>
        <v>39.7457</v>
      </c>
    </row>
    <row r="270">
      <c r="A270" s="1" t="s">
        <v>269</v>
      </c>
      <c r="D270" s="3">
        <f>IFERROR(__xludf.DUMMYFUNCTION("SPLIT(A270, ""|"")"),43258.0)</f>
        <v>43258</v>
      </c>
      <c r="E270" s="2">
        <f>IFERROR(__xludf.DUMMYFUNCTION("""COMPUTED_VALUE"""),1547883.0)</f>
        <v>1547883</v>
      </c>
      <c r="F270" s="2">
        <f>IFERROR(__xludf.DUMMYFUNCTION("""COMPUTED_VALUE"""),4526635.0)</f>
        <v>4526635</v>
      </c>
      <c r="G270" s="2">
        <f>IFERROR(__xludf.DUMMYFUNCTION("""COMPUTED_VALUE"""),87.3214)</f>
        <v>87.3214</v>
      </c>
    </row>
    <row r="271">
      <c r="A271" s="1" t="s">
        <v>270</v>
      </c>
      <c r="D271" s="3">
        <f>IFERROR(__xludf.DUMMYFUNCTION("SPLIT(A271, ""|"")"),43258.0)</f>
        <v>43258</v>
      </c>
      <c r="E271" s="2">
        <f>IFERROR(__xludf.DUMMYFUNCTION("""COMPUTED_VALUE"""),1271673.0)</f>
        <v>1271673</v>
      </c>
      <c r="F271" s="2">
        <f>IFERROR(__xludf.DUMMYFUNCTION("""COMPUTED_VALUE"""),4527948.0)</f>
        <v>4527948</v>
      </c>
      <c r="G271" s="2">
        <f>IFERROR(__xludf.DUMMYFUNCTION("""COMPUTED_VALUE"""),60.9424999999999)</f>
        <v>60.9425</v>
      </c>
    </row>
    <row r="272">
      <c r="A272" s="1" t="s">
        <v>271</v>
      </c>
      <c r="D272" s="3">
        <f>IFERROR(__xludf.DUMMYFUNCTION("SPLIT(A272, ""|"")"),43258.0)</f>
        <v>43258</v>
      </c>
      <c r="E272" s="2">
        <f>IFERROR(__xludf.DUMMYFUNCTION("""COMPUTED_VALUE"""),430593.0)</f>
        <v>430593</v>
      </c>
      <c r="F272" s="2">
        <f>IFERROR(__xludf.DUMMYFUNCTION("""COMPUTED_VALUE"""),4527448.0)</f>
        <v>4527448</v>
      </c>
      <c r="G272" s="2">
        <f>IFERROR(__xludf.DUMMYFUNCTION("""COMPUTED_VALUE"""),89.6037999999999)</f>
        <v>89.6038</v>
      </c>
    </row>
    <row r="273">
      <c r="A273" s="1" t="s">
        <v>272</v>
      </c>
      <c r="D273" s="3">
        <f>IFERROR(__xludf.DUMMYFUNCTION("SPLIT(A273, ""|"")"),43258.0)</f>
        <v>43258</v>
      </c>
      <c r="E273" s="2">
        <f>IFERROR(__xludf.DUMMYFUNCTION("""COMPUTED_VALUE"""),423153.0)</f>
        <v>423153</v>
      </c>
      <c r="F273" s="2">
        <f>IFERROR(__xludf.DUMMYFUNCTION("""COMPUTED_VALUE"""),4526665.0)</f>
        <v>4526665</v>
      </c>
      <c r="G273" s="2">
        <f>IFERROR(__xludf.DUMMYFUNCTION("""COMPUTED_VALUE"""),127.002199999999)</f>
        <v>127.0022</v>
      </c>
    </row>
    <row r="274">
      <c r="A274" s="1" t="s">
        <v>273</v>
      </c>
      <c r="D274" s="3">
        <f>IFERROR(__xludf.DUMMYFUNCTION("SPLIT(A274, ""|"")"),43258.0)</f>
        <v>43258</v>
      </c>
      <c r="E274" s="2">
        <f>IFERROR(__xludf.DUMMYFUNCTION("""COMPUTED_VALUE"""),1491483.0)</f>
        <v>1491483</v>
      </c>
      <c r="F274" s="2">
        <f>IFERROR(__xludf.DUMMYFUNCTION("""COMPUTED_VALUE"""),4527986.0)</f>
        <v>4527986</v>
      </c>
      <c r="G274" s="2">
        <f>IFERROR(__xludf.DUMMYFUNCTION("""COMPUTED_VALUE"""),236.5695)</f>
        <v>236.5695</v>
      </c>
    </row>
    <row r="275">
      <c r="A275" s="1" t="s">
        <v>274</v>
      </c>
      <c r="D275" s="3">
        <f>IFERROR(__xludf.DUMMYFUNCTION("SPLIT(A275, ""|"")"),43003.0)</f>
        <v>43003</v>
      </c>
      <c r="E275" s="2">
        <f>IFERROR(__xludf.DUMMYFUNCTION("""COMPUTED_VALUE"""),1419393.0)</f>
        <v>1419393</v>
      </c>
      <c r="F275" s="2">
        <f>IFERROR(__xludf.DUMMYFUNCTION("""COMPUTED_VALUE"""),3817001.0)</f>
        <v>3817001</v>
      </c>
      <c r="G275" s="2">
        <f>IFERROR(__xludf.DUMMYFUNCTION("""COMPUTED_VALUE"""),70.7295999999999)</f>
        <v>70.7296</v>
      </c>
    </row>
    <row r="276">
      <c r="A276" s="1" t="s">
        <v>275</v>
      </c>
      <c r="D276" s="3">
        <f>IFERROR(__xludf.DUMMYFUNCTION("SPLIT(A276, ""|"")"),43003.0)</f>
        <v>43003</v>
      </c>
      <c r="E276" s="2">
        <f>IFERROR(__xludf.DUMMYFUNCTION("""COMPUTED_VALUE"""),1238283.0)</f>
        <v>1238283</v>
      </c>
      <c r="F276" s="2">
        <f>IFERROR(__xludf.DUMMYFUNCTION("""COMPUTED_VALUE"""),3817056.0)</f>
        <v>3817056</v>
      </c>
      <c r="G276" s="2">
        <f>IFERROR(__xludf.DUMMYFUNCTION("""COMPUTED_VALUE"""),161.5746)</f>
        <v>161.5746</v>
      </c>
    </row>
    <row r="277">
      <c r="A277" s="1" t="s">
        <v>276</v>
      </c>
      <c r="D277" s="3">
        <f>IFERROR(__xludf.DUMMYFUNCTION("SPLIT(A277, ""|"")"),43003.0)</f>
        <v>43003</v>
      </c>
      <c r="E277" s="2">
        <f>IFERROR(__xludf.DUMMYFUNCTION("""COMPUTED_VALUE"""),1398753.0)</f>
        <v>1398753</v>
      </c>
      <c r="F277" s="2">
        <f>IFERROR(__xludf.DUMMYFUNCTION("""COMPUTED_VALUE"""),3816917.0)</f>
        <v>3816917</v>
      </c>
      <c r="G277" s="2">
        <f>IFERROR(__xludf.DUMMYFUNCTION("""COMPUTED_VALUE"""),110.3018)</f>
        <v>110.3018</v>
      </c>
    </row>
    <row r="278">
      <c r="A278" s="1" t="s">
        <v>277</v>
      </c>
      <c r="D278" s="3">
        <f>IFERROR(__xludf.DUMMYFUNCTION("SPLIT(A278, ""|"")"),43003.0)</f>
        <v>43003</v>
      </c>
      <c r="E278" s="2">
        <f>IFERROR(__xludf.DUMMYFUNCTION("""COMPUTED_VALUE"""),1173993.0)</f>
        <v>1173993</v>
      </c>
      <c r="F278" s="2">
        <f>IFERROR(__xludf.DUMMYFUNCTION("""COMPUTED_VALUE"""),3817216.0)</f>
        <v>3817216</v>
      </c>
      <c r="G278" s="2">
        <f>IFERROR(__xludf.DUMMYFUNCTION("""COMPUTED_VALUE"""),8.25)</f>
        <v>8.25</v>
      </c>
    </row>
    <row r="279">
      <c r="A279" s="1" t="s">
        <v>278</v>
      </c>
      <c r="D279" s="3">
        <f>IFERROR(__xludf.DUMMYFUNCTION("SPLIT(A279, ""|"")"),43003.0)</f>
        <v>43003</v>
      </c>
      <c r="E279" s="2">
        <f>IFERROR(__xludf.DUMMYFUNCTION("""COMPUTED_VALUE"""),1367313.0)</f>
        <v>1367313</v>
      </c>
      <c r="F279" s="2">
        <f>IFERROR(__xludf.DUMMYFUNCTION("""COMPUTED_VALUE"""),3815830.0)</f>
        <v>3815830</v>
      </c>
      <c r="G279" s="2">
        <f>IFERROR(__xludf.DUMMYFUNCTION("""COMPUTED_VALUE"""),52.8653999999999)</f>
        <v>52.8654</v>
      </c>
    </row>
    <row r="280">
      <c r="A280" s="1" t="s">
        <v>279</v>
      </c>
      <c r="D280" s="3">
        <f>IFERROR(__xludf.DUMMYFUNCTION("SPLIT(A280, ""|"")"),43003.0)</f>
        <v>43003</v>
      </c>
      <c r="E280" s="2">
        <f>IFERROR(__xludf.DUMMYFUNCTION("""COMPUTED_VALUE"""),1173993.0)</f>
        <v>1173993</v>
      </c>
      <c r="F280" s="2">
        <f>IFERROR(__xludf.DUMMYFUNCTION("""COMPUTED_VALUE"""),3817387.0)</f>
        <v>3817387</v>
      </c>
      <c r="G280" s="2">
        <f>IFERROR(__xludf.DUMMYFUNCTION("""COMPUTED_VALUE"""),79.6938)</f>
        <v>79.6938</v>
      </c>
    </row>
    <row r="281">
      <c r="A281" s="1" t="s">
        <v>280</v>
      </c>
      <c r="D281" s="3">
        <f>IFERROR(__xludf.DUMMYFUNCTION("SPLIT(A281, ""|"")"),43003.0)</f>
        <v>43003</v>
      </c>
      <c r="E281" s="2">
        <f>IFERROR(__xludf.DUMMYFUNCTION("""COMPUTED_VALUE"""),1393623.0)</f>
        <v>1393623</v>
      </c>
      <c r="F281" s="2">
        <f>IFERROR(__xludf.DUMMYFUNCTION("""COMPUTED_VALUE"""),3817236.0)</f>
        <v>3817236</v>
      </c>
      <c r="G281" s="2">
        <f>IFERROR(__xludf.DUMMYFUNCTION("""COMPUTED_VALUE"""),117.9553)</f>
        <v>117.9553</v>
      </c>
    </row>
    <row r="282">
      <c r="A282" s="1" t="s">
        <v>281</v>
      </c>
      <c r="D282" s="3">
        <f>IFERROR(__xludf.DUMMYFUNCTION("SPLIT(A282, ""|"")"),43003.0)</f>
        <v>43003</v>
      </c>
      <c r="E282" s="2">
        <f>IFERROR(__xludf.DUMMYFUNCTION("""COMPUTED_VALUE"""),1419603.0)</f>
        <v>1419603</v>
      </c>
      <c r="F282" s="2">
        <f>IFERROR(__xludf.DUMMYFUNCTION("""COMPUTED_VALUE"""),3817862.0)</f>
        <v>3817862</v>
      </c>
      <c r="G282" s="2">
        <f>IFERROR(__xludf.DUMMYFUNCTION("""COMPUTED_VALUE"""),69.0747)</f>
        <v>69.0747</v>
      </c>
    </row>
    <row r="283">
      <c r="A283" s="1" t="s">
        <v>282</v>
      </c>
      <c r="D283" s="3">
        <f>IFERROR(__xludf.DUMMYFUNCTION("SPLIT(A283, ""|"")"),43003.0)</f>
        <v>43003</v>
      </c>
      <c r="E283" s="2">
        <f>IFERROR(__xludf.DUMMYFUNCTION("""COMPUTED_VALUE"""),1406463.0)</f>
        <v>1406463</v>
      </c>
      <c r="F283" s="2">
        <f>IFERROR(__xludf.DUMMYFUNCTION("""COMPUTED_VALUE"""),3816837.0)</f>
        <v>3816837</v>
      </c>
      <c r="G283" s="2">
        <f>IFERROR(__xludf.DUMMYFUNCTION("""COMPUTED_VALUE"""),46.8236)</f>
        <v>46.8236</v>
      </c>
    </row>
    <row r="284">
      <c r="A284" s="1" t="s">
        <v>283</v>
      </c>
      <c r="D284" s="3">
        <f>IFERROR(__xludf.DUMMYFUNCTION("SPLIT(A284, ""|"")"),43259.0)</f>
        <v>43259</v>
      </c>
      <c r="E284" s="2">
        <f>IFERROR(__xludf.DUMMYFUNCTION("""COMPUTED_VALUE"""),1128333.0)</f>
        <v>1128333</v>
      </c>
      <c r="F284" s="2">
        <f>IFERROR(__xludf.DUMMYFUNCTION("""COMPUTED_VALUE"""),4529617.0)</f>
        <v>4529617</v>
      </c>
      <c r="G284" s="2">
        <f>IFERROR(__xludf.DUMMYFUNCTION("""COMPUTED_VALUE"""),45.1625)</f>
        <v>45.1625</v>
      </c>
    </row>
    <row r="285">
      <c r="A285" s="1" t="s">
        <v>284</v>
      </c>
      <c r="D285" s="3">
        <f>IFERROR(__xludf.DUMMYFUNCTION("SPLIT(A285, ""|"")"),43259.0)</f>
        <v>43259</v>
      </c>
      <c r="E285" s="2">
        <f>IFERROR(__xludf.DUMMYFUNCTION("""COMPUTED_VALUE"""),1533183.0)</f>
        <v>1533183</v>
      </c>
      <c r="F285" s="2">
        <f>IFERROR(__xludf.DUMMYFUNCTION("""COMPUTED_VALUE"""),4529434.0)</f>
        <v>4529434</v>
      </c>
      <c r="G285" s="2">
        <f>IFERROR(__xludf.DUMMYFUNCTION("""COMPUTED_VALUE"""),46.0169)</f>
        <v>46.0169</v>
      </c>
    </row>
    <row r="286">
      <c r="A286" s="1" t="s">
        <v>285</v>
      </c>
      <c r="D286" s="3">
        <f>IFERROR(__xludf.DUMMYFUNCTION("SPLIT(A286, ""|"")"),43259.0)</f>
        <v>43259</v>
      </c>
      <c r="E286" s="2">
        <f>IFERROR(__xludf.DUMMYFUNCTION("""COMPUTED_VALUE"""),1513473.0)</f>
        <v>1513473</v>
      </c>
      <c r="F286" s="2">
        <f>IFERROR(__xludf.DUMMYFUNCTION("""COMPUTED_VALUE"""),4528659.0)</f>
        <v>4528659</v>
      </c>
      <c r="G286" s="2">
        <f>IFERROR(__xludf.DUMMYFUNCTION("""COMPUTED_VALUE"""),60.2717)</f>
        <v>60.2717</v>
      </c>
    </row>
    <row r="287">
      <c r="A287" s="1" t="s">
        <v>286</v>
      </c>
      <c r="D287" s="3">
        <f>IFERROR(__xludf.DUMMYFUNCTION("SPLIT(A287, ""|"")"),43259.0)</f>
        <v>43259</v>
      </c>
      <c r="E287" s="2">
        <f>IFERROR(__xludf.DUMMYFUNCTION("""COMPUTED_VALUE"""),426423.0)</f>
        <v>426423</v>
      </c>
      <c r="F287" s="2">
        <f>IFERROR(__xludf.DUMMYFUNCTION("""COMPUTED_VALUE"""),4528986.0)</f>
        <v>4528986</v>
      </c>
      <c r="G287" s="2">
        <f>IFERROR(__xludf.DUMMYFUNCTION("""COMPUTED_VALUE"""),98.0017999999999)</f>
        <v>98.0018</v>
      </c>
    </row>
    <row r="288">
      <c r="A288" s="1" t="s">
        <v>287</v>
      </c>
      <c r="D288" s="3">
        <f>IFERROR(__xludf.DUMMYFUNCTION("SPLIT(A288, ""|"")"),43004.0)</f>
        <v>43004</v>
      </c>
      <c r="E288" s="2">
        <f>IFERROR(__xludf.DUMMYFUNCTION("""COMPUTED_VALUE"""),1418553.0)</f>
        <v>1418553</v>
      </c>
      <c r="F288" s="2">
        <f>IFERROR(__xludf.DUMMYFUNCTION("""COMPUTED_VALUE"""),3820780.0)</f>
        <v>3820780</v>
      </c>
      <c r="G288" s="2">
        <f>IFERROR(__xludf.DUMMYFUNCTION("""COMPUTED_VALUE"""),97.9088999999999)</f>
        <v>97.9089</v>
      </c>
    </row>
    <row r="289">
      <c r="A289" s="1" t="s">
        <v>288</v>
      </c>
      <c r="D289" s="3">
        <f>IFERROR(__xludf.DUMMYFUNCTION("SPLIT(A289, ""|"")"),43004.0)</f>
        <v>43004</v>
      </c>
      <c r="E289" s="2">
        <f>IFERROR(__xludf.DUMMYFUNCTION("""COMPUTED_VALUE"""),1368123.0)</f>
        <v>1368123</v>
      </c>
      <c r="F289" s="2">
        <f>IFERROR(__xludf.DUMMYFUNCTION("""COMPUTED_VALUE"""),3819192.0)</f>
        <v>3819192</v>
      </c>
      <c r="G289" s="2">
        <f>IFERROR(__xludf.DUMMYFUNCTION("""COMPUTED_VALUE"""),61.8111999999999)</f>
        <v>61.8112</v>
      </c>
    </row>
    <row r="290">
      <c r="A290" s="1" t="s">
        <v>289</v>
      </c>
      <c r="D290" s="3">
        <f>IFERROR(__xludf.DUMMYFUNCTION("SPLIT(A290, ""|"")"),43260.0)</f>
        <v>43260</v>
      </c>
      <c r="E290" s="2">
        <f>IFERROR(__xludf.DUMMYFUNCTION("""COMPUTED_VALUE"""),1046973.0)</f>
        <v>1046973</v>
      </c>
      <c r="F290" s="2">
        <f>IFERROR(__xludf.DUMMYFUNCTION("""COMPUTED_VALUE"""),4530453.0)</f>
        <v>4530453</v>
      </c>
      <c r="G290" s="2">
        <f>IFERROR(__xludf.DUMMYFUNCTION("""COMPUTED_VALUE"""),67.8729)</f>
        <v>67.8729</v>
      </c>
    </row>
    <row r="291">
      <c r="A291" s="1" t="s">
        <v>290</v>
      </c>
      <c r="D291" s="3">
        <f>IFERROR(__xludf.DUMMYFUNCTION("SPLIT(A291, ""|"")"),43260.0)</f>
        <v>43260</v>
      </c>
      <c r="E291" s="2">
        <f>IFERROR(__xludf.DUMMYFUNCTION("""COMPUTED_VALUE"""),1407333.0)</f>
        <v>1407333</v>
      </c>
      <c r="F291" s="2">
        <f>IFERROR(__xludf.DUMMYFUNCTION("""COMPUTED_VALUE"""),4530173.0)</f>
        <v>4530173</v>
      </c>
      <c r="G291" s="2">
        <f>IFERROR(__xludf.DUMMYFUNCTION("""COMPUTED_VALUE"""),113.776699999999)</f>
        <v>113.7767</v>
      </c>
    </row>
    <row r="292">
      <c r="A292" s="1" t="s">
        <v>291</v>
      </c>
      <c r="D292" s="3">
        <f>IFERROR(__xludf.DUMMYFUNCTION("SPLIT(A292, ""|"")"),43005.0)</f>
        <v>43005</v>
      </c>
      <c r="E292" s="2">
        <f>IFERROR(__xludf.DUMMYFUNCTION("""COMPUTED_VALUE"""),1420683.0)</f>
        <v>1420683</v>
      </c>
      <c r="F292" s="2">
        <f>IFERROR(__xludf.DUMMYFUNCTION("""COMPUTED_VALUE"""),3822414.0)</f>
        <v>3822414</v>
      </c>
      <c r="G292" s="2">
        <f>IFERROR(__xludf.DUMMYFUNCTION("""COMPUTED_VALUE"""),51.5833)</f>
        <v>51.5833</v>
      </c>
    </row>
    <row r="293">
      <c r="A293" s="1" t="s">
        <v>292</v>
      </c>
      <c r="D293" s="3">
        <f>IFERROR(__xludf.DUMMYFUNCTION("SPLIT(A293, ""|"")"),43005.0)</f>
        <v>43005</v>
      </c>
      <c r="E293" s="2">
        <f>IFERROR(__xludf.DUMMYFUNCTION("""COMPUTED_VALUE"""),1236423.0)</f>
        <v>1236423</v>
      </c>
      <c r="F293" s="2">
        <f>IFERROR(__xludf.DUMMYFUNCTION("""COMPUTED_VALUE"""),3823110.0)</f>
        <v>3823110</v>
      </c>
      <c r="G293" s="2">
        <f>IFERROR(__xludf.DUMMYFUNCTION("""COMPUTED_VALUE"""),26.1987)</f>
        <v>26.1987</v>
      </c>
    </row>
    <row r="294">
      <c r="A294" s="1" t="s">
        <v>293</v>
      </c>
      <c r="D294" s="3">
        <f>IFERROR(__xludf.DUMMYFUNCTION("SPLIT(A294, ""|"")"),43005.0)</f>
        <v>43005</v>
      </c>
      <c r="E294" s="2">
        <f>IFERROR(__xludf.DUMMYFUNCTION("""COMPUTED_VALUE"""),186663.0)</f>
        <v>186663</v>
      </c>
      <c r="F294" s="2">
        <f>IFERROR(__xludf.DUMMYFUNCTION("""COMPUTED_VALUE"""),3822021.0)</f>
        <v>3822021</v>
      </c>
      <c r="G294" s="2">
        <f>IFERROR(__xludf.DUMMYFUNCTION("""COMPUTED_VALUE"""),93.1996999999999)</f>
        <v>93.1997</v>
      </c>
    </row>
    <row r="295">
      <c r="A295" s="1" t="s">
        <v>294</v>
      </c>
      <c r="D295" s="3">
        <f>IFERROR(__xludf.DUMMYFUNCTION("SPLIT(A295, ""|"")"),43261.0)</f>
        <v>43261</v>
      </c>
      <c r="E295" s="2">
        <f>IFERROR(__xludf.DUMMYFUNCTION("""COMPUTED_VALUE"""),1435473.0)</f>
        <v>1435473</v>
      </c>
      <c r="F295" s="2">
        <f>IFERROR(__xludf.DUMMYFUNCTION("""COMPUTED_VALUE"""),4532626.0)</f>
        <v>4532626</v>
      </c>
      <c r="G295" s="2">
        <f>IFERROR(__xludf.DUMMYFUNCTION("""COMPUTED_VALUE"""),68.3507)</f>
        <v>68.3507</v>
      </c>
    </row>
    <row r="296">
      <c r="A296" s="1" t="s">
        <v>295</v>
      </c>
      <c r="D296" s="3">
        <f>IFERROR(__xludf.DUMMYFUNCTION("SPLIT(A296, ""|"")"),43261.0)</f>
        <v>43261</v>
      </c>
      <c r="E296" s="2">
        <f>IFERROR(__xludf.DUMMYFUNCTION("""COMPUTED_VALUE"""),142833.0)</f>
        <v>142833</v>
      </c>
      <c r="F296" s="2">
        <f>IFERROR(__xludf.DUMMYFUNCTION("""COMPUTED_VALUE"""),4531591.0)</f>
        <v>4531591</v>
      </c>
      <c r="G296" s="2">
        <f>IFERROR(__xludf.DUMMYFUNCTION("""COMPUTED_VALUE"""),41.8084)</f>
        <v>41.8084</v>
      </c>
    </row>
    <row r="297">
      <c r="A297" s="1" t="s">
        <v>296</v>
      </c>
      <c r="D297" s="3">
        <f>IFERROR(__xludf.DUMMYFUNCTION("SPLIT(A297, ""|"")"),43261.0)</f>
        <v>43261</v>
      </c>
      <c r="E297" s="2">
        <f>IFERROR(__xludf.DUMMYFUNCTION("""COMPUTED_VALUE"""),1609623.0)</f>
        <v>1609623</v>
      </c>
      <c r="F297" s="2">
        <f>IFERROR(__xludf.DUMMYFUNCTION("""COMPUTED_VALUE"""),4532333.0)</f>
        <v>4532333</v>
      </c>
      <c r="G297" s="2">
        <f>IFERROR(__xludf.DUMMYFUNCTION("""COMPUTED_VALUE"""),10.295)</f>
        <v>10.295</v>
      </c>
    </row>
    <row r="298">
      <c r="A298" s="1" t="s">
        <v>297</v>
      </c>
      <c r="D298" s="3">
        <f>IFERROR(__xludf.DUMMYFUNCTION("SPLIT(A298, ""|"")"),43261.0)</f>
        <v>43261</v>
      </c>
      <c r="E298" s="2">
        <f>IFERROR(__xludf.DUMMYFUNCTION("""COMPUTED_VALUE"""),1609473.0)</f>
        <v>1609473</v>
      </c>
      <c r="F298" s="2">
        <f>IFERROR(__xludf.DUMMYFUNCTION("""COMPUTED_VALUE"""),4531745.0)</f>
        <v>4531745</v>
      </c>
      <c r="G298" s="2">
        <f>IFERROR(__xludf.DUMMYFUNCTION("""COMPUTED_VALUE"""),20.4313)</f>
        <v>20.4313</v>
      </c>
    </row>
    <row r="299">
      <c r="A299" s="1" t="s">
        <v>298</v>
      </c>
      <c r="D299" s="3">
        <f>IFERROR(__xludf.DUMMYFUNCTION("SPLIT(A299, ""|"")"),43006.0)</f>
        <v>43006</v>
      </c>
      <c r="E299" s="2">
        <f>IFERROR(__xludf.DUMMYFUNCTION("""COMPUTED_VALUE"""),1149063.0)</f>
        <v>1149063</v>
      </c>
      <c r="F299" s="2">
        <f>IFERROR(__xludf.DUMMYFUNCTION("""COMPUTED_VALUE"""),3824569.0)</f>
        <v>3824569</v>
      </c>
      <c r="G299" s="2">
        <f>IFERROR(__xludf.DUMMYFUNCTION("""COMPUTED_VALUE"""),81.6052)</f>
        <v>81.6052</v>
      </c>
    </row>
    <row r="300">
      <c r="A300" s="1" t="s">
        <v>299</v>
      </c>
      <c r="D300" s="3">
        <f>IFERROR(__xludf.DUMMYFUNCTION("SPLIT(A300, ""|"")"),43006.0)</f>
        <v>43006</v>
      </c>
      <c r="E300" s="2">
        <f>IFERROR(__xludf.DUMMYFUNCTION("""COMPUTED_VALUE"""),1421403.0)</f>
        <v>1421403</v>
      </c>
      <c r="F300" s="2">
        <f>IFERROR(__xludf.DUMMYFUNCTION("""COMPUTED_VALUE"""),3825641.0)</f>
        <v>3825641</v>
      </c>
      <c r="G300" s="2">
        <f>IFERROR(__xludf.DUMMYFUNCTION("""COMPUTED_VALUE"""),54.0292)</f>
        <v>54.0292</v>
      </c>
    </row>
    <row r="301">
      <c r="A301" s="1" t="s">
        <v>300</v>
      </c>
      <c r="D301" s="3">
        <f>IFERROR(__xludf.DUMMYFUNCTION("SPLIT(A301, ""|"")"),43006.0)</f>
        <v>43006</v>
      </c>
      <c r="E301" s="2">
        <f>IFERROR(__xludf.DUMMYFUNCTION("""COMPUTED_VALUE"""),1421283.0)</f>
        <v>1421283</v>
      </c>
      <c r="F301" s="2">
        <f>IFERROR(__xludf.DUMMYFUNCTION("""COMPUTED_VALUE"""),3825173.0)</f>
        <v>3825173</v>
      </c>
      <c r="G301" s="2">
        <f>IFERROR(__xludf.DUMMYFUNCTION("""COMPUTED_VALUE"""),22.6507)</f>
        <v>22.6507</v>
      </c>
    </row>
    <row r="302">
      <c r="A302" s="1" t="s">
        <v>301</v>
      </c>
      <c r="D302" s="3">
        <f>IFERROR(__xludf.DUMMYFUNCTION("SPLIT(A302, ""|"")"),43006.0)</f>
        <v>43006</v>
      </c>
      <c r="E302" s="2">
        <f>IFERROR(__xludf.DUMMYFUNCTION("""COMPUTED_VALUE"""),91623.0)</f>
        <v>91623</v>
      </c>
      <c r="F302" s="2">
        <f>IFERROR(__xludf.DUMMYFUNCTION("""COMPUTED_VALUE"""),3823524.0)</f>
        <v>3823524</v>
      </c>
      <c r="G302" s="2">
        <f>IFERROR(__xludf.DUMMYFUNCTION("""COMPUTED_VALUE"""),34.7621)</f>
        <v>34.7621</v>
      </c>
    </row>
    <row r="303">
      <c r="A303" s="1" t="s">
        <v>302</v>
      </c>
      <c r="D303" s="3">
        <f>IFERROR(__xludf.DUMMYFUNCTION("SPLIT(A303, ""|"")"),43006.0)</f>
        <v>43006</v>
      </c>
      <c r="E303" s="2">
        <f>IFERROR(__xludf.DUMMYFUNCTION("""COMPUTED_VALUE"""),1323693.0)</f>
        <v>1323693</v>
      </c>
      <c r="F303" s="2">
        <f>IFERROR(__xludf.DUMMYFUNCTION("""COMPUTED_VALUE"""),3825232.0)</f>
        <v>3825232</v>
      </c>
      <c r="G303" s="2">
        <f>IFERROR(__xludf.DUMMYFUNCTION("""COMPUTED_VALUE"""),106.427699999999)</f>
        <v>106.4277</v>
      </c>
    </row>
    <row r="304">
      <c r="A304" s="1" t="s">
        <v>303</v>
      </c>
      <c r="D304" s="3">
        <f>IFERROR(__xludf.DUMMYFUNCTION("SPLIT(A304, ""|"")"),43006.0)</f>
        <v>43006</v>
      </c>
      <c r="E304" s="2">
        <f>IFERROR(__xludf.DUMMYFUNCTION("""COMPUTED_VALUE"""),1382673.0)</f>
        <v>1382673</v>
      </c>
      <c r="F304" s="2">
        <f>IFERROR(__xludf.DUMMYFUNCTION("""COMPUTED_VALUE"""),3824181.0)</f>
        <v>3824181</v>
      </c>
      <c r="G304" s="2">
        <f>IFERROR(__xludf.DUMMYFUNCTION("""COMPUTED_VALUE"""),36.9751)</f>
        <v>36.9751</v>
      </c>
    </row>
    <row r="305">
      <c r="A305" s="1" t="s">
        <v>304</v>
      </c>
      <c r="D305" s="3">
        <f>IFERROR(__xludf.DUMMYFUNCTION("SPLIT(A305, ""|"")"),43006.0)</f>
        <v>43006</v>
      </c>
      <c r="E305" s="2">
        <f>IFERROR(__xludf.DUMMYFUNCTION("""COMPUTED_VALUE"""),1234173.0)</f>
        <v>1234173</v>
      </c>
      <c r="F305" s="2">
        <f>IFERROR(__xludf.DUMMYFUNCTION("""COMPUTED_VALUE"""),3824045.0)</f>
        <v>3824045</v>
      </c>
      <c r="G305" s="2">
        <f>IFERROR(__xludf.DUMMYFUNCTION("""COMPUTED_VALUE"""),42.4125)</f>
        <v>42.4125</v>
      </c>
    </row>
    <row r="306">
      <c r="A306" s="1" t="s">
        <v>305</v>
      </c>
      <c r="D306" s="3">
        <f>IFERROR(__xludf.DUMMYFUNCTION("SPLIT(A306, ""|"")"),43262.0)</f>
        <v>43262</v>
      </c>
      <c r="E306" s="2">
        <f>IFERROR(__xludf.DUMMYFUNCTION("""COMPUTED_VALUE"""),1030023.0)</f>
        <v>1030023</v>
      </c>
      <c r="F306" s="2">
        <f>IFERROR(__xludf.DUMMYFUNCTION("""COMPUTED_VALUE"""),4534190.0)</f>
        <v>4534190</v>
      </c>
      <c r="G306" s="2">
        <f>IFERROR(__xludf.DUMMYFUNCTION("""COMPUTED_VALUE"""),119.296599999999)</f>
        <v>119.2966</v>
      </c>
    </row>
    <row r="307">
      <c r="A307" s="1" t="s">
        <v>306</v>
      </c>
      <c r="D307" s="3">
        <f>IFERROR(__xludf.DUMMYFUNCTION("SPLIT(A307, ""|"")"),43262.0)</f>
        <v>43262</v>
      </c>
      <c r="E307" s="2">
        <f>IFERROR(__xludf.DUMMYFUNCTION("""COMPUTED_VALUE"""),1606803.0)</f>
        <v>1606803</v>
      </c>
      <c r="F307" s="2">
        <f>IFERROR(__xludf.DUMMYFUNCTION("""COMPUTED_VALUE"""),4533982.0)</f>
        <v>4533982</v>
      </c>
      <c r="G307" s="2">
        <f>IFERROR(__xludf.DUMMYFUNCTION("""COMPUTED_VALUE"""),824.0119)</f>
        <v>824.0119</v>
      </c>
    </row>
    <row r="308">
      <c r="A308" s="1" t="s">
        <v>307</v>
      </c>
      <c r="D308" s="3">
        <f>IFERROR(__xludf.DUMMYFUNCTION("SPLIT(A308, ""|"")"),43262.0)</f>
        <v>43262</v>
      </c>
      <c r="E308" s="2">
        <f>IFERROR(__xludf.DUMMYFUNCTION("""COMPUTED_VALUE"""),1351803.0)</f>
        <v>1351803</v>
      </c>
      <c r="F308" s="2">
        <f>IFERROR(__xludf.DUMMYFUNCTION("""COMPUTED_VALUE"""),4535237.0)</f>
        <v>4535237</v>
      </c>
      <c r="G308" s="2">
        <f>IFERROR(__xludf.DUMMYFUNCTION("""COMPUTED_VALUE"""),117.210299999999)</f>
        <v>117.2103</v>
      </c>
    </row>
    <row r="309">
      <c r="A309" s="1" t="s">
        <v>308</v>
      </c>
      <c r="D309" s="3">
        <f>IFERROR(__xludf.DUMMYFUNCTION("SPLIT(A309, ""|"")"),43262.0)</f>
        <v>43262</v>
      </c>
      <c r="E309" s="2">
        <f>IFERROR(__xludf.DUMMYFUNCTION("""COMPUTED_VALUE"""),1404303.0)</f>
        <v>1404303</v>
      </c>
      <c r="F309" s="2">
        <f>IFERROR(__xludf.DUMMYFUNCTION("""COMPUTED_VALUE"""),4535938.0)</f>
        <v>4535938</v>
      </c>
      <c r="G309" s="2">
        <f>IFERROR(__xludf.DUMMYFUNCTION("""COMPUTED_VALUE"""),49.9167)</f>
        <v>49.9167</v>
      </c>
    </row>
    <row r="310">
      <c r="A310" s="1" t="s">
        <v>309</v>
      </c>
      <c r="D310" s="3">
        <f>IFERROR(__xludf.DUMMYFUNCTION("SPLIT(A310, ""|"")"),43262.0)</f>
        <v>43262</v>
      </c>
      <c r="E310" s="2">
        <f>IFERROR(__xludf.DUMMYFUNCTION("""COMPUTED_VALUE"""),1194483.0)</f>
        <v>1194483</v>
      </c>
      <c r="F310" s="2">
        <f>IFERROR(__xludf.DUMMYFUNCTION("""COMPUTED_VALUE"""),4535494.0)</f>
        <v>4535494</v>
      </c>
      <c r="G310" s="2">
        <f>IFERROR(__xludf.DUMMYFUNCTION("""COMPUTED_VALUE"""),110.7152)</f>
        <v>110.7152</v>
      </c>
    </row>
    <row r="311">
      <c r="A311" s="1" t="s">
        <v>310</v>
      </c>
      <c r="D311" s="3">
        <f>IFERROR(__xludf.DUMMYFUNCTION("SPLIT(A311, ""|"")"),43262.0)</f>
        <v>43262</v>
      </c>
      <c r="E311" s="2">
        <f>IFERROR(__xludf.DUMMYFUNCTION("""COMPUTED_VALUE"""),1610103.0)</f>
        <v>1610103</v>
      </c>
      <c r="F311" s="2">
        <f>IFERROR(__xludf.DUMMYFUNCTION("""COMPUTED_VALUE"""),4534664.0)</f>
        <v>4534664</v>
      </c>
      <c r="G311" s="2">
        <f>IFERROR(__xludf.DUMMYFUNCTION("""COMPUTED_VALUE"""),6.6)</f>
        <v>6.6</v>
      </c>
    </row>
    <row r="312">
      <c r="A312" s="1" t="s">
        <v>311</v>
      </c>
      <c r="D312" s="3">
        <f>IFERROR(__xludf.DUMMYFUNCTION("SPLIT(A312, ""|"")"),43262.0)</f>
        <v>43262</v>
      </c>
      <c r="E312" s="2">
        <f>IFERROR(__xludf.DUMMYFUNCTION("""COMPUTED_VALUE"""),407643.0)</f>
        <v>407643</v>
      </c>
      <c r="F312" s="2">
        <f>IFERROR(__xludf.DUMMYFUNCTION("""COMPUTED_VALUE"""),4534705.0)</f>
        <v>4534705</v>
      </c>
      <c r="G312" s="2">
        <f>IFERROR(__xludf.DUMMYFUNCTION("""COMPUTED_VALUE"""),72.4546)</f>
        <v>72.4546</v>
      </c>
    </row>
    <row r="313">
      <c r="A313" s="1" t="s">
        <v>312</v>
      </c>
      <c r="D313" s="3">
        <f>IFERROR(__xludf.DUMMYFUNCTION("SPLIT(A313, ""|"")"),43262.0)</f>
        <v>43262</v>
      </c>
      <c r="E313" s="2">
        <f>IFERROR(__xludf.DUMMYFUNCTION("""COMPUTED_VALUE"""),1267803.0)</f>
        <v>1267803</v>
      </c>
      <c r="F313" s="2">
        <f>IFERROR(__xludf.DUMMYFUNCTION("""COMPUTED_VALUE"""),4535619.0)</f>
        <v>4535619</v>
      </c>
      <c r="G313" s="2">
        <f>IFERROR(__xludf.DUMMYFUNCTION("""COMPUTED_VALUE"""),94.0475)</f>
        <v>94.0475</v>
      </c>
    </row>
    <row r="314">
      <c r="A314" s="1" t="s">
        <v>313</v>
      </c>
      <c r="D314" s="3">
        <f>IFERROR(__xludf.DUMMYFUNCTION("SPLIT(A314, ""|"")"),43007.0)</f>
        <v>43007</v>
      </c>
      <c r="E314" s="2">
        <f>IFERROR(__xludf.DUMMYFUNCTION("""COMPUTED_VALUE"""),1077423.0)</f>
        <v>1077423</v>
      </c>
      <c r="F314" s="2">
        <f>IFERROR(__xludf.DUMMYFUNCTION("""COMPUTED_VALUE"""),3826801.0)</f>
        <v>3826801</v>
      </c>
      <c r="G314" s="2">
        <f>IFERROR(__xludf.DUMMYFUNCTION("""COMPUTED_VALUE"""),172.886399999999)</f>
        <v>172.8864</v>
      </c>
    </row>
    <row r="315">
      <c r="A315" s="1" t="s">
        <v>314</v>
      </c>
      <c r="D315" s="3">
        <f>IFERROR(__xludf.DUMMYFUNCTION("SPLIT(A315, ""|"")"),43007.0)</f>
        <v>43007</v>
      </c>
      <c r="E315" s="2">
        <f>IFERROR(__xludf.DUMMYFUNCTION("""COMPUTED_VALUE"""),1328943.0)</f>
        <v>1328943</v>
      </c>
      <c r="F315" s="2">
        <f>IFERROR(__xludf.DUMMYFUNCTION("""COMPUTED_VALUE"""),3827937.0)</f>
        <v>3827937</v>
      </c>
      <c r="G315" s="2">
        <f>IFERROR(__xludf.DUMMYFUNCTION("""COMPUTED_VALUE"""),67.1820999999999)</f>
        <v>67.1821</v>
      </c>
    </row>
    <row r="316">
      <c r="A316" s="1" t="s">
        <v>315</v>
      </c>
      <c r="D316" s="3">
        <f>IFERROR(__xludf.DUMMYFUNCTION("SPLIT(A316, ""|"")"),43007.0)</f>
        <v>43007</v>
      </c>
      <c r="E316" s="2">
        <f>IFERROR(__xludf.DUMMYFUNCTION("""COMPUTED_VALUE"""),1254663.0)</f>
        <v>1254663</v>
      </c>
      <c r="F316" s="2">
        <f>IFERROR(__xludf.DUMMYFUNCTION("""COMPUTED_VALUE"""),3827663.0)</f>
        <v>3827663</v>
      </c>
      <c r="G316" s="2">
        <f>IFERROR(__xludf.DUMMYFUNCTION("""COMPUTED_VALUE"""),68.3796)</f>
        <v>68.3796</v>
      </c>
    </row>
    <row r="317">
      <c r="A317" s="1" t="s">
        <v>316</v>
      </c>
      <c r="D317" s="3">
        <f>IFERROR(__xludf.DUMMYFUNCTION("SPLIT(A317, ""|"")"),43007.0)</f>
        <v>43007</v>
      </c>
      <c r="E317" s="2">
        <f>IFERROR(__xludf.DUMMYFUNCTION("""COMPUTED_VALUE"""),1421673.0)</f>
        <v>1421673</v>
      </c>
      <c r="F317" s="2">
        <f>IFERROR(__xludf.DUMMYFUNCTION("""COMPUTED_VALUE"""),3827003.0)</f>
        <v>3827003</v>
      </c>
      <c r="G317" s="2">
        <f>IFERROR(__xludf.DUMMYFUNCTION("""COMPUTED_VALUE"""),90.6109999999999)</f>
        <v>90.611</v>
      </c>
    </row>
    <row r="318">
      <c r="A318" s="1" t="s">
        <v>317</v>
      </c>
      <c r="D318" s="3">
        <f>IFERROR(__xludf.DUMMYFUNCTION("SPLIT(A318, ""|"")"),43007.0)</f>
        <v>43007</v>
      </c>
      <c r="E318" s="2">
        <f>IFERROR(__xludf.DUMMYFUNCTION("""COMPUTED_VALUE"""),1090473.0)</f>
        <v>1090473</v>
      </c>
      <c r="F318" s="2">
        <f>IFERROR(__xludf.DUMMYFUNCTION("""COMPUTED_VALUE"""),3826380.0)</f>
        <v>3826380</v>
      </c>
      <c r="G318" s="2">
        <f>IFERROR(__xludf.DUMMYFUNCTION("""COMPUTED_VALUE"""),96.6823)</f>
        <v>96.6823</v>
      </c>
    </row>
    <row r="319">
      <c r="A319" s="1" t="s">
        <v>318</v>
      </c>
      <c r="D319" s="3">
        <f>IFERROR(__xludf.DUMMYFUNCTION("SPLIT(A319, ""|"")"),43263.0)</f>
        <v>43263</v>
      </c>
      <c r="E319" s="2">
        <f>IFERROR(__xludf.DUMMYFUNCTION("""COMPUTED_VALUE"""),1610733.0)</f>
        <v>1610733</v>
      </c>
      <c r="F319" s="2">
        <f>IFERROR(__xludf.DUMMYFUNCTION("""COMPUTED_VALUE"""),4537789.0)</f>
        <v>4537789</v>
      </c>
      <c r="G319" s="2">
        <f>IFERROR(__xludf.DUMMYFUNCTION("""COMPUTED_VALUE"""),151.7886)</f>
        <v>151.7886</v>
      </c>
    </row>
    <row r="320">
      <c r="A320" s="1" t="s">
        <v>319</v>
      </c>
      <c r="D320" s="3">
        <f>IFERROR(__xludf.DUMMYFUNCTION("SPLIT(A320, ""|"")"),43263.0)</f>
        <v>43263</v>
      </c>
      <c r="E320" s="2">
        <f>IFERROR(__xludf.DUMMYFUNCTION("""COMPUTED_VALUE"""),221733.0)</f>
        <v>221733</v>
      </c>
      <c r="F320" s="2">
        <f>IFERROR(__xludf.DUMMYFUNCTION("""COMPUTED_VALUE"""),4536665.0)</f>
        <v>4536665</v>
      </c>
      <c r="G320" s="2">
        <f>IFERROR(__xludf.DUMMYFUNCTION("""COMPUTED_VALUE"""),267.8019)</f>
        <v>267.8019</v>
      </c>
    </row>
    <row r="321">
      <c r="A321" s="1" t="s">
        <v>320</v>
      </c>
      <c r="D321" s="3">
        <f>IFERROR(__xludf.DUMMYFUNCTION("SPLIT(A321, ""|"")"),43263.0)</f>
        <v>43263</v>
      </c>
      <c r="E321" s="2">
        <f>IFERROR(__xludf.DUMMYFUNCTION("""COMPUTED_VALUE"""),1610673.0)</f>
        <v>1610673</v>
      </c>
      <c r="F321" s="2">
        <f>IFERROR(__xludf.DUMMYFUNCTION("""COMPUTED_VALUE"""),4537485.0)</f>
        <v>4537485</v>
      </c>
      <c r="G321" s="2">
        <f>IFERROR(__xludf.DUMMYFUNCTION("""COMPUTED_VALUE"""),34.2355)</f>
        <v>34.2355</v>
      </c>
    </row>
    <row r="322">
      <c r="A322" s="1" t="s">
        <v>321</v>
      </c>
      <c r="D322" s="3">
        <f>IFERROR(__xludf.DUMMYFUNCTION("SPLIT(A322, ""|"")"),43263.0)</f>
        <v>43263</v>
      </c>
      <c r="E322" s="2">
        <f>IFERROR(__xludf.DUMMYFUNCTION("""COMPUTED_VALUE"""),1010553.0)</f>
        <v>1010553</v>
      </c>
      <c r="F322" s="2">
        <f>IFERROR(__xludf.DUMMYFUNCTION("""COMPUTED_VALUE"""),4536990.0)</f>
        <v>4536990</v>
      </c>
      <c r="G322" s="2">
        <f>IFERROR(__xludf.DUMMYFUNCTION("""COMPUTED_VALUE"""),69.7331)</f>
        <v>69.7331</v>
      </c>
    </row>
    <row r="323">
      <c r="A323" s="1" t="s">
        <v>322</v>
      </c>
      <c r="D323" s="3">
        <f>IFERROR(__xludf.DUMMYFUNCTION("SPLIT(A323, ""|"")"),43263.0)</f>
        <v>43263</v>
      </c>
      <c r="E323" s="2">
        <f>IFERROR(__xludf.DUMMYFUNCTION("""COMPUTED_VALUE"""),1610403.0)</f>
        <v>1610403</v>
      </c>
      <c r="F323" s="2">
        <f>IFERROR(__xludf.DUMMYFUNCTION("""COMPUTED_VALUE"""),4536202.0)</f>
        <v>4536202</v>
      </c>
      <c r="G323" s="2">
        <f>IFERROR(__xludf.DUMMYFUNCTION("""COMPUTED_VALUE"""),7.0924)</f>
        <v>7.0924</v>
      </c>
    </row>
    <row r="324">
      <c r="A324" s="1" t="s">
        <v>323</v>
      </c>
      <c r="D324" s="3">
        <f>IFERROR(__xludf.DUMMYFUNCTION("SPLIT(A324, ""|"")"),43263.0)</f>
        <v>43263</v>
      </c>
      <c r="E324" s="2">
        <f>IFERROR(__xludf.DUMMYFUNCTION("""COMPUTED_VALUE"""),449253.0)</f>
        <v>449253</v>
      </c>
      <c r="F324" s="2">
        <f>IFERROR(__xludf.DUMMYFUNCTION("""COMPUTED_VALUE"""),4538207.0)</f>
        <v>4538207</v>
      </c>
      <c r="G324" s="2">
        <f>IFERROR(__xludf.DUMMYFUNCTION("""COMPUTED_VALUE"""),22.6696)</f>
        <v>22.6696</v>
      </c>
    </row>
    <row r="325">
      <c r="A325" s="1" t="s">
        <v>324</v>
      </c>
      <c r="D325" s="3">
        <f>IFERROR(__xludf.DUMMYFUNCTION("SPLIT(A325, ""|"")"),43263.0)</f>
        <v>43263</v>
      </c>
      <c r="E325" s="2">
        <f>IFERROR(__xludf.DUMMYFUNCTION("""COMPUTED_VALUE"""),1546173.0)</f>
        <v>1546173</v>
      </c>
      <c r="F325" s="2">
        <f>IFERROR(__xludf.DUMMYFUNCTION("""COMPUTED_VALUE"""),4537796.0)</f>
        <v>4537796</v>
      </c>
      <c r="G325" s="2">
        <f>IFERROR(__xludf.DUMMYFUNCTION("""COMPUTED_VALUE"""),35.9017)</f>
        <v>35.9017</v>
      </c>
    </row>
    <row r="326">
      <c r="A326" s="1" t="s">
        <v>325</v>
      </c>
      <c r="D326" s="3">
        <f>IFERROR(__xludf.DUMMYFUNCTION("SPLIT(A326, ""|"")"),43263.0)</f>
        <v>43263</v>
      </c>
      <c r="E326" s="2">
        <f>IFERROR(__xludf.DUMMYFUNCTION("""COMPUTED_VALUE"""),1610433.0)</f>
        <v>1610433</v>
      </c>
      <c r="F326" s="2">
        <f>IFERROR(__xludf.DUMMYFUNCTION("""COMPUTED_VALUE"""),4536377.0)</f>
        <v>4536377</v>
      </c>
      <c r="G326" s="2">
        <f>IFERROR(__xludf.DUMMYFUNCTION("""COMPUTED_VALUE"""),43.4256)</f>
        <v>43.4256</v>
      </c>
    </row>
    <row r="327">
      <c r="A327" s="1" t="s">
        <v>326</v>
      </c>
      <c r="D327" s="3">
        <f>IFERROR(__xludf.DUMMYFUNCTION("SPLIT(A327, ""|"")"),43008.0)</f>
        <v>43008</v>
      </c>
      <c r="E327" s="2">
        <f>IFERROR(__xludf.DUMMYFUNCTION("""COMPUTED_VALUE"""),260853.0)</f>
        <v>260853</v>
      </c>
      <c r="F327" s="2">
        <f>IFERROR(__xludf.DUMMYFUNCTION("""COMPUTED_VALUE"""),3828784.0)</f>
        <v>3828784</v>
      </c>
      <c r="G327" s="2">
        <f>IFERROR(__xludf.DUMMYFUNCTION("""COMPUTED_VALUE"""),104.307499999999)</f>
        <v>104.3075</v>
      </c>
    </row>
    <row r="328">
      <c r="A328" s="1" t="s">
        <v>327</v>
      </c>
      <c r="D328" s="3">
        <f>IFERROR(__xludf.DUMMYFUNCTION("SPLIT(A328, ""|"")"),43008.0)</f>
        <v>43008</v>
      </c>
      <c r="E328" s="2">
        <f>IFERROR(__xludf.DUMMYFUNCTION("""COMPUTED_VALUE"""),1330143.0)</f>
        <v>1330143</v>
      </c>
      <c r="F328" s="2">
        <f>IFERROR(__xludf.DUMMYFUNCTION("""COMPUTED_VALUE"""),3829176.0)</f>
        <v>3829176</v>
      </c>
      <c r="G328" s="2">
        <f>IFERROR(__xludf.DUMMYFUNCTION("""COMPUTED_VALUE"""),65.9252)</f>
        <v>65.9252</v>
      </c>
    </row>
    <row r="329">
      <c r="A329" s="1" t="s">
        <v>328</v>
      </c>
      <c r="D329" s="3">
        <f>IFERROR(__xludf.DUMMYFUNCTION("SPLIT(A329, ""|"")"),43008.0)</f>
        <v>43008</v>
      </c>
      <c r="E329" s="2">
        <f>IFERROR(__xludf.DUMMYFUNCTION("""COMPUTED_VALUE"""),1422243.0)</f>
        <v>1422243</v>
      </c>
      <c r="F329" s="2">
        <f>IFERROR(__xludf.DUMMYFUNCTION("""COMPUTED_VALUE"""),3829103.0)</f>
        <v>3829103</v>
      </c>
      <c r="G329" s="2">
        <f>IFERROR(__xludf.DUMMYFUNCTION("""COMPUTED_VALUE"""),5.385)</f>
        <v>5.385</v>
      </c>
    </row>
    <row r="330">
      <c r="A330" s="1" t="s">
        <v>329</v>
      </c>
      <c r="D330" s="3">
        <f>IFERROR(__xludf.DUMMYFUNCTION("SPLIT(A330, ""|"")"),43008.0)</f>
        <v>43008</v>
      </c>
      <c r="E330" s="2">
        <f>IFERROR(__xludf.DUMMYFUNCTION("""COMPUTED_VALUE"""),1319373.0)</f>
        <v>1319373</v>
      </c>
      <c r="F330" s="2">
        <f>IFERROR(__xludf.DUMMYFUNCTION("""COMPUTED_VALUE"""),3829534.0)</f>
        <v>3829534</v>
      </c>
      <c r="G330" s="2">
        <f>IFERROR(__xludf.DUMMYFUNCTION("""COMPUTED_VALUE"""),92.393)</f>
        <v>92.393</v>
      </c>
    </row>
    <row r="331">
      <c r="A331" s="1" t="s">
        <v>330</v>
      </c>
      <c r="D331" s="3">
        <f>IFERROR(__xludf.DUMMYFUNCTION("SPLIT(A331, ""|"")"),43008.0)</f>
        <v>43008</v>
      </c>
      <c r="E331" s="2">
        <f>IFERROR(__xludf.DUMMYFUNCTION("""COMPUTED_VALUE"""),1422333.0)</f>
        <v>1422333</v>
      </c>
      <c r="F331" s="2">
        <f>IFERROR(__xludf.DUMMYFUNCTION("""COMPUTED_VALUE"""),3829418.0)</f>
        <v>3829418</v>
      </c>
      <c r="G331" s="2">
        <f>IFERROR(__xludf.DUMMYFUNCTION("""COMPUTED_VALUE"""),38.9771999999999)</f>
        <v>38.9772</v>
      </c>
    </row>
    <row r="332">
      <c r="A332" s="1" t="s">
        <v>331</v>
      </c>
      <c r="D332" s="3">
        <f>IFERROR(__xludf.DUMMYFUNCTION("SPLIT(A332, ""|"")"),43008.0)</f>
        <v>43008</v>
      </c>
      <c r="E332" s="2">
        <f>IFERROR(__xludf.DUMMYFUNCTION("""COMPUTED_VALUE"""),1296363.0)</f>
        <v>1296363</v>
      </c>
      <c r="F332" s="2">
        <f>IFERROR(__xludf.DUMMYFUNCTION("""COMPUTED_VALUE"""),3830171.0)</f>
        <v>3830171</v>
      </c>
      <c r="G332" s="2">
        <f>IFERROR(__xludf.DUMMYFUNCTION("""COMPUTED_VALUE"""),114.3992)</f>
        <v>114.3992</v>
      </c>
    </row>
    <row r="333">
      <c r="A333" s="1" t="s">
        <v>332</v>
      </c>
      <c r="D333" s="3">
        <f>IFERROR(__xludf.DUMMYFUNCTION("SPLIT(A333, ""|"")"),43264.0)</f>
        <v>43264</v>
      </c>
      <c r="E333" s="2">
        <f>IFERROR(__xludf.DUMMYFUNCTION("""COMPUTED_VALUE"""),1405893.0)</f>
        <v>1405893</v>
      </c>
      <c r="F333" s="2">
        <f>IFERROR(__xludf.DUMMYFUNCTION("""COMPUTED_VALUE"""),4539615.0)</f>
        <v>4539615</v>
      </c>
      <c r="G333" s="2">
        <f>IFERROR(__xludf.DUMMYFUNCTION("""COMPUTED_VALUE"""),106.8501)</f>
        <v>106.8501</v>
      </c>
    </row>
    <row r="334">
      <c r="A334" s="1" t="s">
        <v>333</v>
      </c>
      <c r="D334" s="3">
        <f>IFERROR(__xludf.DUMMYFUNCTION("SPLIT(A334, ""|"")"),43264.0)</f>
        <v>43264</v>
      </c>
      <c r="E334" s="2">
        <f>IFERROR(__xludf.DUMMYFUNCTION("""COMPUTED_VALUE"""),1611003.0)</f>
        <v>1611003</v>
      </c>
      <c r="F334" s="2">
        <f>IFERROR(__xludf.DUMMYFUNCTION("""COMPUTED_VALUE"""),4539059.0)</f>
        <v>4539059</v>
      </c>
      <c r="G334" s="2">
        <f>IFERROR(__xludf.DUMMYFUNCTION("""COMPUTED_VALUE"""),23.023)</f>
        <v>23.023</v>
      </c>
    </row>
    <row r="335">
      <c r="A335" s="1" t="s">
        <v>334</v>
      </c>
      <c r="D335" s="3">
        <f>IFERROR(__xludf.DUMMYFUNCTION("SPLIT(A335, ""|"")"),43264.0)</f>
        <v>43264</v>
      </c>
      <c r="E335" s="2">
        <f>IFERROR(__xludf.DUMMYFUNCTION("""COMPUTED_VALUE"""),1611213.0)</f>
        <v>1611213</v>
      </c>
      <c r="F335" s="2">
        <f>IFERROR(__xludf.DUMMYFUNCTION("""COMPUTED_VALUE"""),4540004.0)</f>
        <v>4540004</v>
      </c>
      <c r="G335" s="2">
        <f>IFERROR(__xludf.DUMMYFUNCTION("""COMPUTED_VALUE"""),140.6078)</f>
        <v>140.6078</v>
      </c>
    </row>
    <row r="336">
      <c r="A336" s="1" t="s">
        <v>335</v>
      </c>
      <c r="D336" s="3">
        <f>IFERROR(__xludf.DUMMYFUNCTION("SPLIT(A336, ""|"")"),43264.0)</f>
        <v>43264</v>
      </c>
      <c r="E336" s="2">
        <f>IFERROR(__xludf.DUMMYFUNCTION("""COMPUTED_VALUE"""),1610703.0)</f>
        <v>1610703</v>
      </c>
      <c r="F336" s="2">
        <f>IFERROR(__xludf.DUMMYFUNCTION("""COMPUTED_VALUE"""),4539835.0)</f>
        <v>4539835</v>
      </c>
      <c r="G336" s="2">
        <f>IFERROR(__xludf.DUMMYFUNCTION("""COMPUTED_VALUE"""),213.962)</f>
        <v>213.962</v>
      </c>
    </row>
    <row r="337">
      <c r="A337" s="1" t="s">
        <v>336</v>
      </c>
      <c r="D337" s="3">
        <f>IFERROR(__xludf.DUMMYFUNCTION("SPLIT(A337, ""|"")"),43009.0)</f>
        <v>43009</v>
      </c>
      <c r="E337" s="2">
        <f>IFERROR(__xludf.DUMMYFUNCTION("""COMPUTED_VALUE"""),1144893.0)</f>
        <v>1144893</v>
      </c>
      <c r="F337" s="2">
        <f>IFERROR(__xludf.DUMMYFUNCTION("""COMPUTED_VALUE"""),3831258.0)</f>
        <v>3831258</v>
      </c>
      <c r="G337" s="2">
        <f>IFERROR(__xludf.DUMMYFUNCTION("""COMPUTED_VALUE"""),117.98)</f>
        <v>117.98</v>
      </c>
    </row>
    <row r="338">
      <c r="A338" s="1" t="s">
        <v>337</v>
      </c>
      <c r="D338" s="3">
        <f>IFERROR(__xludf.DUMMYFUNCTION("SPLIT(A338, ""|"")"),43009.0)</f>
        <v>43009</v>
      </c>
      <c r="E338" s="2">
        <f>IFERROR(__xludf.DUMMYFUNCTION("""COMPUTED_VALUE"""),1423023.0)</f>
        <v>1423023</v>
      </c>
      <c r="F338" s="2">
        <f>IFERROR(__xludf.DUMMYFUNCTION("""COMPUTED_VALUE"""),3831993.0)</f>
        <v>3831993</v>
      </c>
      <c r="G338" s="2">
        <f>IFERROR(__xludf.DUMMYFUNCTION("""COMPUTED_VALUE"""),60.7433)</f>
        <v>60.7433</v>
      </c>
    </row>
    <row r="339">
      <c r="A339" s="1" t="s">
        <v>338</v>
      </c>
      <c r="D339" s="3">
        <f>IFERROR(__xludf.DUMMYFUNCTION("SPLIT(A339, ""|"")"),43009.0)</f>
        <v>43009</v>
      </c>
      <c r="E339" s="2">
        <f>IFERROR(__xludf.DUMMYFUNCTION("""COMPUTED_VALUE"""),266283.0)</f>
        <v>266283</v>
      </c>
      <c r="F339" s="2">
        <f>IFERROR(__xludf.DUMMYFUNCTION("""COMPUTED_VALUE"""),3833944.0)</f>
        <v>3833944</v>
      </c>
      <c r="G339" s="2">
        <f>IFERROR(__xludf.DUMMYFUNCTION("""COMPUTED_VALUE"""),81.1155)</f>
        <v>81.1155</v>
      </c>
    </row>
    <row r="340">
      <c r="A340" s="1" t="s">
        <v>339</v>
      </c>
      <c r="D340" s="3">
        <f>IFERROR(__xludf.DUMMYFUNCTION("SPLIT(A340, ""|"")"),43009.0)</f>
        <v>43009</v>
      </c>
      <c r="E340" s="2">
        <f>IFERROR(__xludf.DUMMYFUNCTION("""COMPUTED_VALUE"""),228423.0)</f>
        <v>228423</v>
      </c>
      <c r="F340" s="2">
        <f>IFERROR(__xludf.DUMMYFUNCTION("""COMPUTED_VALUE"""),3830742.0)</f>
        <v>3830742</v>
      </c>
      <c r="G340" s="2">
        <f>IFERROR(__xludf.DUMMYFUNCTION("""COMPUTED_VALUE"""),143.0506)</f>
        <v>143.0506</v>
      </c>
    </row>
    <row r="341">
      <c r="A341" s="1" t="s">
        <v>340</v>
      </c>
      <c r="D341" s="3">
        <f>IFERROR(__xludf.DUMMYFUNCTION("SPLIT(A341, ""|"")"),43009.0)</f>
        <v>43009</v>
      </c>
      <c r="E341" s="2">
        <f>IFERROR(__xludf.DUMMYFUNCTION("""COMPUTED_VALUE"""),414963.0)</f>
        <v>414963</v>
      </c>
      <c r="F341" s="2">
        <f>IFERROR(__xludf.DUMMYFUNCTION("""COMPUTED_VALUE"""),3833693.0)</f>
        <v>3833693</v>
      </c>
      <c r="G341" s="2">
        <f>IFERROR(__xludf.DUMMYFUNCTION("""COMPUTED_VALUE"""),36.7025)</f>
        <v>36.7025</v>
      </c>
    </row>
    <row r="342">
      <c r="A342" s="1" t="s">
        <v>341</v>
      </c>
      <c r="D342" s="3">
        <f>IFERROR(__xludf.DUMMYFUNCTION("SPLIT(A342, ""|"")"),43265.0)</f>
        <v>43265</v>
      </c>
      <c r="E342" s="2">
        <f>IFERROR(__xludf.DUMMYFUNCTION("""COMPUTED_VALUE"""),1611333.0)</f>
        <v>1611333</v>
      </c>
      <c r="F342" s="2">
        <f>IFERROR(__xludf.DUMMYFUNCTION("""COMPUTED_VALUE"""),4540710.0)</f>
        <v>4540710</v>
      </c>
      <c r="G342" s="2">
        <f>IFERROR(__xludf.DUMMYFUNCTION("""COMPUTED_VALUE"""),19.125)</f>
        <v>19.125</v>
      </c>
    </row>
    <row r="343">
      <c r="A343" s="1" t="s">
        <v>342</v>
      </c>
      <c r="D343" s="3">
        <f>IFERROR(__xludf.DUMMYFUNCTION("SPLIT(A343, ""|"")"),43265.0)</f>
        <v>43265</v>
      </c>
      <c r="E343" s="2">
        <f>IFERROR(__xludf.DUMMYFUNCTION("""COMPUTED_VALUE"""),1594203.0)</f>
        <v>1594203</v>
      </c>
      <c r="F343" s="2">
        <f>IFERROR(__xludf.DUMMYFUNCTION("""COMPUTED_VALUE"""),4541394.0)</f>
        <v>4541394</v>
      </c>
      <c r="G343" s="2">
        <f>IFERROR(__xludf.DUMMYFUNCTION("""COMPUTED_VALUE"""),120.533499999999)</f>
        <v>120.5335</v>
      </c>
    </row>
    <row r="344">
      <c r="A344" s="1" t="s">
        <v>343</v>
      </c>
      <c r="D344" s="3">
        <f>IFERROR(__xludf.DUMMYFUNCTION("SPLIT(A344, ""|"")"),43265.0)</f>
        <v>43265</v>
      </c>
      <c r="E344" s="2">
        <f>IFERROR(__xludf.DUMMYFUNCTION("""COMPUTED_VALUE"""),1556523.0)</f>
        <v>1556523</v>
      </c>
      <c r="F344" s="2">
        <f>IFERROR(__xludf.DUMMYFUNCTION("""COMPUTED_VALUE"""),4540853.0)</f>
        <v>4540853</v>
      </c>
      <c r="G344" s="2">
        <f>IFERROR(__xludf.DUMMYFUNCTION("""COMPUTED_VALUE"""),113.5736)</f>
        <v>113.5736</v>
      </c>
    </row>
    <row r="345">
      <c r="A345" s="1" t="s">
        <v>344</v>
      </c>
      <c r="D345" s="3">
        <f>IFERROR(__xludf.DUMMYFUNCTION("SPLIT(A345, ""|"")"),43265.0)</f>
        <v>43265</v>
      </c>
      <c r="E345" s="2">
        <f>IFERROR(__xludf.DUMMYFUNCTION("""COMPUTED_VALUE"""),1428633.0)</f>
        <v>1428633</v>
      </c>
      <c r="F345" s="2">
        <f>IFERROR(__xludf.DUMMYFUNCTION("""COMPUTED_VALUE"""),4542187.0)</f>
        <v>4542187</v>
      </c>
      <c r="G345" s="2">
        <f>IFERROR(__xludf.DUMMYFUNCTION("""COMPUTED_VALUE"""),148.5319)</f>
        <v>148.5319</v>
      </c>
    </row>
    <row r="346">
      <c r="A346" s="1" t="s">
        <v>345</v>
      </c>
      <c r="D346" s="3">
        <f>IFERROR(__xludf.DUMMYFUNCTION("SPLIT(A346, ""|"")"),43265.0)</f>
        <v>43265</v>
      </c>
      <c r="E346" s="2">
        <f>IFERROR(__xludf.DUMMYFUNCTION("""COMPUTED_VALUE"""),1611363.0)</f>
        <v>1611363</v>
      </c>
      <c r="F346" s="2">
        <f>IFERROR(__xludf.DUMMYFUNCTION("""COMPUTED_VALUE"""),4540920.0)</f>
        <v>4540920</v>
      </c>
      <c r="G346" s="2">
        <f>IFERROR(__xludf.DUMMYFUNCTION("""COMPUTED_VALUE"""),35.2614)</f>
        <v>35.2614</v>
      </c>
    </row>
    <row r="347">
      <c r="A347" s="1" t="s">
        <v>346</v>
      </c>
      <c r="D347" s="3">
        <f>IFERROR(__xludf.DUMMYFUNCTION("SPLIT(A347, ""|"")"),43265.0)</f>
        <v>43265</v>
      </c>
      <c r="E347" s="2">
        <f>IFERROR(__xludf.DUMMYFUNCTION("""COMPUTED_VALUE"""),1253943.0)</f>
        <v>1253943</v>
      </c>
      <c r="F347" s="2">
        <f>IFERROR(__xludf.DUMMYFUNCTION("""COMPUTED_VALUE"""),4540973.0)</f>
        <v>4540973</v>
      </c>
      <c r="G347" s="2">
        <f>IFERROR(__xludf.DUMMYFUNCTION("""COMPUTED_VALUE"""),94.8551)</f>
        <v>94.8551</v>
      </c>
    </row>
    <row r="348">
      <c r="A348" s="1" t="s">
        <v>347</v>
      </c>
      <c r="D348" s="3">
        <f>IFERROR(__xludf.DUMMYFUNCTION("SPLIT(A348, ""|"")"),43265.0)</f>
        <v>43265</v>
      </c>
      <c r="E348" s="2">
        <f>IFERROR(__xludf.DUMMYFUNCTION("""COMPUTED_VALUE"""),1611303.0)</f>
        <v>1611303</v>
      </c>
      <c r="F348" s="2">
        <f>IFERROR(__xludf.DUMMYFUNCTION("""COMPUTED_VALUE"""),4540602.0)</f>
        <v>4540602</v>
      </c>
      <c r="G348" s="2">
        <f>IFERROR(__xludf.DUMMYFUNCTION("""COMPUTED_VALUE"""),71.0679)</f>
        <v>71.0679</v>
      </c>
    </row>
    <row r="349">
      <c r="A349" s="1" t="s">
        <v>348</v>
      </c>
      <c r="D349" s="3">
        <f>IFERROR(__xludf.DUMMYFUNCTION("SPLIT(A349, ""|"")"),43265.0)</f>
        <v>43265</v>
      </c>
      <c r="E349" s="2">
        <f>IFERROR(__xludf.DUMMYFUNCTION("""COMPUTED_VALUE"""),231783.0)</f>
        <v>231783</v>
      </c>
      <c r="F349" s="2">
        <f>IFERROR(__xludf.DUMMYFUNCTION("""COMPUTED_VALUE"""),4541228.0)</f>
        <v>4541228</v>
      </c>
      <c r="G349" s="2">
        <f>IFERROR(__xludf.DUMMYFUNCTION("""COMPUTED_VALUE"""),74.7884999999999)</f>
        <v>74.7885</v>
      </c>
    </row>
    <row r="350">
      <c r="A350" s="1" t="s">
        <v>349</v>
      </c>
      <c r="D350" s="3">
        <f>IFERROR(__xludf.DUMMYFUNCTION("SPLIT(A350, ""|"")"),43010.0)</f>
        <v>43010</v>
      </c>
      <c r="E350" s="2">
        <f>IFERROR(__xludf.DUMMYFUNCTION("""COMPUTED_VALUE"""),1319343.0)</f>
        <v>1319343</v>
      </c>
      <c r="F350" s="2">
        <f>IFERROR(__xludf.DUMMYFUNCTION("""COMPUTED_VALUE"""),3834936.0)</f>
        <v>3834936</v>
      </c>
      <c r="G350" s="2">
        <f>IFERROR(__xludf.DUMMYFUNCTION("""COMPUTED_VALUE"""),67.6475)</f>
        <v>67.6475</v>
      </c>
    </row>
    <row r="351">
      <c r="A351" s="1" t="s">
        <v>350</v>
      </c>
      <c r="D351" s="3">
        <f>IFERROR(__xludf.DUMMYFUNCTION("SPLIT(A351, ""|"")"),43010.0)</f>
        <v>43010</v>
      </c>
      <c r="E351" s="2">
        <f>IFERROR(__xludf.DUMMYFUNCTION("""COMPUTED_VALUE"""),278733.0)</f>
        <v>278733</v>
      </c>
      <c r="F351" s="2">
        <f>IFERROR(__xludf.DUMMYFUNCTION("""COMPUTED_VALUE"""),3837310.0)</f>
        <v>3837310</v>
      </c>
      <c r="G351" s="2">
        <f>IFERROR(__xludf.DUMMYFUNCTION("""COMPUTED_VALUE"""),90.0539)</f>
        <v>90.0539</v>
      </c>
    </row>
    <row r="352">
      <c r="A352" s="1" t="s">
        <v>351</v>
      </c>
      <c r="D352" s="3">
        <f>IFERROR(__xludf.DUMMYFUNCTION("SPLIT(A352, ""|"")"),43010.0)</f>
        <v>43010</v>
      </c>
      <c r="E352" s="2">
        <f>IFERROR(__xludf.DUMMYFUNCTION("""COMPUTED_VALUE"""),262083.0)</f>
        <v>262083</v>
      </c>
      <c r="F352" s="2">
        <f>IFERROR(__xludf.DUMMYFUNCTION("""COMPUTED_VALUE"""),3835410.0)</f>
        <v>3835410</v>
      </c>
      <c r="G352" s="2">
        <f>IFERROR(__xludf.DUMMYFUNCTION("""COMPUTED_VALUE"""),46.8713)</f>
        <v>46.8713</v>
      </c>
    </row>
    <row r="353">
      <c r="A353" s="1" t="s">
        <v>352</v>
      </c>
      <c r="D353" s="3">
        <f>IFERROR(__xludf.DUMMYFUNCTION("SPLIT(A353, ""|"")"),43010.0)</f>
        <v>43010</v>
      </c>
      <c r="E353" s="2">
        <f>IFERROR(__xludf.DUMMYFUNCTION("""COMPUTED_VALUE"""),1389153.0)</f>
        <v>1389153</v>
      </c>
      <c r="F353" s="2">
        <f>IFERROR(__xludf.DUMMYFUNCTION("""COMPUTED_VALUE"""),3835584.0)</f>
        <v>3835584</v>
      </c>
      <c r="G353" s="2">
        <f>IFERROR(__xludf.DUMMYFUNCTION("""COMPUTED_VALUE"""),7.87919999999999)</f>
        <v>7.8792</v>
      </c>
    </row>
    <row r="354">
      <c r="A354" s="1" t="s">
        <v>353</v>
      </c>
      <c r="D354" s="3">
        <f>IFERROR(__xludf.DUMMYFUNCTION("SPLIT(A354, ""|"")"),43010.0)</f>
        <v>43010</v>
      </c>
      <c r="E354" s="2">
        <f>IFERROR(__xludf.DUMMYFUNCTION("""COMPUTED_VALUE"""),1246083.0)</f>
        <v>1246083</v>
      </c>
      <c r="F354" s="2">
        <f>IFERROR(__xludf.DUMMYFUNCTION("""COMPUTED_VALUE"""),3836959.0)</f>
        <v>3836959</v>
      </c>
      <c r="G354" s="2">
        <f>IFERROR(__xludf.DUMMYFUNCTION("""COMPUTED_VALUE"""),63.0021)</f>
        <v>63.0021</v>
      </c>
    </row>
    <row r="355">
      <c r="A355" s="1" t="s">
        <v>354</v>
      </c>
      <c r="D355" s="3">
        <f>IFERROR(__xludf.DUMMYFUNCTION("SPLIT(A355, ""|"")"),43010.0)</f>
        <v>43010</v>
      </c>
      <c r="E355" s="2">
        <f>IFERROR(__xludf.DUMMYFUNCTION("""COMPUTED_VALUE"""),1238583.0)</f>
        <v>1238583</v>
      </c>
      <c r="F355" s="2">
        <f>IFERROR(__xludf.DUMMYFUNCTION("""COMPUTED_VALUE"""),3836579.0)</f>
        <v>3836579</v>
      </c>
      <c r="G355" s="2">
        <f>IFERROR(__xludf.DUMMYFUNCTION("""COMPUTED_VALUE"""),48.9514)</f>
        <v>48.9514</v>
      </c>
    </row>
    <row r="356">
      <c r="A356" s="1" t="s">
        <v>355</v>
      </c>
      <c r="D356" s="3">
        <f>IFERROR(__xludf.DUMMYFUNCTION("SPLIT(A356, ""|"")"),43010.0)</f>
        <v>43010</v>
      </c>
      <c r="E356" s="2">
        <f>IFERROR(__xludf.DUMMYFUNCTION("""COMPUTED_VALUE"""),1420083.0)</f>
        <v>1420083</v>
      </c>
      <c r="F356" s="2">
        <f>IFERROR(__xludf.DUMMYFUNCTION("""COMPUTED_VALUE"""),3835249.0)</f>
        <v>3835249</v>
      </c>
      <c r="G356" s="2">
        <f>IFERROR(__xludf.DUMMYFUNCTION("""COMPUTED_VALUE"""),63.9991)</f>
        <v>63.9991</v>
      </c>
    </row>
    <row r="357">
      <c r="A357" s="1" t="s">
        <v>356</v>
      </c>
      <c r="D357" s="3">
        <f>IFERROR(__xludf.DUMMYFUNCTION("SPLIT(A357, ""|"")"),43010.0)</f>
        <v>43010</v>
      </c>
      <c r="E357" s="2">
        <f>IFERROR(__xludf.DUMMYFUNCTION("""COMPUTED_VALUE"""),1215273.0)</f>
        <v>1215273</v>
      </c>
      <c r="F357" s="2">
        <f>IFERROR(__xludf.DUMMYFUNCTION("""COMPUTED_VALUE"""),3834974.0)</f>
        <v>3834974</v>
      </c>
      <c r="G357" s="2">
        <f>IFERROR(__xludf.DUMMYFUNCTION("""COMPUTED_VALUE"""),23.9087)</f>
        <v>23.9087</v>
      </c>
    </row>
    <row r="358">
      <c r="A358" s="1" t="s">
        <v>357</v>
      </c>
      <c r="D358" s="3">
        <f>IFERROR(__xludf.DUMMYFUNCTION("SPLIT(A358, ""|"")"),43010.0)</f>
        <v>43010</v>
      </c>
      <c r="E358" s="2">
        <f>IFERROR(__xludf.DUMMYFUNCTION("""COMPUTED_VALUE"""),996933.0)</f>
        <v>996933</v>
      </c>
      <c r="F358" s="2">
        <f>IFERROR(__xludf.DUMMYFUNCTION("""COMPUTED_VALUE"""),3834937.0)</f>
        <v>3834937</v>
      </c>
      <c r="G358" s="2">
        <f>IFERROR(__xludf.DUMMYFUNCTION("""COMPUTED_VALUE"""),97.9648)</f>
        <v>97.9648</v>
      </c>
    </row>
    <row r="359">
      <c r="A359" s="1" t="s">
        <v>358</v>
      </c>
      <c r="D359" s="3">
        <f>IFERROR(__xludf.DUMMYFUNCTION("SPLIT(A359, ""|"")"),43010.0)</f>
        <v>43010</v>
      </c>
      <c r="E359" s="2">
        <f>IFERROR(__xludf.DUMMYFUNCTION("""COMPUTED_VALUE"""),186663.0)</f>
        <v>186663</v>
      </c>
      <c r="F359" s="2">
        <f>IFERROR(__xludf.DUMMYFUNCTION("""COMPUTED_VALUE"""),3836490.0)</f>
        <v>3836490</v>
      </c>
      <c r="G359" s="2">
        <f>IFERROR(__xludf.DUMMYFUNCTION("""COMPUTED_VALUE"""),25.069)</f>
        <v>25.069</v>
      </c>
    </row>
    <row r="360">
      <c r="A360" s="1" t="s">
        <v>359</v>
      </c>
      <c r="D360" s="3">
        <f>IFERROR(__xludf.DUMMYFUNCTION("SPLIT(A360, ""|"")"),43010.0)</f>
        <v>43010</v>
      </c>
      <c r="E360" s="2">
        <f>IFERROR(__xludf.DUMMYFUNCTION("""COMPUTED_VALUE"""),1423773.0)</f>
        <v>1423773</v>
      </c>
      <c r="F360" s="2">
        <f>IFERROR(__xludf.DUMMYFUNCTION("""COMPUTED_VALUE"""),3835164.0)</f>
        <v>3835164</v>
      </c>
      <c r="G360" s="2">
        <f>IFERROR(__xludf.DUMMYFUNCTION("""COMPUTED_VALUE"""),59.3841)</f>
        <v>59.3841</v>
      </c>
    </row>
    <row r="361">
      <c r="A361" s="1" t="s">
        <v>360</v>
      </c>
      <c r="D361" s="3">
        <f>IFERROR(__xludf.DUMMYFUNCTION("SPLIT(A361, ""|"")"),43266.0)</f>
        <v>43266</v>
      </c>
      <c r="E361" s="2">
        <f>IFERROR(__xludf.DUMMYFUNCTION("""COMPUTED_VALUE"""),1436763.0)</f>
        <v>1436763</v>
      </c>
      <c r="F361" s="2">
        <f>IFERROR(__xludf.DUMMYFUNCTION("""COMPUTED_VALUE"""),4543546.0)</f>
        <v>4543546</v>
      </c>
      <c r="G361" s="2">
        <f>IFERROR(__xludf.DUMMYFUNCTION("""COMPUTED_VALUE"""),68.7324)</f>
        <v>68.7324</v>
      </c>
    </row>
    <row r="362">
      <c r="A362" s="1" t="s">
        <v>361</v>
      </c>
      <c r="D362" s="3">
        <f>IFERROR(__xludf.DUMMYFUNCTION("SPLIT(A362, ""|"")"),43266.0)</f>
        <v>43266</v>
      </c>
      <c r="E362" s="2">
        <f>IFERROR(__xludf.DUMMYFUNCTION("""COMPUTED_VALUE"""),1179483.0)</f>
        <v>1179483</v>
      </c>
      <c r="F362" s="2">
        <f>IFERROR(__xludf.DUMMYFUNCTION("""COMPUTED_VALUE"""),4542583.0)</f>
        <v>4542583</v>
      </c>
      <c r="G362" s="2">
        <f>IFERROR(__xludf.DUMMYFUNCTION("""COMPUTED_VALUE"""),98.7658)</f>
        <v>98.7658</v>
      </c>
    </row>
    <row r="363">
      <c r="A363" s="1" t="s">
        <v>362</v>
      </c>
      <c r="D363" s="3">
        <f>IFERROR(__xludf.DUMMYFUNCTION("SPLIT(A363, ""|"")"),43266.0)</f>
        <v>43266</v>
      </c>
      <c r="E363" s="2">
        <f>IFERROR(__xludf.DUMMYFUNCTION("""COMPUTED_VALUE"""),1372173.0)</f>
        <v>1372173</v>
      </c>
      <c r="F363" s="2">
        <f>IFERROR(__xludf.DUMMYFUNCTION("""COMPUTED_VALUE"""),4542360.0)</f>
        <v>4542360</v>
      </c>
      <c r="G363" s="2">
        <f>IFERROR(__xludf.DUMMYFUNCTION("""COMPUTED_VALUE"""),50.925)</f>
        <v>50.925</v>
      </c>
    </row>
    <row r="364">
      <c r="A364" s="1" t="s">
        <v>363</v>
      </c>
      <c r="D364" s="3">
        <f>IFERROR(__xludf.DUMMYFUNCTION("SPLIT(A364, ""|"")"),43011.0)</f>
        <v>43011</v>
      </c>
      <c r="E364" s="2">
        <f>IFERROR(__xludf.DUMMYFUNCTION("""COMPUTED_VALUE"""),1090473.0)</f>
        <v>1090473</v>
      </c>
      <c r="F364" s="2">
        <f>IFERROR(__xludf.DUMMYFUNCTION("""COMPUTED_VALUE"""),3837936.0)</f>
        <v>3837936</v>
      </c>
      <c r="G364" s="2">
        <f>IFERROR(__xludf.DUMMYFUNCTION("""COMPUTED_VALUE"""),50.5745)</f>
        <v>50.5745</v>
      </c>
    </row>
    <row r="365">
      <c r="A365" s="1" t="s">
        <v>364</v>
      </c>
      <c r="D365" s="3">
        <f>IFERROR(__xludf.DUMMYFUNCTION("SPLIT(A365, ""|"")"),43011.0)</f>
        <v>43011</v>
      </c>
      <c r="E365" s="2">
        <f>IFERROR(__xludf.DUMMYFUNCTION("""COMPUTED_VALUE"""),1187913.0)</f>
        <v>1187913</v>
      </c>
      <c r="F365" s="2">
        <f>IFERROR(__xludf.DUMMYFUNCTION("""COMPUTED_VALUE"""),3838704.0)</f>
        <v>3838704</v>
      </c>
      <c r="G365" s="2">
        <f>IFERROR(__xludf.DUMMYFUNCTION("""COMPUTED_VALUE"""),60.9000999999999)</f>
        <v>60.9001</v>
      </c>
    </row>
    <row r="366">
      <c r="A366" s="1" t="s">
        <v>365</v>
      </c>
      <c r="D366" s="3">
        <f>IFERROR(__xludf.DUMMYFUNCTION("SPLIT(A366, ""|"")"),43011.0)</f>
        <v>43011</v>
      </c>
      <c r="E366" s="2">
        <f>IFERROR(__xludf.DUMMYFUNCTION("""COMPUTED_VALUE"""),481893.0)</f>
        <v>481893</v>
      </c>
      <c r="F366" s="2">
        <f>IFERROR(__xludf.DUMMYFUNCTION("""COMPUTED_VALUE"""),3840194.0)</f>
        <v>3840194</v>
      </c>
      <c r="G366" s="2">
        <f>IFERROR(__xludf.DUMMYFUNCTION("""COMPUTED_VALUE"""),65.1640999999999)</f>
        <v>65.1641</v>
      </c>
    </row>
    <row r="367">
      <c r="A367" s="1" t="s">
        <v>366</v>
      </c>
      <c r="D367" s="3">
        <f>IFERROR(__xludf.DUMMYFUNCTION("SPLIT(A367, ""|"")"),43011.0)</f>
        <v>43011</v>
      </c>
      <c r="E367" s="2">
        <f>IFERROR(__xludf.DUMMYFUNCTION("""COMPUTED_VALUE"""),1417113.0)</f>
        <v>1417113</v>
      </c>
      <c r="F367" s="2">
        <f>IFERROR(__xludf.DUMMYFUNCTION("""COMPUTED_VALUE"""),3838468.0)</f>
        <v>3838468</v>
      </c>
      <c r="G367" s="2">
        <f>IFERROR(__xludf.DUMMYFUNCTION("""COMPUTED_VALUE"""),67.7809999999999)</f>
        <v>67.781</v>
      </c>
    </row>
    <row r="368">
      <c r="A368" s="1" t="s">
        <v>367</v>
      </c>
      <c r="D368" s="3">
        <f>IFERROR(__xludf.DUMMYFUNCTION("SPLIT(A368, ""|"")"),43011.0)</f>
        <v>43011</v>
      </c>
      <c r="E368" s="2">
        <f>IFERROR(__xludf.DUMMYFUNCTION("""COMPUTED_VALUE"""),223263.0)</f>
        <v>223263</v>
      </c>
      <c r="F368" s="2">
        <f>IFERROR(__xludf.DUMMYFUNCTION("""COMPUTED_VALUE"""),3839755.0)</f>
        <v>3839755</v>
      </c>
      <c r="G368" s="2">
        <f>IFERROR(__xludf.DUMMYFUNCTION("""COMPUTED_VALUE"""),78.1753)</f>
        <v>78.1753</v>
      </c>
    </row>
    <row r="369">
      <c r="A369" s="1" t="s">
        <v>368</v>
      </c>
      <c r="D369" s="3">
        <f>IFERROR(__xludf.DUMMYFUNCTION("SPLIT(A369, ""|"")"),43267.0)</f>
        <v>43267</v>
      </c>
      <c r="E369" s="2">
        <f>IFERROR(__xludf.DUMMYFUNCTION("""COMPUTED_VALUE"""),186663.0)</f>
        <v>186663</v>
      </c>
      <c r="F369" s="2">
        <f>IFERROR(__xludf.DUMMYFUNCTION("""COMPUTED_VALUE"""),4543649.0)</f>
        <v>4543649</v>
      </c>
      <c r="G369" s="2">
        <f>IFERROR(__xludf.DUMMYFUNCTION("""COMPUTED_VALUE"""),27.7342)</f>
        <v>27.7342</v>
      </c>
    </row>
    <row r="370">
      <c r="A370" s="1" t="s">
        <v>369</v>
      </c>
      <c r="D370" s="3">
        <f>IFERROR(__xludf.DUMMYFUNCTION("SPLIT(A370, ""|"")"),43267.0)</f>
        <v>43267</v>
      </c>
      <c r="E370" s="2">
        <f>IFERROR(__xludf.DUMMYFUNCTION("""COMPUTED_VALUE"""),1578423.0)</f>
        <v>1578423</v>
      </c>
      <c r="F370" s="2">
        <f>IFERROR(__xludf.DUMMYFUNCTION("""COMPUTED_VALUE"""),4543940.0)</f>
        <v>4543940</v>
      </c>
      <c r="G370" s="2">
        <f>IFERROR(__xludf.DUMMYFUNCTION("""COMPUTED_VALUE"""),105.4628)</f>
        <v>105.4628</v>
      </c>
    </row>
    <row r="371">
      <c r="A371" s="1" t="s">
        <v>370</v>
      </c>
      <c r="D371" s="3">
        <f>IFERROR(__xludf.DUMMYFUNCTION("SPLIT(A371, ""|"")"),43267.0)</f>
        <v>43267</v>
      </c>
      <c r="E371" s="2">
        <f>IFERROR(__xludf.DUMMYFUNCTION("""COMPUTED_VALUE"""),367683.0)</f>
        <v>367683</v>
      </c>
      <c r="F371" s="2">
        <f>IFERROR(__xludf.DUMMYFUNCTION("""COMPUTED_VALUE"""),4544130.0)</f>
        <v>4544130</v>
      </c>
      <c r="G371" s="2">
        <f>IFERROR(__xludf.DUMMYFUNCTION("""COMPUTED_VALUE"""),66.8402)</f>
        <v>66.8402</v>
      </c>
    </row>
    <row r="372">
      <c r="A372" s="1" t="s">
        <v>371</v>
      </c>
      <c r="D372" s="3">
        <f>IFERROR(__xludf.DUMMYFUNCTION("SPLIT(A372, ""|"")"),43267.0)</f>
        <v>43267</v>
      </c>
      <c r="E372" s="2">
        <f>IFERROR(__xludf.DUMMYFUNCTION("""COMPUTED_VALUE"""),1612203.0)</f>
        <v>1612203</v>
      </c>
      <c r="F372" s="2">
        <f>IFERROR(__xludf.DUMMYFUNCTION("""COMPUTED_VALUE"""),4544558.0)</f>
        <v>4544558</v>
      </c>
      <c r="G372" s="2">
        <f>IFERROR(__xludf.DUMMYFUNCTION("""COMPUTED_VALUE"""),183.4583)</f>
        <v>183.4583</v>
      </c>
    </row>
    <row r="373">
      <c r="A373" s="1" t="s">
        <v>372</v>
      </c>
      <c r="D373" s="3">
        <f>IFERROR(__xludf.DUMMYFUNCTION("SPLIT(A373, ""|"")"),43012.0)</f>
        <v>43012</v>
      </c>
      <c r="E373" s="2">
        <f>IFERROR(__xludf.DUMMYFUNCTION("""COMPUTED_VALUE"""),1338723.0)</f>
        <v>1338723</v>
      </c>
      <c r="F373" s="2">
        <f>IFERROR(__xludf.DUMMYFUNCTION("""COMPUTED_VALUE"""),3841632.0)</f>
        <v>3841632</v>
      </c>
      <c r="G373" s="2">
        <f>IFERROR(__xludf.DUMMYFUNCTION("""COMPUTED_VALUE"""),57.9758)</f>
        <v>57.9758</v>
      </c>
    </row>
    <row r="374">
      <c r="A374" s="1" t="s">
        <v>373</v>
      </c>
      <c r="D374" s="3">
        <f>IFERROR(__xludf.DUMMYFUNCTION("SPLIT(A374, ""|"")"),43012.0)</f>
        <v>43012</v>
      </c>
      <c r="E374" s="2">
        <f>IFERROR(__xludf.DUMMYFUNCTION("""COMPUTED_VALUE"""),395523.0)</f>
        <v>395523</v>
      </c>
      <c r="F374" s="2">
        <f>IFERROR(__xludf.DUMMYFUNCTION("""COMPUTED_VALUE"""),3841950.0)</f>
        <v>3841950</v>
      </c>
      <c r="G374" s="2">
        <f>IFERROR(__xludf.DUMMYFUNCTION("""COMPUTED_VALUE"""),79.7530999999999)</f>
        <v>79.7531</v>
      </c>
    </row>
    <row r="375">
      <c r="A375" s="1" t="s">
        <v>374</v>
      </c>
      <c r="D375" s="3">
        <f>IFERROR(__xludf.DUMMYFUNCTION("SPLIT(A375, ""|"")"),43012.0)</f>
        <v>43012</v>
      </c>
      <c r="E375" s="2">
        <f>IFERROR(__xludf.DUMMYFUNCTION("""COMPUTED_VALUE"""),1290123.0)</f>
        <v>1290123</v>
      </c>
      <c r="F375" s="2">
        <f>IFERROR(__xludf.DUMMYFUNCTION("""COMPUTED_VALUE"""),3843033.0)</f>
        <v>3843033</v>
      </c>
      <c r="G375" s="2">
        <f>IFERROR(__xludf.DUMMYFUNCTION("""COMPUTED_VALUE"""),168.2236)</f>
        <v>168.2236</v>
      </c>
    </row>
    <row r="376">
      <c r="A376" s="1" t="s">
        <v>375</v>
      </c>
      <c r="D376" s="3">
        <f>IFERROR(__xludf.DUMMYFUNCTION("SPLIT(A376, ""|"")"),43012.0)</f>
        <v>43012</v>
      </c>
      <c r="E376" s="2">
        <f>IFERROR(__xludf.DUMMYFUNCTION("""COMPUTED_VALUE"""),257913.0)</f>
        <v>257913</v>
      </c>
      <c r="F376" s="2">
        <f>IFERROR(__xludf.DUMMYFUNCTION("""COMPUTED_VALUE"""),3841444.0)</f>
        <v>3841444</v>
      </c>
      <c r="G376" s="2">
        <f>IFERROR(__xludf.DUMMYFUNCTION("""COMPUTED_VALUE"""),78.676)</f>
        <v>78.676</v>
      </c>
    </row>
    <row r="377">
      <c r="A377" s="1" t="s">
        <v>376</v>
      </c>
      <c r="D377" s="3">
        <f>IFERROR(__xludf.DUMMYFUNCTION("SPLIT(A377, ""|"")"),43012.0)</f>
        <v>43012</v>
      </c>
      <c r="E377" s="2">
        <f>IFERROR(__xludf.DUMMYFUNCTION("""COMPUTED_VALUE"""),361203.0)</f>
        <v>361203</v>
      </c>
      <c r="F377" s="2">
        <f>IFERROR(__xludf.DUMMYFUNCTION("""COMPUTED_VALUE"""),3842977.0)</f>
        <v>3842977</v>
      </c>
      <c r="G377" s="2">
        <f>IFERROR(__xludf.DUMMYFUNCTION("""COMPUTED_VALUE"""),65.0492999999999)</f>
        <v>65.0493</v>
      </c>
    </row>
    <row r="378">
      <c r="A378" s="1" t="s">
        <v>377</v>
      </c>
      <c r="D378" s="3">
        <f>IFERROR(__xludf.DUMMYFUNCTION("SPLIT(A378, ""|"")"),43012.0)</f>
        <v>43012</v>
      </c>
      <c r="E378" s="2">
        <f>IFERROR(__xludf.DUMMYFUNCTION("""COMPUTED_VALUE"""),184683.0)</f>
        <v>184683</v>
      </c>
      <c r="F378" s="2">
        <f>IFERROR(__xludf.DUMMYFUNCTION("""COMPUTED_VALUE"""),3843013.0)</f>
        <v>3843013</v>
      </c>
      <c r="G378" s="2">
        <f>IFERROR(__xludf.DUMMYFUNCTION("""COMPUTED_VALUE"""),85.2216)</f>
        <v>85.2216</v>
      </c>
    </row>
    <row r="379">
      <c r="A379" s="1" t="s">
        <v>378</v>
      </c>
      <c r="D379" s="3">
        <f>IFERROR(__xludf.DUMMYFUNCTION("SPLIT(A379, ""|"")"),43012.0)</f>
        <v>43012</v>
      </c>
      <c r="E379" s="2">
        <f>IFERROR(__xludf.DUMMYFUNCTION("""COMPUTED_VALUE"""),1162143.0)</f>
        <v>1162143</v>
      </c>
      <c r="F379" s="2">
        <f>IFERROR(__xludf.DUMMYFUNCTION("""COMPUTED_VALUE"""),3842122.0)</f>
        <v>3842122</v>
      </c>
      <c r="G379" s="2">
        <f>IFERROR(__xludf.DUMMYFUNCTION("""COMPUTED_VALUE"""),83.3490999999999)</f>
        <v>83.3491</v>
      </c>
    </row>
    <row r="380">
      <c r="A380" s="1" t="s">
        <v>379</v>
      </c>
      <c r="D380" s="3">
        <f>IFERROR(__xludf.DUMMYFUNCTION("SPLIT(A380, ""|"")"),43268.0)</f>
        <v>43268</v>
      </c>
      <c r="E380" s="2">
        <f>IFERROR(__xludf.DUMMYFUNCTION("""COMPUTED_VALUE"""),1478823.0)</f>
        <v>1478823</v>
      </c>
      <c r="F380" s="2">
        <f>IFERROR(__xludf.DUMMYFUNCTION("""COMPUTED_VALUE"""),4546023.0)</f>
        <v>4546023</v>
      </c>
      <c r="G380" s="2">
        <f>IFERROR(__xludf.DUMMYFUNCTION("""COMPUTED_VALUE"""),80.5332)</f>
        <v>80.5332</v>
      </c>
    </row>
    <row r="381">
      <c r="A381" s="1" t="s">
        <v>380</v>
      </c>
      <c r="D381" s="3">
        <f>IFERROR(__xludf.DUMMYFUNCTION("SPLIT(A381, ""|"")"),43268.0)</f>
        <v>43268</v>
      </c>
      <c r="E381" s="2">
        <f>IFERROR(__xludf.DUMMYFUNCTION("""COMPUTED_VALUE"""),1612473.0)</f>
        <v>1612473</v>
      </c>
      <c r="F381" s="2">
        <f>IFERROR(__xludf.DUMMYFUNCTION("""COMPUTED_VALUE"""),4545425.0)</f>
        <v>4545425</v>
      </c>
      <c r="G381" s="2">
        <f>IFERROR(__xludf.DUMMYFUNCTION("""COMPUTED_VALUE"""),35.9264)</f>
        <v>35.9264</v>
      </c>
    </row>
    <row r="382">
      <c r="A382" s="1" t="s">
        <v>381</v>
      </c>
      <c r="D382" s="3">
        <f>IFERROR(__xludf.DUMMYFUNCTION("SPLIT(A382, ""|"")"),43268.0)</f>
        <v>43268</v>
      </c>
      <c r="E382" s="2">
        <f>IFERROR(__xludf.DUMMYFUNCTION("""COMPUTED_VALUE"""),1612653.0)</f>
        <v>1612653</v>
      </c>
      <c r="F382" s="2">
        <f>IFERROR(__xludf.DUMMYFUNCTION("""COMPUTED_VALUE"""),4546365.0)</f>
        <v>4546365</v>
      </c>
      <c r="G382" s="2">
        <f>IFERROR(__xludf.DUMMYFUNCTION("""COMPUTED_VALUE"""),66.3145)</f>
        <v>66.3145</v>
      </c>
    </row>
    <row r="383">
      <c r="A383" s="1" t="s">
        <v>382</v>
      </c>
      <c r="D383" s="3">
        <f>IFERROR(__xludf.DUMMYFUNCTION("SPLIT(A383, ""|"")"),43013.0)</f>
        <v>43013</v>
      </c>
      <c r="E383" s="2">
        <f>IFERROR(__xludf.DUMMYFUNCTION("""COMPUTED_VALUE"""),1195233.0)</f>
        <v>1195233</v>
      </c>
      <c r="F383" s="2">
        <f>IFERROR(__xludf.DUMMYFUNCTION("""COMPUTED_VALUE"""),3845516.0)</f>
        <v>3845516</v>
      </c>
      <c r="G383" s="2">
        <f>IFERROR(__xludf.DUMMYFUNCTION("""COMPUTED_VALUE"""),31.3172)</f>
        <v>31.3172</v>
      </c>
    </row>
    <row r="384">
      <c r="A384" s="1" t="s">
        <v>383</v>
      </c>
      <c r="D384" s="3">
        <f>IFERROR(__xludf.DUMMYFUNCTION("SPLIT(A384, ""|"")"),43013.0)</f>
        <v>43013</v>
      </c>
      <c r="E384" s="2">
        <f>IFERROR(__xludf.DUMMYFUNCTION("""COMPUTED_VALUE"""),1426383.0)</f>
        <v>1426383</v>
      </c>
      <c r="F384" s="2">
        <f>IFERROR(__xludf.DUMMYFUNCTION("""COMPUTED_VALUE"""),3845540.0)</f>
        <v>3845540</v>
      </c>
      <c r="G384" s="2">
        <f>IFERROR(__xludf.DUMMYFUNCTION("""COMPUTED_VALUE"""),48.75)</f>
        <v>48.75</v>
      </c>
    </row>
    <row r="385">
      <c r="A385" s="1" t="s">
        <v>384</v>
      </c>
      <c r="D385" s="3">
        <f>IFERROR(__xludf.DUMMYFUNCTION("SPLIT(A385, ""|"")"),43013.0)</f>
        <v>43013</v>
      </c>
      <c r="E385" s="2">
        <f>IFERROR(__xludf.DUMMYFUNCTION("""COMPUTED_VALUE"""),1426233.0)</f>
        <v>1426233</v>
      </c>
      <c r="F385" s="2">
        <f>IFERROR(__xludf.DUMMYFUNCTION("""COMPUTED_VALUE"""),3845141.0)</f>
        <v>3845141</v>
      </c>
      <c r="G385" s="2">
        <f>IFERROR(__xludf.DUMMYFUNCTION("""COMPUTED_VALUE"""),76.7226)</f>
        <v>76.7226</v>
      </c>
    </row>
    <row r="386">
      <c r="A386" s="1" t="s">
        <v>385</v>
      </c>
      <c r="D386" s="3">
        <f>IFERROR(__xludf.DUMMYFUNCTION("SPLIT(A386, ""|"")"),43269.0)</f>
        <v>43269</v>
      </c>
      <c r="E386" s="2">
        <f>IFERROR(__xludf.DUMMYFUNCTION("""COMPUTED_VALUE"""),1197873.0)</f>
        <v>1197873</v>
      </c>
      <c r="F386" s="2">
        <f>IFERROR(__xludf.DUMMYFUNCTION("""COMPUTED_VALUE"""),4548712.0)</f>
        <v>4548712</v>
      </c>
      <c r="G386" s="2">
        <f>IFERROR(__xludf.DUMMYFUNCTION("""COMPUTED_VALUE"""),66.4461)</f>
        <v>66.4461</v>
      </c>
    </row>
    <row r="387">
      <c r="A387" s="1" t="s">
        <v>386</v>
      </c>
      <c r="D387" s="3">
        <f>IFERROR(__xludf.DUMMYFUNCTION("SPLIT(A387, ""|"")"),43269.0)</f>
        <v>43269</v>
      </c>
      <c r="E387" s="2">
        <f>IFERROR(__xludf.DUMMYFUNCTION("""COMPUTED_VALUE"""),1611873.0)</f>
        <v>1611873</v>
      </c>
      <c r="F387" s="2">
        <f>IFERROR(__xludf.DUMMYFUNCTION("""COMPUTED_VALUE"""),4548972.0)</f>
        <v>4548972</v>
      </c>
      <c r="G387" s="2">
        <f>IFERROR(__xludf.DUMMYFUNCTION("""COMPUTED_VALUE"""),63.4201)</f>
        <v>63.4201</v>
      </c>
    </row>
    <row r="388">
      <c r="A388" s="1" t="s">
        <v>387</v>
      </c>
      <c r="D388" s="3">
        <f>IFERROR(__xludf.DUMMYFUNCTION("SPLIT(A388, ""|"")"),43269.0)</f>
        <v>43269</v>
      </c>
      <c r="E388" s="2">
        <f>IFERROR(__xludf.DUMMYFUNCTION("""COMPUTED_VALUE"""),1179483.0)</f>
        <v>1179483</v>
      </c>
      <c r="F388" s="2">
        <f>IFERROR(__xludf.DUMMYFUNCTION("""COMPUTED_VALUE"""),4548265.0)</f>
        <v>4548265</v>
      </c>
      <c r="G388" s="2">
        <f>IFERROR(__xludf.DUMMYFUNCTION("""COMPUTED_VALUE"""),42.795)</f>
        <v>42.795</v>
      </c>
    </row>
    <row r="389">
      <c r="A389" s="1" t="s">
        <v>388</v>
      </c>
      <c r="D389" s="3">
        <f>IFERROR(__xludf.DUMMYFUNCTION("SPLIT(A389, ""|"")"),43269.0)</f>
        <v>43269</v>
      </c>
      <c r="E389" s="2">
        <f>IFERROR(__xludf.DUMMYFUNCTION("""COMPUTED_VALUE"""),1223523.0)</f>
        <v>1223523</v>
      </c>
      <c r="F389" s="2">
        <f>IFERROR(__xludf.DUMMYFUNCTION("""COMPUTED_VALUE"""),4548290.0)</f>
        <v>4548290</v>
      </c>
      <c r="G389" s="2">
        <f>IFERROR(__xludf.DUMMYFUNCTION("""COMPUTED_VALUE"""),112.4226)</f>
        <v>112.4226</v>
      </c>
    </row>
    <row r="390">
      <c r="A390" s="1" t="s">
        <v>389</v>
      </c>
      <c r="D390" s="3">
        <f>IFERROR(__xludf.DUMMYFUNCTION("SPLIT(A390, ""|"")"),43269.0)</f>
        <v>43269</v>
      </c>
      <c r="E390" s="2">
        <f>IFERROR(__xludf.DUMMYFUNCTION("""COMPUTED_VALUE"""),1606803.0)</f>
        <v>1606803</v>
      </c>
      <c r="F390" s="2">
        <f>IFERROR(__xludf.DUMMYFUNCTION("""COMPUTED_VALUE"""),4547709.0)</f>
        <v>4547709</v>
      </c>
      <c r="G390" s="2">
        <f>IFERROR(__xludf.DUMMYFUNCTION("""COMPUTED_VALUE"""),391.0725)</f>
        <v>391.0725</v>
      </c>
    </row>
    <row r="391">
      <c r="A391" s="1" t="s">
        <v>390</v>
      </c>
      <c r="D391" s="3">
        <f>IFERROR(__xludf.DUMMYFUNCTION("SPLIT(A391, ""|"")"),43014.0)</f>
        <v>43014</v>
      </c>
      <c r="E391" s="2">
        <f>IFERROR(__xludf.DUMMYFUNCTION("""COMPUTED_VALUE"""),230883.0)</f>
        <v>230883</v>
      </c>
      <c r="F391" s="2">
        <f>IFERROR(__xludf.DUMMYFUNCTION("""COMPUTED_VALUE"""),3847459.0)</f>
        <v>3847459</v>
      </c>
      <c r="G391" s="2">
        <f>IFERROR(__xludf.DUMMYFUNCTION("""COMPUTED_VALUE"""),82.6857999999999)</f>
        <v>82.6858</v>
      </c>
    </row>
    <row r="392">
      <c r="A392" s="1" t="s">
        <v>391</v>
      </c>
      <c r="D392" s="3">
        <f>IFERROR(__xludf.DUMMYFUNCTION("SPLIT(A392, ""|"")"),43014.0)</f>
        <v>43014</v>
      </c>
      <c r="E392" s="2">
        <f>IFERROR(__xludf.DUMMYFUNCTION("""COMPUTED_VALUE"""),1128333.0)</f>
        <v>1128333</v>
      </c>
      <c r="F392" s="2">
        <f>IFERROR(__xludf.DUMMYFUNCTION("""COMPUTED_VALUE"""),3847213.0)</f>
        <v>3847213</v>
      </c>
      <c r="G392" s="2">
        <f>IFERROR(__xludf.DUMMYFUNCTION("""COMPUTED_VALUE"""),42.6449999999999)</f>
        <v>42.645</v>
      </c>
    </row>
    <row r="393">
      <c r="A393" s="1" t="s">
        <v>392</v>
      </c>
      <c r="D393" s="3">
        <f>IFERROR(__xludf.DUMMYFUNCTION("SPLIT(A393, ""|"")"),43014.0)</f>
        <v>43014</v>
      </c>
      <c r="E393" s="2">
        <f>IFERROR(__xludf.DUMMYFUNCTION("""COMPUTED_VALUE"""),426423.0)</f>
        <v>426423</v>
      </c>
      <c r="F393" s="2">
        <f>IFERROR(__xludf.DUMMYFUNCTION("""COMPUTED_VALUE"""),3846974.0)</f>
        <v>3846974</v>
      </c>
      <c r="G393" s="2">
        <f>IFERROR(__xludf.DUMMYFUNCTION("""COMPUTED_VALUE"""),97.0255)</f>
        <v>97.0255</v>
      </c>
    </row>
    <row r="394">
      <c r="A394" s="1" t="s">
        <v>393</v>
      </c>
      <c r="D394" s="3">
        <f>IFERROR(__xludf.DUMMYFUNCTION("SPLIT(A394, ""|"")"),43014.0)</f>
        <v>43014</v>
      </c>
      <c r="E394" s="2">
        <f>IFERROR(__xludf.DUMMYFUNCTION("""COMPUTED_VALUE"""),1296213.0)</f>
        <v>1296213</v>
      </c>
      <c r="F394" s="2">
        <f>IFERROR(__xludf.DUMMYFUNCTION("""COMPUTED_VALUE"""),3847578.0)</f>
        <v>3847578</v>
      </c>
      <c r="G394" s="2">
        <f>IFERROR(__xludf.DUMMYFUNCTION("""COMPUTED_VALUE"""),83.5134)</f>
        <v>83.5134</v>
      </c>
    </row>
    <row r="395">
      <c r="A395" s="1" t="s">
        <v>394</v>
      </c>
      <c r="D395" s="3">
        <f>IFERROR(__xludf.DUMMYFUNCTION("SPLIT(A395, ""|"")"),43270.0)</f>
        <v>43270</v>
      </c>
      <c r="E395" s="2">
        <f>IFERROR(__xludf.DUMMYFUNCTION("""COMPUTED_VALUE"""),1413543.0)</f>
        <v>1413543</v>
      </c>
      <c r="F395" s="2">
        <f>IFERROR(__xludf.DUMMYFUNCTION("""COMPUTED_VALUE"""),4550835.0)</f>
        <v>4550835</v>
      </c>
      <c r="G395" s="2">
        <f>IFERROR(__xludf.DUMMYFUNCTION("""COMPUTED_VALUE"""),83.7674)</f>
        <v>83.7674</v>
      </c>
    </row>
    <row r="396">
      <c r="A396" s="1" t="s">
        <v>395</v>
      </c>
      <c r="D396" s="3">
        <f>IFERROR(__xludf.DUMMYFUNCTION("SPLIT(A396, ""|"")"),43270.0)</f>
        <v>43270</v>
      </c>
      <c r="E396" s="2">
        <f>IFERROR(__xludf.DUMMYFUNCTION("""COMPUTED_VALUE"""),1450893.0)</f>
        <v>1450893</v>
      </c>
      <c r="F396" s="2">
        <f>IFERROR(__xludf.DUMMYFUNCTION("""COMPUTED_VALUE"""),4551134.0)</f>
        <v>4551134</v>
      </c>
      <c r="G396" s="2">
        <f>IFERROR(__xludf.DUMMYFUNCTION("""COMPUTED_VALUE"""),66.8839999999999)</f>
        <v>66.884</v>
      </c>
    </row>
    <row r="397">
      <c r="A397" s="1" t="s">
        <v>396</v>
      </c>
      <c r="D397" s="3">
        <f>IFERROR(__xludf.DUMMYFUNCTION("SPLIT(A397, ""|"")"),43270.0)</f>
        <v>43270</v>
      </c>
      <c r="E397" s="2">
        <f>IFERROR(__xludf.DUMMYFUNCTION("""COMPUTED_VALUE"""),1450893.0)</f>
        <v>1450893</v>
      </c>
      <c r="F397" s="2">
        <f>IFERROR(__xludf.DUMMYFUNCTION("""COMPUTED_VALUE"""),4549421.0)</f>
        <v>4549421</v>
      </c>
      <c r="G397" s="2">
        <f>IFERROR(__xludf.DUMMYFUNCTION("""COMPUTED_VALUE"""),94.0681)</f>
        <v>94.0681</v>
      </c>
    </row>
    <row r="398">
      <c r="A398" s="1" t="s">
        <v>397</v>
      </c>
      <c r="D398" s="3">
        <f>IFERROR(__xludf.DUMMYFUNCTION("SPLIT(A398, ""|"")"),43270.0)</f>
        <v>43270</v>
      </c>
      <c r="E398" s="2">
        <f>IFERROR(__xludf.DUMMYFUNCTION("""COMPUTED_VALUE"""),1613673.0)</f>
        <v>1613673</v>
      </c>
      <c r="F398" s="2">
        <f>IFERROR(__xludf.DUMMYFUNCTION("""COMPUTED_VALUE"""),4551321.0)</f>
        <v>4551321</v>
      </c>
      <c r="G398" s="2">
        <f>IFERROR(__xludf.DUMMYFUNCTION("""COMPUTED_VALUE"""),19.6581999999999)</f>
        <v>19.6582</v>
      </c>
    </row>
    <row r="399">
      <c r="A399" s="1" t="s">
        <v>398</v>
      </c>
      <c r="D399" s="3">
        <f>IFERROR(__xludf.DUMMYFUNCTION("SPLIT(A399, ""|"")"),43015.0)</f>
        <v>43015</v>
      </c>
      <c r="E399" s="2">
        <f>IFERROR(__xludf.DUMMYFUNCTION("""COMPUTED_VALUE"""),217743.0)</f>
        <v>217743</v>
      </c>
      <c r="F399" s="2">
        <f>IFERROR(__xludf.DUMMYFUNCTION("""COMPUTED_VALUE"""),3849361.0)</f>
        <v>3849361</v>
      </c>
      <c r="G399" s="2">
        <f>IFERROR(__xludf.DUMMYFUNCTION("""COMPUTED_VALUE"""),112.4275)</f>
        <v>112.4275</v>
      </c>
    </row>
    <row r="400">
      <c r="A400" s="1" t="s">
        <v>399</v>
      </c>
      <c r="D400" s="3">
        <f>IFERROR(__xludf.DUMMYFUNCTION("SPLIT(A400, ""|"")"),43015.0)</f>
        <v>43015</v>
      </c>
      <c r="E400" s="2">
        <f>IFERROR(__xludf.DUMMYFUNCTION("""COMPUTED_VALUE"""),1427553.0)</f>
        <v>1427553</v>
      </c>
      <c r="F400" s="2">
        <f>IFERROR(__xludf.DUMMYFUNCTION("""COMPUTED_VALUE"""),3849623.0)</f>
        <v>3849623</v>
      </c>
      <c r="G400" s="2">
        <f>IFERROR(__xludf.DUMMYFUNCTION("""COMPUTED_VALUE"""),77.4134)</f>
        <v>77.4134</v>
      </c>
    </row>
    <row r="401">
      <c r="A401" s="1" t="s">
        <v>400</v>
      </c>
      <c r="D401" s="3">
        <f>IFERROR(__xludf.DUMMYFUNCTION("SPLIT(A401, ""|"")"),43015.0)</f>
        <v>43015</v>
      </c>
      <c r="E401" s="2">
        <f>IFERROR(__xludf.DUMMYFUNCTION("""COMPUTED_VALUE"""),231213.0)</f>
        <v>231213</v>
      </c>
      <c r="F401" s="2">
        <f>IFERROR(__xludf.DUMMYFUNCTION("""COMPUTED_VALUE"""),3849277.0)</f>
        <v>3849277</v>
      </c>
      <c r="G401" s="2">
        <f>IFERROR(__xludf.DUMMYFUNCTION("""COMPUTED_VALUE"""),156.3637)</f>
        <v>156.3637</v>
      </c>
    </row>
    <row r="402">
      <c r="A402" s="1" t="s">
        <v>401</v>
      </c>
      <c r="D402" s="3">
        <f>IFERROR(__xludf.DUMMYFUNCTION("SPLIT(A402, ""|"")"),43015.0)</f>
        <v>43015</v>
      </c>
      <c r="E402" s="2">
        <f>IFERROR(__xludf.DUMMYFUNCTION("""COMPUTED_VALUE"""),447933.0)</f>
        <v>447933</v>
      </c>
      <c r="F402" s="2">
        <f>IFERROR(__xludf.DUMMYFUNCTION("""COMPUTED_VALUE"""),3848558.0)</f>
        <v>3848558</v>
      </c>
      <c r="G402" s="2">
        <f>IFERROR(__xludf.DUMMYFUNCTION("""COMPUTED_VALUE"""),16.3506)</f>
        <v>16.3506</v>
      </c>
    </row>
    <row r="403">
      <c r="A403" s="1" t="s">
        <v>402</v>
      </c>
      <c r="D403" s="3">
        <f>IFERROR(__xludf.DUMMYFUNCTION("SPLIT(A403, ""|"")"),43015.0)</f>
        <v>43015</v>
      </c>
      <c r="E403" s="2">
        <f>IFERROR(__xludf.DUMMYFUNCTION("""COMPUTED_VALUE"""),1423353.0)</f>
        <v>1423353</v>
      </c>
      <c r="F403" s="2">
        <f>IFERROR(__xludf.DUMMYFUNCTION("""COMPUTED_VALUE"""),3849152.0)</f>
        <v>3849152</v>
      </c>
      <c r="G403" s="2">
        <f>IFERROR(__xludf.DUMMYFUNCTION("""COMPUTED_VALUE"""),104.25)</f>
        <v>104.25</v>
      </c>
    </row>
    <row r="404">
      <c r="A404" s="1" t="s">
        <v>403</v>
      </c>
      <c r="D404" s="3">
        <f>IFERROR(__xludf.DUMMYFUNCTION("SPLIT(A404, ""|"")"),43271.0)</f>
        <v>43271</v>
      </c>
      <c r="E404" s="2">
        <f>IFERROR(__xludf.DUMMYFUNCTION("""COMPUTED_VALUE"""),1292223.0)</f>
        <v>1292223</v>
      </c>
      <c r="F404" s="2">
        <f>IFERROR(__xludf.DUMMYFUNCTION("""COMPUTED_VALUE"""),4552442.0)</f>
        <v>4552442</v>
      </c>
      <c r="G404" s="2">
        <f>IFERROR(__xludf.DUMMYFUNCTION("""COMPUTED_VALUE"""),68.7437)</f>
        <v>68.7437</v>
      </c>
    </row>
    <row r="405">
      <c r="A405" s="1" t="s">
        <v>404</v>
      </c>
      <c r="D405" s="3">
        <f>IFERROR(__xludf.DUMMYFUNCTION("SPLIT(A405, ""|"")"),43271.0)</f>
        <v>43271</v>
      </c>
      <c r="E405" s="2">
        <f>IFERROR(__xludf.DUMMYFUNCTION("""COMPUTED_VALUE"""),1580073.0)</f>
        <v>1580073</v>
      </c>
      <c r="F405" s="2">
        <f>IFERROR(__xludf.DUMMYFUNCTION("""COMPUTED_VALUE"""),4552039.0)</f>
        <v>4552039</v>
      </c>
      <c r="G405" s="2">
        <f>IFERROR(__xludf.DUMMYFUNCTION("""COMPUTED_VALUE"""),40.4311)</f>
        <v>40.4311</v>
      </c>
    </row>
    <row r="406">
      <c r="A406" s="1" t="s">
        <v>405</v>
      </c>
      <c r="D406" s="3">
        <f>IFERROR(__xludf.DUMMYFUNCTION("SPLIT(A406, ""|"")"),43271.0)</f>
        <v>43271</v>
      </c>
      <c r="E406" s="2">
        <f>IFERROR(__xludf.DUMMYFUNCTION("""COMPUTED_VALUE"""),1610103.0)</f>
        <v>1610103</v>
      </c>
      <c r="F406" s="2">
        <f>IFERROR(__xludf.DUMMYFUNCTION("""COMPUTED_VALUE"""),4552977.0)</f>
        <v>4552977</v>
      </c>
      <c r="G406" s="2">
        <f>IFERROR(__xludf.DUMMYFUNCTION("""COMPUTED_VALUE"""),20.8125)</f>
        <v>20.8125</v>
      </c>
    </row>
    <row r="407">
      <c r="A407" s="1" t="s">
        <v>406</v>
      </c>
      <c r="D407" s="3">
        <f>IFERROR(__xludf.DUMMYFUNCTION("SPLIT(A407, ""|"")"),43271.0)</f>
        <v>43271</v>
      </c>
      <c r="E407" s="2">
        <f>IFERROR(__xludf.DUMMYFUNCTION("""COMPUTED_VALUE"""),1334643.0)</f>
        <v>1334643</v>
      </c>
      <c r="F407" s="2">
        <f>IFERROR(__xludf.DUMMYFUNCTION("""COMPUTED_VALUE"""),4551691.0)</f>
        <v>4551691</v>
      </c>
      <c r="G407" s="2">
        <f>IFERROR(__xludf.DUMMYFUNCTION("""COMPUTED_VALUE"""),87.1409)</f>
        <v>87.1409</v>
      </c>
    </row>
    <row r="408">
      <c r="A408" s="1" t="s">
        <v>407</v>
      </c>
      <c r="D408" s="3">
        <f>IFERROR(__xludf.DUMMYFUNCTION("SPLIT(A408, ""|"")"),43271.0)</f>
        <v>43271</v>
      </c>
      <c r="E408" s="2">
        <f>IFERROR(__xludf.DUMMYFUNCTION("""COMPUTED_VALUE"""),1613733.0)</f>
        <v>1613733</v>
      </c>
      <c r="F408" s="2">
        <f>IFERROR(__xludf.DUMMYFUNCTION("""COMPUTED_VALUE"""),4551674.0)</f>
        <v>4551674</v>
      </c>
      <c r="G408" s="2">
        <f>IFERROR(__xludf.DUMMYFUNCTION("""COMPUTED_VALUE"""),49.9167)</f>
        <v>49.9167</v>
      </c>
    </row>
    <row r="409">
      <c r="A409" s="1" t="s">
        <v>408</v>
      </c>
      <c r="D409" s="3">
        <f>IFERROR(__xludf.DUMMYFUNCTION("SPLIT(A409, ""|"")"),43016.0)</f>
        <v>43016</v>
      </c>
      <c r="E409" s="2">
        <f>IFERROR(__xludf.DUMMYFUNCTION("""COMPUTED_VALUE"""),367683.0)</f>
        <v>367683</v>
      </c>
      <c r="F409" s="2">
        <f>IFERROR(__xludf.DUMMYFUNCTION("""COMPUTED_VALUE"""),3850877.0)</f>
        <v>3850877</v>
      </c>
      <c r="G409" s="2">
        <f>IFERROR(__xludf.DUMMYFUNCTION("""COMPUTED_VALUE"""),86.7555999999999)</f>
        <v>86.7556</v>
      </c>
    </row>
    <row r="410">
      <c r="A410" s="1" t="s">
        <v>409</v>
      </c>
      <c r="D410" s="3">
        <f>IFERROR(__xludf.DUMMYFUNCTION("SPLIT(A410, ""|"")"),43016.0)</f>
        <v>43016</v>
      </c>
      <c r="E410" s="2">
        <f>IFERROR(__xludf.DUMMYFUNCTION("""COMPUTED_VALUE"""),1427913.0)</f>
        <v>1427913</v>
      </c>
      <c r="F410" s="2">
        <f>IFERROR(__xludf.DUMMYFUNCTION("""COMPUTED_VALUE"""),3850954.0)</f>
        <v>3850954</v>
      </c>
      <c r="G410" s="2">
        <f>IFERROR(__xludf.DUMMYFUNCTION("""COMPUTED_VALUE"""),14.085)</f>
        <v>14.085</v>
      </c>
    </row>
    <row r="411">
      <c r="A411" s="1" t="s">
        <v>410</v>
      </c>
      <c r="D411" s="3">
        <f>IFERROR(__xludf.DUMMYFUNCTION("SPLIT(A411, ""|"")"),43016.0)</f>
        <v>43016</v>
      </c>
      <c r="E411" s="2">
        <f>IFERROR(__xludf.DUMMYFUNCTION("""COMPUTED_VALUE"""),998673.0)</f>
        <v>998673</v>
      </c>
      <c r="F411" s="2">
        <f>IFERROR(__xludf.DUMMYFUNCTION("""COMPUTED_VALUE"""),3849894.0)</f>
        <v>3849894</v>
      </c>
      <c r="G411" s="2">
        <f>IFERROR(__xludf.DUMMYFUNCTION("""COMPUTED_VALUE"""),129.0838)</f>
        <v>129.0838</v>
      </c>
    </row>
    <row r="412">
      <c r="A412" s="1" t="s">
        <v>411</v>
      </c>
      <c r="D412" s="3">
        <f>IFERROR(__xludf.DUMMYFUNCTION("SPLIT(A412, ""|"")"),43016.0)</f>
        <v>43016</v>
      </c>
      <c r="E412" s="2">
        <f>IFERROR(__xludf.DUMMYFUNCTION("""COMPUTED_VALUE"""),1428003.0)</f>
        <v>1428003</v>
      </c>
      <c r="F412" s="2">
        <f>IFERROR(__xludf.DUMMYFUNCTION("""COMPUTED_VALUE"""),3851413.0)</f>
        <v>3851413</v>
      </c>
      <c r="G412" s="2">
        <f>IFERROR(__xludf.DUMMYFUNCTION("""COMPUTED_VALUE"""),58.9731)</f>
        <v>58.9731</v>
      </c>
    </row>
    <row r="413">
      <c r="A413" s="1" t="s">
        <v>412</v>
      </c>
      <c r="D413" s="3">
        <f>IFERROR(__xludf.DUMMYFUNCTION("SPLIT(A413, ""|"")"),43016.0)</f>
        <v>43016</v>
      </c>
      <c r="E413" s="2">
        <f>IFERROR(__xludf.DUMMYFUNCTION("""COMPUTED_VALUE"""),1384563.0)</f>
        <v>1384563</v>
      </c>
      <c r="F413" s="2">
        <f>IFERROR(__xludf.DUMMYFUNCTION("""COMPUTED_VALUE"""),3852492.0)</f>
        <v>3852492</v>
      </c>
      <c r="G413" s="2">
        <f>IFERROR(__xludf.DUMMYFUNCTION("""COMPUTED_VALUE"""),48.75)</f>
        <v>48.75</v>
      </c>
    </row>
    <row r="414">
      <c r="A414" s="1" t="s">
        <v>413</v>
      </c>
      <c r="D414" s="3">
        <f>IFERROR(__xludf.DUMMYFUNCTION("SPLIT(A414, ""|"")"),43272.0)</f>
        <v>43272</v>
      </c>
      <c r="E414" s="2">
        <f>IFERROR(__xludf.DUMMYFUNCTION("""COMPUTED_VALUE"""),1478463.0)</f>
        <v>1478463</v>
      </c>
      <c r="F414" s="2">
        <f>IFERROR(__xludf.DUMMYFUNCTION("""COMPUTED_VALUE"""),4554836.0)</f>
        <v>4554836</v>
      </c>
      <c r="G414" s="2">
        <f>IFERROR(__xludf.DUMMYFUNCTION("""COMPUTED_VALUE"""),57.2052999999999)</f>
        <v>57.2053</v>
      </c>
    </row>
    <row r="415">
      <c r="A415" s="1" t="s">
        <v>414</v>
      </c>
      <c r="D415" s="3">
        <f>IFERROR(__xludf.DUMMYFUNCTION("SPLIT(A415, ""|"")"),43272.0)</f>
        <v>43272</v>
      </c>
      <c r="E415" s="2">
        <f>IFERROR(__xludf.DUMMYFUNCTION("""COMPUTED_VALUE"""),1489683.0)</f>
        <v>1489683</v>
      </c>
      <c r="F415" s="2">
        <f>IFERROR(__xludf.DUMMYFUNCTION("""COMPUTED_VALUE"""),4555219.0)</f>
        <v>4555219</v>
      </c>
      <c r="G415" s="2">
        <f>IFERROR(__xludf.DUMMYFUNCTION("""COMPUTED_VALUE"""),47.7612)</f>
        <v>47.7612</v>
      </c>
    </row>
    <row r="416">
      <c r="A416" s="1" t="s">
        <v>415</v>
      </c>
      <c r="D416" s="3">
        <f>IFERROR(__xludf.DUMMYFUNCTION("SPLIT(A416, ""|"")"),43272.0)</f>
        <v>43272</v>
      </c>
      <c r="E416" s="2">
        <f>IFERROR(__xludf.DUMMYFUNCTION("""COMPUTED_VALUE"""),1569543.0)</f>
        <v>1569543</v>
      </c>
      <c r="F416" s="2">
        <f>IFERROR(__xludf.DUMMYFUNCTION("""COMPUTED_VALUE"""),4555236.0)</f>
        <v>4555236</v>
      </c>
      <c r="G416" s="2">
        <f>IFERROR(__xludf.DUMMYFUNCTION("""COMPUTED_VALUE"""),58.4319)</f>
        <v>58.4319</v>
      </c>
    </row>
    <row r="417">
      <c r="A417" s="1" t="s">
        <v>416</v>
      </c>
      <c r="D417" s="3">
        <f>IFERROR(__xludf.DUMMYFUNCTION("SPLIT(A417, ""|"")"),43272.0)</f>
        <v>43272</v>
      </c>
      <c r="E417" s="2">
        <f>IFERROR(__xludf.DUMMYFUNCTION("""COMPUTED_VALUE"""),1286103.0)</f>
        <v>1286103</v>
      </c>
      <c r="F417" s="2">
        <f>IFERROR(__xludf.DUMMYFUNCTION("""COMPUTED_VALUE"""),4554866.0)</f>
        <v>4554866</v>
      </c>
      <c r="G417" s="2">
        <f>IFERROR(__xludf.DUMMYFUNCTION("""COMPUTED_VALUE"""),124.6688)</f>
        <v>124.6688</v>
      </c>
    </row>
    <row r="418">
      <c r="A418" s="1" t="s">
        <v>417</v>
      </c>
      <c r="D418" s="3">
        <f>IFERROR(__xludf.DUMMYFUNCTION("SPLIT(A418, ""|"")"),43272.0)</f>
        <v>43272</v>
      </c>
      <c r="E418" s="2">
        <f>IFERROR(__xludf.DUMMYFUNCTION("""COMPUTED_VALUE"""),1433553.0)</f>
        <v>1433553</v>
      </c>
      <c r="F418" s="2">
        <f>IFERROR(__xludf.DUMMYFUNCTION("""COMPUTED_VALUE"""),4554325.0)</f>
        <v>4554325</v>
      </c>
      <c r="G418" s="2">
        <f>IFERROR(__xludf.DUMMYFUNCTION("""COMPUTED_VALUE"""),139.1781)</f>
        <v>139.1781</v>
      </c>
    </row>
    <row r="419">
      <c r="A419" s="1" t="s">
        <v>418</v>
      </c>
      <c r="D419" s="3">
        <f>IFERROR(__xludf.DUMMYFUNCTION("SPLIT(A419, ""|"")"),43272.0)</f>
        <v>43272</v>
      </c>
      <c r="E419" s="2">
        <f>IFERROR(__xludf.DUMMYFUNCTION("""COMPUTED_VALUE"""),1367703.0)</f>
        <v>1367703</v>
      </c>
      <c r="F419" s="2">
        <f>IFERROR(__xludf.DUMMYFUNCTION("""COMPUTED_VALUE"""),4555088.0)</f>
        <v>4555088</v>
      </c>
      <c r="G419" s="2">
        <f>IFERROR(__xludf.DUMMYFUNCTION("""COMPUTED_VALUE"""),82.1448)</f>
        <v>82.1448</v>
      </c>
    </row>
    <row r="420">
      <c r="A420" s="1" t="s">
        <v>419</v>
      </c>
      <c r="D420" s="3">
        <f>IFERROR(__xludf.DUMMYFUNCTION("SPLIT(A420, ""|"")"),43017.0)</f>
        <v>43017</v>
      </c>
      <c r="E420" s="2">
        <f>IFERROR(__xludf.DUMMYFUNCTION("""COMPUTED_VALUE"""),1428633.0)</f>
        <v>1428633</v>
      </c>
      <c r="F420" s="2">
        <f>IFERROR(__xludf.DUMMYFUNCTION("""COMPUTED_VALUE"""),3854095.0)</f>
        <v>3854095</v>
      </c>
      <c r="G420" s="2">
        <f>IFERROR(__xludf.DUMMYFUNCTION("""COMPUTED_VALUE"""),83.6553)</f>
        <v>83.6553</v>
      </c>
    </row>
    <row r="421">
      <c r="A421" s="1" t="s">
        <v>420</v>
      </c>
      <c r="D421" s="3">
        <f>IFERROR(__xludf.DUMMYFUNCTION("SPLIT(A421, ""|"")"),43017.0)</f>
        <v>43017</v>
      </c>
      <c r="E421" s="2">
        <f>IFERROR(__xludf.DUMMYFUNCTION("""COMPUTED_VALUE"""),1427613.0)</f>
        <v>1427613</v>
      </c>
      <c r="F421" s="2">
        <f>IFERROR(__xludf.DUMMYFUNCTION("""COMPUTED_VALUE"""),3855587.0)</f>
        <v>3855587</v>
      </c>
      <c r="G421" s="2">
        <f>IFERROR(__xludf.DUMMYFUNCTION("""COMPUTED_VALUE"""),67.4059)</f>
        <v>67.4059</v>
      </c>
    </row>
    <row r="422">
      <c r="A422" s="1" t="s">
        <v>421</v>
      </c>
      <c r="D422" s="3">
        <f>IFERROR(__xludf.DUMMYFUNCTION("SPLIT(A422, ""|"")"),43017.0)</f>
        <v>43017</v>
      </c>
      <c r="E422" s="2">
        <f>IFERROR(__xludf.DUMMYFUNCTION("""COMPUTED_VALUE"""),1429053.0)</f>
        <v>1429053</v>
      </c>
      <c r="F422" s="2">
        <f>IFERROR(__xludf.DUMMYFUNCTION("""COMPUTED_VALUE"""),3855690.0)</f>
        <v>3855690</v>
      </c>
      <c r="G422" s="2">
        <f>IFERROR(__xludf.DUMMYFUNCTION("""COMPUTED_VALUE"""),39.3050999999999)</f>
        <v>39.3051</v>
      </c>
    </row>
    <row r="423">
      <c r="A423" s="1" t="s">
        <v>422</v>
      </c>
      <c r="D423" s="3">
        <f>IFERROR(__xludf.DUMMYFUNCTION("SPLIT(A423, ""|"")"),43273.0)</f>
        <v>43273</v>
      </c>
      <c r="E423" s="2">
        <f>IFERROR(__xludf.DUMMYFUNCTION("""COMPUTED_VALUE"""),430593.0)</f>
        <v>430593</v>
      </c>
      <c r="F423" s="2">
        <f>IFERROR(__xludf.DUMMYFUNCTION("""COMPUTED_VALUE"""),4556032.0)</f>
        <v>4556032</v>
      </c>
      <c r="G423" s="2">
        <f>IFERROR(__xludf.DUMMYFUNCTION("""COMPUTED_VALUE"""),49.7933)</f>
        <v>49.7933</v>
      </c>
    </row>
    <row r="424">
      <c r="A424" s="1" t="s">
        <v>423</v>
      </c>
      <c r="D424" s="3">
        <f>IFERROR(__xludf.DUMMYFUNCTION("SPLIT(A424, ""|"")"),43273.0)</f>
        <v>43273</v>
      </c>
      <c r="E424" s="2">
        <f>IFERROR(__xludf.DUMMYFUNCTION("""COMPUTED_VALUE"""),1387113.0)</f>
        <v>1387113</v>
      </c>
      <c r="F424" s="2">
        <f>IFERROR(__xludf.DUMMYFUNCTION("""COMPUTED_VALUE"""),4555712.0)</f>
        <v>4555712</v>
      </c>
      <c r="G424" s="2">
        <f>IFERROR(__xludf.DUMMYFUNCTION("""COMPUTED_VALUE"""),76.3453)</f>
        <v>76.3453</v>
      </c>
    </row>
    <row r="425">
      <c r="A425" s="1" t="s">
        <v>424</v>
      </c>
      <c r="D425" s="3">
        <f>IFERROR(__xludf.DUMMYFUNCTION("SPLIT(A425, ""|"")"),43273.0)</f>
        <v>43273</v>
      </c>
      <c r="E425" s="2">
        <f>IFERROR(__xludf.DUMMYFUNCTION("""COMPUTED_VALUE"""),1614843.0)</f>
        <v>1614843</v>
      </c>
      <c r="F425" s="2">
        <f>IFERROR(__xludf.DUMMYFUNCTION("""COMPUTED_VALUE"""),4556810.0)</f>
        <v>4556810</v>
      </c>
      <c r="G425" s="2">
        <f>IFERROR(__xludf.DUMMYFUNCTION("""COMPUTED_VALUE"""),39.7395)</f>
        <v>39.7395</v>
      </c>
    </row>
    <row r="426">
      <c r="A426" s="1" t="s">
        <v>425</v>
      </c>
      <c r="D426" s="3">
        <f>IFERROR(__xludf.DUMMYFUNCTION("SPLIT(A426, ""|"")"),43273.0)</f>
        <v>43273</v>
      </c>
      <c r="E426" s="2">
        <f>IFERROR(__xludf.DUMMYFUNCTION("""COMPUTED_VALUE"""),1614633.0)</f>
        <v>1614633</v>
      </c>
      <c r="F426" s="2">
        <f>IFERROR(__xludf.DUMMYFUNCTION("""COMPUTED_VALUE"""),4555911.0)</f>
        <v>4555911</v>
      </c>
      <c r="G426" s="2">
        <f>IFERROR(__xludf.DUMMYFUNCTION("""COMPUTED_VALUE"""),19.469)</f>
        <v>19.469</v>
      </c>
    </row>
    <row r="427">
      <c r="A427" s="1" t="s">
        <v>426</v>
      </c>
      <c r="D427" s="3">
        <f>IFERROR(__xludf.DUMMYFUNCTION("SPLIT(A427, ""|"")"),43273.0)</f>
        <v>43273</v>
      </c>
      <c r="E427" s="2">
        <f>IFERROR(__xludf.DUMMYFUNCTION("""COMPUTED_VALUE"""),1604373.0)</f>
        <v>1604373</v>
      </c>
      <c r="F427" s="2">
        <f>IFERROR(__xludf.DUMMYFUNCTION("""COMPUTED_VALUE"""),4556535.0)</f>
        <v>4556535</v>
      </c>
      <c r="G427" s="2">
        <f>IFERROR(__xludf.DUMMYFUNCTION("""COMPUTED_VALUE"""),64.7815)</f>
        <v>64.7815</v>
      </c>
    </row>
    <row r="428">
      <c r="A428" s="1" t="s">
        <v>427</v>
      </c>
      <c r="D428" s="3">
        <f>IFERROR(__xludf.DUMMYFUNCTION("SPLIT(A428, ""|"")"),43018.0)</f>
        <v>43018</v>
      </c>
      <c r="E428" s="2">
        <f>IFERROR(__xludf.DUMMYFUNCTION("""COMPUTED_VALUE"""),1089273.0)</f>
        <v>1089273</v>
      </c>
      <c r="F428" s="2">
        <f>IFERROR(__xludf.DUMMYFUNCTION("""COMPUTED_VALUE"""),3857315.0)</f>
        <v>3857315</v>
      </c>
      <c r="G428" s="2">
        <f>IFERROR(__xludf.DUMMYFUNCTION("""COMPUTED_VALUE"""),32.37)</f>
        <v>32.37</v>
      </c>
    </row>
    <row r="429">
      <c r="A429" s="1" t="s">
        <v>428</v>
      </c>
      <c r="D429" s="3">
        <f>IFERROR(__xludf.DUMMYFUNCTION("SPLIT(A429, ""|"")"),43018.0)</f>
        <v>43018</v>
      </c>
      <c r="E429" s="2">
        <f>IFERROR(__xludf.DUMMYFUNCTION("""COMPUTED_VALUE"""),1429623.0)</f>
        <v>1429623</v>
      </c>
      <c r="F429" s="2">
        <f>IFERROR(__xludf.DUMMYFUNCTION("""COMPUTED_VALUE"""),3858146.0)</f>
        <v>3858146</v>
      </c>
      <c r="G429" s="2">
        <f>IFERROR(__xludf.DUMMYFUNCTION("""COMPUTED_VALUE"""),52.4304)</f>
        <v>52.4304</v>
      </c>
    </row>
    <row r="430">
      <c r="A430" s="1" t="s">
        <v>429</v>
      </c>
      <c r="D430" s="3">
        <f>IFERROR(__xludf.DUMMYFUNCTION("SPLIT(A430, ""|"")"),43018.0)</f>
        <v>43018</v>
      </c>
      <c r="E430" s="2">
        <f>IFERROR(__xludf.DUMMYFUNCTION("""COMPUTED_VALUE"""),1409553.0)</f>
        <v>1409553</v>
      </c>
      <c r="F430" s="2">
        <f>IFERROR(__xludf.DUMMYFUNCTION("""COMPUTED_VALUE"""),3857767.0)</f>
        <v>3857767</v>
      </c>
      <c r="G430" s="2">
        <f>IFERROR(__xludf.DUMMYFUNCTION("""COMPUTED_VALUE"""),65.1464999999999)</f>
        <v>65.1465</v>
      </c>
    </row>
    <row r="431">
      <c r="A431" s="1" t="s">
        <v>430</v>
      </c>
      <c r="D431" s="3">
        <f>IFERROR(__xludf.DUMMYFUNCTION("SPLIT(A431, ""|"")"),43018.0)</f>
        <v>43018</v>
      </c>
      <c r="E431" s="2">
        <f>IFERROR(__xludf.DUMMYFUNCTION("""COMPUTED_VALUE"""),1324833.0)</f>
        <v>1324833</v>
      </c>
      <c r="F431" s="2">
        <f>IFERROR(__xludf.DUMMYFUNCTION("""COMPUTED_VALUE"""),3856240.0)</f>
        <v>3856240</v>
      </c>
      <c r="G431" s="2">
        <f>IFERROR(__xludf.DUMMYFUNCTION("""COMPUTED_VALUE"""),33.1659)</f>
        <v>33.1659</v>
      </c>
    </row>
    <row r="432">
      <c r="A432" s="1" t="s">
        <v>431</v>
      </c>
      <c r="D432" s="3">
        <f>IFERROR(__xludf.DUMMYFUNCTION("SPLIT(A432, ""|"")"),43018.0)</f>
        <v>43018</v>
      </c>
      <c r="E432" s="2">
        <f>IFERROR(__xludf.DUMMYFUNCTION("""COMPUTED_VALUE"""),1209063.0)</f>
        <v>1209063</v>
      </c>
      <c r="F432" s="2">
        <f>IFERROR(__xludf.DUMMYFUNCTION("""COMPUTED_VALUE"""),3857928.0)</f>
        <v>3857928</v>
      </c>
      <c r="G432" s="2">
        <f>IFERROR(__xludf.DUMMYFUNCTION("""COMPUTED_VALUE"""),66.7415999999999)</f>
        <v>66.7416</v>
      </c>
    </row>
    <row r="433">
      <c r="A433" s="1" t="s">
        <v>432</v>
      </c>
      <c r="D433" s="3">
        <f>IFERROR(__xludf.DUMMYFUNCTION("SPLIT(A433, ""|"")"),43274.0)</f>
        <v>43274</v>
      </c>
      <c r="E433" s="2">
        <f>IFERROR(__xludf.DUMMYFUNCTION("""COMPUTED_VALUE"""),1291233.0)</f>
        <v>1291233</v>
      </c>
      <c r="F433" s="2">
        <f>IFERROR(__xludf.DUMMYFUNCTION("""COMPUTED_VALUE"""),4558668.0)</f>
        <v>4558668</v>
      </c>
      <c r="G433" s="2">
        <f>IFERROR(__xludf.DUMMYFUNCTION("""COMPUTED_VALUE"""),152.6391)</f>
        <v>152.6391</v>
      </c>
    </row>
    <row r="434">
      <c r="A434" s="1" t="s">
        <v>433</v>
      </c>
      <c r="D434" s="3">
        <f>IFERROR(__xludf.DUMMYFUNCTION("SPLIT(A434, ""|"")"),43019.0)</f>
        <v>43019</v>
      </c>
      <c r="E434" s="2">
        <f>IFERROR(__xludf.DUMMYFUNCTION("""COMPUTED_VALUE"""),1230573.0)</f>
        <v>1230573</v>
      </c>
      <c r="F434" s="2">
        <f>IFERROR(__xludf.DUMMYFUNCTION("""COMPUTED_VALUE"""),3859822.0)</f>
        <v>3859822</v>
      </c>
      <c r="G434" s="2">
        <f>IFERROR(__xludf.DUMMYFUNCTION("""COMPUTED_VALUE"""),72.7259)</f>
        <v>72.7259</v>
      </c>
    </row>
    <row r="435">
      <c r="A435" s="1" t="s">
        <v>434</v>
      </c>
      <c r="D435" s="3">
        <f>IFERROR(__xludf.DUMMYFUNCTION("SPLIT(A435, ""|"")"),43019.0)</f>
        <v>43019</v>
      </c>
      <c r="E435" s="2">
        <f>IFERROR(__xludf.DUMMYFUNCTION("""COMPUTED_VALUE"""),986913.0)</f>
        <v>986913</v>
      </c>
      <c r="F435" s="2">
        <f>IFERROR(__xludf.DUMMYFUNCTION("""COMPUTED_VALUE"""),3859667.0)</f>
        <v>3859667</v>
      </c>
      <c r="G435" s="2">
        <f>IFERROR(__xludf.DUMMYFUNCTION("""COMPUTED_VALUE"""),109.872099999999)</f>
        <v>109.8721</v>
      </c>
    </row>
    <row r="436">
      <c r="A436" s="1" t="s">
        <v>435</v>
      </c>
      <c r="D436" s="3">
        <f>IFERROR(__xludf.DUMMYFUNCTION("SPLIT(A436, ""|"")"),43019.0)</f>
        <v>43019</v>
      </c>
      <c r="E436" s="2">
        <f>IFERROR(__xludf.DUMMYFUNCTION("""COMPUTED_VALUE"""),1291233.0)</f>
        <v>1291233</v>
      </c>
      <c r="F436" s="2">
        <f>IFERROR(__xludf.DUMMYFUNCTION("""COMPUTED_VALUE"""),3861347.0)</f>
        <v>3861347</v>
      </c>
      <c r="G436" s="2">
        <f>IFERROR(__xludf.DUMMYFUNCTION("""COMPUTED_VALUE"""),64.103)</f>
        <v>64.103</v>
      </c>
    </row>
    <row r="437">
      <c r="A437" s="1" t="s">
        <v>436</v>
      </c>
      <c r="D437" s="3">
        <f>IFERROR(__xludf.DUMMYFUNCTION("SPLIT(A437, ""|"")"),43275.0)</f>
        <v>43275</v>
      </c>
      <c r="E437" s="2">
        <f>IFERROR(__xludf.DUMMYFUNCTION("""COMPUTED_VALUE"""),1615773.0)</f>
        <v>1615773</v>
      </c>
      <c r="F437" s="2">
        <f>IFERROR(__xludf.DUMMYFUNCTION("""COMPUTED_VALUE"""),4560769.0)</f>
        <v>4560769</v>
      </c>
      <c r="G437" s="2">
        <f>IFERROR(__xludf.DUMMYFUNCTION("""COMPUTED_VALUE"""),13.7334)</f>
        <v>13.7334</v>
      </c>
    </row>
    <row r="438">
      <c r="A438" s="1" t="s">
        <v>437</v>
      </c>
      <c r="D438" s="3">
        <f>IFERROR(__xludf.DUMMYFUNCTION("SPLIT(A438, ""|"")"),43275.0)</f>
        <v>43275</v>
      </c>
      <c r="E438" s="2">
        <f>IFERROR(__xludf.DUMMYFUNCTION("""COMPUTED_VALUE"""),1586073.0)</f>
        <v>1586073</v>
      </c>
      <c r="F438" s="2">
        <f>IFERROR(__xludf.DUMMYFUNCTION("""COMPUTED_VALUE"""),4561236.0)</f>
        <v>4561236</v>
      </c>
      <c r="G438" s="2">
        <f>IFERROR(__xludf.DUMMYFUNCTION("""COMPUTED_VALUE"""),21.8674)</f>
        <v>21.8674</v>
      </c>
    </row>
    <row r="439">
      <c r="A439" s="1" t="s">
        <v>438</v>
      </c>
      <c r="D439" s="3">
        <f>IFERROR(__xludf.DUMMYFUNCTION("SPLIT(A439, ""|"")"),43275.0)</f>
        <v>43275</v>
      </c>
      <c r="E439" s="2">
        <f>IFERROR(__xludf.DUMMYFUNCTION("""COMPUTED_VALUE"""),1435473.0)</f>
        <v>1435473</v>
      </c>
      <c r="F439" s="2">
        <f>IFERROR(__xludf.DUMMYFUNCTION("""COMPUTED_VALUE"""),4559915.0)</f>
        <v>4559915</v>
      </c>
      <c r="G439" s="2">
        <f>IFERROR(__xludf.DUMMYFUNCTION("""COMPUTED_VALUE"""),98.6886)</f>
        <v>98.6886</v>
      </c>
    </row>
    <row r="440">
      <c r="A440" s="1" t="s">
        <v>439</v>
      </c>
      <c r="D440" s="3">
        <f>IFERROR(__xludf.DUMMYFUNCTION("SPLIT(A440, ""|"")"),43275.0)</f>
        <v>43275</v>
      </c>
      <c r="E440" s="2">
        <f>IFERROR(__xludf.DUMMYFUNCTION("""COMPUTED_VALUE"""),410973.0)</f>
        <v>410973</v>
      </c>
      <c r="F440" s="2">
        <f>IFERROR(__xludf.DUMMYFUNCTION("""COMPUTED_VALUE"""),4561050.0)</f>
        <v>4561050</v>
      </c>
      <c r="G440" s="2">
        <f>IFERROR(__xludf.DUMMYFUNCTION("""COMPUTED_VALUE"""),60.8178999999999)</f>
        <v>60.8179</v>
      </c>
    </row>
    <row r="441">
      <c r="A441" s="1" t="s">
        <v>440</v>
      </c>
      <c r="D441" s="3">
        <f>IFERROR(__xludf.DUMMYFUNCTION("SPLIT(A441, ""|"")"),43020.0)</f>
        <v>43020</v>
      </c>
      <c r="E441" s="2">
        <f>IFERROR(__xludf.DUMMYFUNCTION("""COMPUTED_VALUE"""),1430883.0)</f>
        <v>1430883</v>
      </c>
      <c r="F441" s="2">
        <f>IFERROR(__xludf.DUMMYFUNCTION("""COMPUTED_VALUE"""),3863405.0)</f>
        <v>3863405</v>
      </c>
      <c r="G441" s="2">
        <f>IFERROR(__xludf.DUMMYFUNCTION("""COMPUTED_VALUE"""),44.5897)</f>
        <v>44.5897</v>
      </c>
    </row>
    <row r="442">
      <c r="A442" s="1" t="s">
        <v>441</v>
      </c>
      <c r="D442" s="3">
        <f>IFERROR(__xludf.DUMMYFUNCTION("SPLIT(A442, ""|"")"),43020.0)</f>
        <v>43020</v>
      </c>
      <c r="E442" s="2">
        <f>IFERROR(__xludf.DUMMYFUNCTION("""COMPUTED_VALUE"""),1405893.0)</f>
        <v>1405893</v>
      </c>
      <c r="F442" s="2">
        <f>IFERROR(__xludf.DUMMYFUNCTION("""COMPUTED_VALUE"""),3862682.0)</f>
        <v>3862682</v>
      </c>
      <c r="G442" s="2">
        <f>IFERROR(__xludf.DUMMYFUNCTION("""COMPUTED_VALUE"""),28.1514)</f>
        <v>28.1514</v>
      </c>
    </row>
    <row r="443">
      <c r="A443" s="1" t="s">
        <v>442</v>
      </c>
      <c r="D443" s="3">
        <f>IFERROR(__xludf.DUMMYFUNCTION("SPLIT(A443, ""|"")"),43020.0)</f>
        <v>43020</v>
      </c>
      <c r="E443" s="2">
        <f>IFERROR(__xludf.DUMMYFUNCTION("""COMPUTED_VALUE"""),1430913.0)</f>
        <v>1430913</v>
      </c>
      <c r="F443" s="2">
        <f>IFERROR(__xludf.DUMMYFUNCTION("""COMPUTED_VALUE"""),3863556.0)</f>
        <v>3863556</v>
      </c>
      <c r="G443" s="2">
        <f>IFERROR(__xludf.DUMMYFUNCTION("""COMPUTED_VALUE"""),39.2943)</f>
        <v>39.2943</v>
      </c>
    </row>
    <row r="444">
      <c r="A444" s="1" t="s">
        <v>443</v>
      </c>
      <c r="D444" s="3">
        <f>IFERROR(__xludf.DUMMYFUNCTION("SPLIT(A444, ""|"")"),43020.0)</f>
        <v>43020</v>
      </c>
      <c r="E444" s="2">
        <f>IFERROR(__xludf.DUMMYFUNCTION("""COMPUTED_VALUE"""),1259703.0)</f>
        <v>1259703</v>
      </c>
      <c r="F444" s="2">
        <f>IFERROR(__xludf.DUMMYFUNCTION("""COMPUTED_VALUE"""),3862173.0)</f>
        <v>3862173</v>
      </c>
      <c r="G444" s="2">
        <f>IFERROR(__xludf.DUMMYFUNCTION("""COMPUTED_VALUE"""),69.1745)</f>
        <v>69.1745</v>
      </c>
    </row>
    <row r="445">
      <c r="A445" s="1" t="s">
        <v>444</v>
      </c>
      <c r="D445" s="3">
        <f>IFERROR(__xludf.DUMMYFUNCTION("SPLIT(A445, ""|"")"),43020.0)</f>
        <v>43020</v>
      </c>
      <c r="E445" s="2">
        <f>IFERROR(__xludf.DUMMYFUNCTION("""COMPUTED_VALUE"""),184683.0)</f>
        <v>184683</v>
      </c>
      <c r="F445" s="2">
        <f>IFERROR(__xludf.DUMMYFUNCTION("""COMPUTED_VALUE"""),3863850.0)</f>
        <v>3863850</v>
      </c>
      <c r="G445" s="2">
        <f>IFERROR(__xludf.DUMMYFUNCTION("""COMPUTED_VALUE"""),65.2229)</f>
        <v>65.2229</v>
      </c>
    </row>
    <row r="446">
      <c r="A446" s="1" t="s">
        <v>445</v>
      </c>
      <c r="D446" s="3">
        <f>IFERROR(__xludf.DUMMYFUNCTION("SPLIT(A446, ""|"")"),43020.0)</f>
        <v>43020</v>
      </c>
      <c r="E446" s="2">
        <f>IFERROR(__xludf.DUMMYFUNCTION("""COMPUTED_VALUE"""),1046163.0)</f>
        <v>1046163</v>
      </c>
      <c r="F446" s="2">
        <f>IFERROR(__xludf.DUMMYFUNCTION("""COMPUTED_VALUE"""),3862062.0)</f>
        <v>3862062</v>
      </c>
      <c r="G446" s="2">
        <f>IFERROR(__xludf.DUMMYFUNCTION("""COMPUTED_VALUE"""),67.4237)</f>
        <v>67.4237</v>
      </c>
    </row>
    <row r="447">
      <c r="A447" s="1" t="s">
        <v>446</v>
      </c>
      <c r="D447" s="3">
        <f>IFERROR(__xludf.DUMMYFUNCTION("SPLIT(A447, ""|"")"),43276.0)</f>
        <v>43276</v>
      </c>
      <c r="E447" s="2">
        <f>IFERROR(__xludf.DUMMYFUNCTION("""COMPUTED_VALUE"""),1332093.0)</f>
        <v>1332093</v>
      </c>
      <c r="F447" s="2">
        <f>IFERROR(__xludf.DUMMYFUNCTION("""COMPUTED_VALUE"""),4563561.0)</f>
        <v>4563561</v>
      </c>
      <c r="G447" s="2">
        <f>IFERROR(__xludf.DUMMYFUNCTION("""COMPUTED_VALUE"""),37.422)</f>
        <v>37.422</v>
      </c>
    </row>
    <row r="448">
      <c r="A448" s="1" t="s">
        <v>447</v>
      </c>
      <c r="D448" s="3">
        <f>IFERROR(__xludf.DUMMYFUNCTION("SPLIT(A448, ""|"")"),43276.0)</f>
        <v>43276</v>
      </c>
      <c r="E448" s="2">
        <f>IFERROR(__xludf.DUMMYFUNCTION("""COMPUTED_VALUE"""),199083.0)</f>
        <v>199083</v>
      </c>
      <c r="F448" s="2">
        <f>IFERROR(__xludf.DUMMYFUNCTION("""COMPUTED_VALUE"""),4563493.0)</f>
        <v>4563493</v>
      </c>
      <c r="G448" s="2">
        <f>IFERROR(__xludf.DUMMYFUNCTION("""COMPUTED_VALUE"""),82.4454)</f>
        <v>82.4454</v>
      </c>
    </row>
    <row r="449">
      <c r="A449" s="1" t="s">
        <v>448</v>
      </c>
      <c r="D449" s="3">
        <f>IFERROR(__xludf.DUMMYFUNCTION("SPLIT(A449, ""|"")"),43276.0)</f>
        <v>43276</v>
      </c>
      <c r="E449" s="2">
        <f>IFERROR(__xludf.DUMMYFUNCTION("""COMPUTED_VALUE"""),1589253.0)</f>
        <v>1589253</v>
      </c>
      <c r="F449" s="2">
        <f>IFERROR(__xludf.DUMMYFUNCTION("""COMPUTED_VALUE"""),4562933.0)</f>
        <v>4562933</v>
      </c>
      <c r="G449" s="2">
        <f>IFERROR(__xludf.DUMMYFUNCTION("""COMPUTED_VALUE"""),65.7266)</f>
        <v>65.7266</v>
      </c>
    </row>
    <row r="450">
      <c r="A450" s="1" t="s">
        <v>449</v>
      </c>
      <c r="D450" s="3">
        <f>IFERROR(__xludf.DUMMYFUNCTION("SPLIT(A450, ""|"")"),43276.0)</f>
        <v>43276</v>
      </c>
      <c r="E450" s="2">
        <f>IFERROR(__xludf.DUMMYFUNCTION("""COMPUTED_VALUE"""),1274733.0)</f>
        <v>1274733</v>
      </c>
      <c r="F450" s="2">
        <f>IFERROR(__xludf.DUMMYFUNCTION("""COMPUTED_VALUE"""),4564003.0)</f>
        <v>4564003</v>
      </c>
      <c r="G450" s="2">
        <f>IFERROR(__xludf.DUMMYFUNCTION("""COMPUTED_VALUE"""),67.7753999999999)</f>
        <v>67.7754</v>
      </c>
    </row>
    <row r="451">
      <c r="A451" s="1" t="s">
        <v>450</v>
      </c>
      <c r="D451" s="3">
        <f>IFERROR(__xludf.DUMMYFUNCTION("SPLIT(A451, ""|"")"),43276.0)</f>
        <v>43276</v>
      </c>
      <c r="E451" s="2">
        <f>IFERROR(__xludf.DUMMYFUNCTION("""COMPUTED_VALUE"""),1426383.0)</f>
        <v>1426383</v>
      </c>
      <c r="F451" s="2">
        <f>IFERROR(__xludf.DUMMYFUNCTION("""COMPUTED_VALUE"""),4563573.0)</f>
        <v>4563573</v>
      </c>
      <c r="G451" s="2">
        <f>IFERROR(__xludf.DUMMYFUNCTION("""COMPUTED_VALUE"""),114.0321)</f>
        <v>114.0321</v>
      </c>
    </row>
    <row r="452">
      <c r="A452" s="1" t="s">
        <v>451</v>
      </c>
      <c r="D452" s="3">
        <f>IFERROR(__xludf.DUMMYFUNCTION("SPLIT(A452, ""|"")"),43021.0)</f>
        <v>43021</v>
      </c>
      <c r="E452" s="2">
        <f>IFERROR(__xludf.DUMMYFUNCTION("""COMPUTED_VALUE"""),1187913.0)</f>
        <v>1187913</v>
      </c>
      <c r="F452" s="2">
        <f>IFERROR(__xludf.DUMMYFUNCTION("""COMPUTED_VALUE"""),3865162.0)</f>
        <v>3865162</v>
      </c>
      <c r="G452" s="2">
        <f>IFERROR(__xludf.DUMMYFUNCTION("""COMPUTED_VALUE"""),41.4288)</f>
        <v>41.4288</v>
      </c>
    </row>
    <row r="453">
      <c r="A453" s="1" t="s">
        <v>452</v>
      </c>
      <c r="D453" s="3">
        <f>IFERROR(__xludf.DUMMYFUNCTION("SPLIT(A453, ""|"")"),43021.0)</f>
        <v>43021</v>
      </c>
      <c r="E453" s="2">
        <f>IFERROR(__xludf.DUMMYFUNCTION("""COMPUTED_VALUE"""),1334643.0)</f>
        <v>1334643</v>
      </c>
      <c r="F453" s="2">
        <f>IFERROR(__xludf.DUMMYFUNCTION("""COMPUTED_VALUE"""),3864258.0)</f>
        <v>3864258</v>
      </c>
      <c r="G453" s="2">
        <f>IFERROR(__xludf.DUMMYFUNCTION("""COMPUTED_VALUE"""),99.4692)</f>
        <v>99.4692</v>
      </c>
    </row>
    <row r="454">
      <c r="A454" s="1" t="s">
        <v>453</v>
      </c>
      <c r="D454" s="3">
        <f>IFERROR(__xludf.DUMMYFUNCTION("SPLIT(A454, ""|"")"),43021.0)</f>
        <v>43021</v>
      </c>
      <c r="E454" s="2">
        <f>IFERROR(__xludf.DUMMYFUNCTION("""COMPUTED_VALUE"""),1010553.0)</f>
        <v>1010553</v>
      </c>
      <c r="F454" s="2">
        <f>IFERROR(__xludf.DUMMYFUNCTION("""COMPUTED_VALUE"""),3865028.0)</f>
        <v>3865028</v>
      </c>
      <c r="G454" s="2">
        <f>IFERROR(__xludf.DUMMYFUNCTION("""COMPUTED_VALUE"""),75.8929)</f>
        <v>75.8929</v>
      </c>
    </row>
    <row r="455">
      <c r="A455" s="1" t="s">
        <v>454</v>
      </c>
      <c r="D455" s="3">
        <f>IFERROR(__xludf.DUMMYFUNCTION("SPLIT(A455, ""|"")"),43021.0)</f>
        <v>43021</v>
      </c>
      <c r="E455" s="2">
        <f>IFERROR(__xludf.DUMMYFUNCTION("""COMPUTED_VALUE"""),392763.0)</f>
        <v>392763</v>
      </c>
      <c r="F455" s="2">
        <f>IFERROR(__xludf.DUMMYFUNCTION("""COMPUTED_VALUE"""),3864280.0)</f>
        <v>3864280</v>
      </c>
      <c r="G455" s="2">
        <f>IFERROR(__xludf.DUMMYFUNCTION("""COMPUTED_VALUE"""),70.4724)</f>
        <v>70.4724</v>
      </c>
    </row>
    <row r="456">
      <c r="A456" s="1" t="s">
        <v>455</v>
      </c>
      <c r="D456" s="3">
        <f>IFERROR(__xludf.DUMMYFUNCTION("SPLIT(A456, ""|"")"),43021.0)</f>
        <v>43021</v>
      </c>
      <c r="E456" s="2">
        <f>IFERROR(__xludf.DUMMYFUNCTION("""COMPUTED_VALUE"""),1316463.0)</f>
        <v>1316463</v>
      </c>
      <c r="F456" s="2">
        <f>IFERROR(__xludf.DUMMYFUNCTION("""COMPUTED_VALUE"""),3865068.0)</f>
        <v>3865068</v>
      </c>
      <c r="G456" s="2">
        <f>IFERROR(__xludf.DUMMYFUNCTION("""COMPUTED_VALUE"""),68.922)</f>
        <v>68.922</v>
      </c>
    </row>
    <row r="457">
      <c r="A457" s="1" t="s">
        <v>456</v>
      </c>
      <c r="D457" s="3">
        <f>IFERROR(__xludf.DUMMYFUNCTION("SPLIT(A457, ""|"")"),43021.0)</f>
        <v>43021</v>
      </c>
      <c r="E457" s="2">
        <f>IFERROR(__xludf.DUMMYFUNCTION("""COMPUTED_VALUE"""),1431063.0)</f>
        <v>1431063</v>
      </c>
      <c r="F457" s="2">
        <f>IFERROR(__xludf.DUMMYFUNCTION("""COMPUTED_VALUE"""),3864111.0)</f>
        <v>3864111</v>
      </c>
      <c r="G457" s="2">
        <f>IFERROR(__xludf.DUMMYFUNCTION("""COMPUTED_VALUE"""),30.0)</f>
        <v>30</v>
      </c>
    </row>
    <row r="458">
      <c r="A458" s="1" t="s">
        <v>457</v>
      </c>
      <c r="D458" s="3">
        <f>IFERROR(__xludf.DUMMYFUNCTION("SPLIT(A458, ""|"")"),43021.0)</f>
        <v>43021</v>
      </c>
      <c r="E458" s="2">
        <f>IFERROR(__xludf.DUMMYFUNCTION("""COMPUTED_VALUE"""),1405383.0)</f>
        <v>1405383</v>
      </c>
      <c r="F458" s="2">
        <f>IFERROR(__xludf.DUMMYFUNCTION("""COMPUTED_VALUE"""),3865227.0)</f>
        <v>3865227</v>
      </c>
      <c r="G458" s="2">
        <f>IFERROR(__xludf.DUMMYFUNCTION("""COMPUTED_VALUE"""),62.3945)</f>
        <v>62.3945</v>
      </c>
    </row>
    <row r="459">
      <c r="A459" s="1" t="s">
        <v>458</v>
      </c>
      <c r="D459" s="3">
        <f>IFERROR(__xludf.DUMMYFUNCTION("SPLIT(A459, ""|"")"),43277.0)</f>
        <v>43277</v>
      </c>
      <c r="E459" s="2">
        <f>IFERROR(__xludf.DUMMYFUNCTION("""COMPUTED_VALUE"""),1541013.0)</f>
        <v>1541013</v>
      </c>
      <c r="F459" s="2">
        <f>IFERROR(__xludf.DUMMYFUNCTION("""COMPUTED_VALUE"""),4564426.0)</f>
        <v>4564426</v>
      </c>
      <c r="G459" s="2">
        <f>IFERROR(__xludf.DUMMYFUNCTION("""COMPUTED_VALUE"""),73.1945)</f>
        <v>73.1945</v>
      </c>
    </row>
    <row r="460">
      <c r="A460" s="1" t="s">
        <v>459</v>
      </c>
      <c r="D460" s="3">
        <f>IFERROR(__xludf.DUMMYFUNCTION("SPLIT(A460, ""|"")"),43277.0)</f>
        <v>43277</v>
      </c>
      <c r="E460" s="2">
        <f>IFERROR(__xludf.DUMMYFUNCTION("""COMPUTED_VALUE"""),423153.0)</f>
        <v>423153</v>
      </c>
      <c r="F460" s="2">
        <f>IFERROR(__xludf.DUMMYFUNCTION("""COMPUTED_VALUE"""),4564717.0)</f>
        <v>4564717</v>
      </c>
      <c r="G460" s="2">
        <f>IFERROR(__xludf.DUMMYFUNCTION("""COMPUTED_VALUE"""),97.1739)</f>
        <v>97.1739</v>
      </c>
    </row>
    <row r="461">
      <c r="A461" s="1" t="s">
        <v>460</v>
      </c>
      <c r="D461" s="3">
        <f>IFERROR(__xludf.DUMMYFUNCTION("SPLIT(A461, ""|"")"),43277.0)</f>
        <v>43277</v>
      </c>
      <c r="E461" s="2">
        <f>IFERROR(__xludf.DUMMYFUNCTION("""COMPUTED_VALUE"""),1616763.0)</f>
        <v>1616763</v>
      </c>
      <c r="F461" s="2">
        <f>IFERROR(__xludf.DUMMYFUNCTION("""COMPUTED_VALUE"""),4565771.0)</f>
        <v>4565771</v>
      </c>
      <c r="G461" s="2">
        <f>IFERROR(__xludf.DUMMYFUNCTION("""COMPUTED_VALUE"""),44.2244)</f>
        <v>44.2244</v>
      </c>
    </row>
    <row r="462">
      <c r="A462" s="1" t="s">
        <v>461</v>
      </c>
      <c r="D462" s="3">
        <f>IFERROR(__xludf.DUMMYFUNCTION("SPLIT(A462, ""|"")"),43277.0)</f>
        <v>43277</v>
      </c>
      <c r="E462" s="2">
        <f>IFERROR(__xludf.DUMMYFUNCTION("""COMPUTED_VALUE"""),1615683.0)</f>
        <v>1615683</v>
      </c>
      <c r="F462" s="2">
        <f>IFERROR(__xludf.DUMMYFUNCTION("""COMPUTED_VALUE"""),4564535.0)</f>
        <v>4564535</v>
      </c>
      <c r="G462" s="2">
        <f>IFERROR(__xludf.DUMMYFUNCTION("""COMPUTED_VALUE"""),69.4763)</f>
        <v>69.4763</v>
      </c>
    </row>
    <row r="463">
      <c r="A463" s="1" t="s">
        <v>462</v>
      </c>
      <c r="D463" s="3">
        <f>IFERROR(__xludf.DUMMYFUNCTION("SPLIT(A463, ""|"")"),43277.0)</f>
        <v>43277</v>
      </c>
      <c r="E463" s="2">
        <f>IFERROR(__xludf.DUMMYFUNCTION("""COMPUTED_VALUE"""),1616823.0)</f>
        <v>1616823</v>
      </c>
      <c r="F463" s="2">
        <f>IFERROR(__xludf.DUMMYFUNCTION("""COMPUTED_VALUE"""),4566014.0)</f>
        <v>4566014</v>
      </c>
      <c r="G463" s="2">
        <f>IFERROR(__xludf.DUMMYFUNCTION("""COMPUTED_VALUE"""),65.4316)</f>
        <v>65.4316</v>
      </c>
    </row>
    <row r="464">
      <c r="A464" s="1" t="s">
        <v>463</v>
      </c>
      <c r="D464" s="3">
        <f>IFERROR(__xludf.DUMMYFUNCTION("SPLIT(A464, ""|"")"),43277.0)</f>
        <v>43277</v>
      </c>
      <c r="E464" s="2">
        <f>IFERROR(__xludf.DUMMYFUNCTION("""COMPUTED_VALUE"""),1236333.0)</f>
        <v>1236333</v>
      </c>
      <c r="F464" s="2">
        <f>IFERROR(__xludf.DUMMYFUNCTION("""COMPUTED_VALUE"""),4566075.0)</f>
        <v>4566075</v>
      </c>
      <c r="G464" s="2">
        <f>IFERROR(__xludf.DUMMYFUNCTION("""COMPUTED_VALUE"""),85.6099)</f>
        <v>85.6099</v>
      </c>
    </row>
    <row r="465">
      <c r="A465" s="1" t="s">
        <v>464</v>
      </c>
      <c r="D465" s="3">
        <f>IFERROR(__xludf.DUMMYFUNCTION("SPLIT(A465, ""|"")"),43277.0)</f>
        <v>43277</v>
      </c>
      <c r="E465" s="2">
        <f>IFERROR(__xludf.DUMMYFUNCTION("""COMPUTED_VALUE"""),1513473.0)</f>
        <v>1513473</v>
      </c>
      <c r="F465" s="2">
        <f>IFERROR(__xludf.DUMMYFUNCTION("""COMPUTED_VALUE"""),4564981.0)</f>
        <v>4564981</v>
      </c>
      <c r="G465" s="2">
        <f>IFERROR(__xludf.DUMMYFUNCTION("""COMPUTED_VALUE"""),85.0567)</f>
        <v>85.0567</v>
      </c>
    </row>
    <row r="466">
      <c r="A466" s="1" t="s">
        <v>465</v>
      </c>
      <c r="D466" s="3">
        <f>IFERROR(__xludf.DUMMYFUNCTION("SPLIT(A466, ""|"")"),43277.0)</f>
        <v>43277</v>
      </c>
      <c r="E466" s="2">
        <f>IFERROR(__xludf.DUMMYFUNCTION("""COMPUTED_VALUE"""),1616913.0)</f>
        <v>1616913</v>
      </c>
      <c r="F466" s="2">
        <f>IFERROR(__xludf.DUMMYFUNCTION("""COMPUTED_VALUE"""),4566442.0)</f>
        <v>4566442</v>
      </c>
      <c r="G466" s="2">
        <f>IFERROR(__xludf.DUMMYFUNCTION("""COMPUTED_VALUE"""),21.9200999999999)</f>
        <v>21.9201</v>
      </c>
    </row>
    <row r="467">
      <c r="A467" s="1" t="s">
        <v>466</v>
      </c>
      <c r="D467" s="3">
        <f>IFERROR(__xludf.DUMMYFUNCTION("SPLIT(A467, ""|"")"),43022.0)</f>
        <v>43022</v>
      </c>
      <c r="E467" s="2">
        <f>IFERROR(__xludf.DUMMYFUNCTION("""COMPUTED_VALUE"""),1399533.0)</f>
        <v>1399533</v>
      </c>
      <c r="F467" s="2">
        <f>IFERROR(__xludf.DUMMYFUNCTION("""COMPUTED_VALUE"""),3865936.0)</f>
        <v>3865936</v>
      </c>
      <c r="G467" s="2">
        <f>IFERROR(__xludf.DUMMYFUNCTION("""COMPUTED_VALUE"""),67.139)</f>
        <v>67.139</v>
      </c>
    </row>
    <row r="468">
      <c r="A468" s="1" t="s">
        <v>467</v>
      </c>
      <c r="D468" s="3">
        <f>IFERROR(__xludf.DUMMYFUNCTION("SPLIT(A468, ""|"")"),43022.0)</f>
        <v>43022</v>
      </c>
      <c r="E468" s="2">
        <f>IFERROR(__xludf.DUMMYFUNCTION("""COMPUTED_VALUE"""),58503.0)</f>
        <v>58503</v>
      </c>
      <c r="F468" s="2">
        <f>IFERROR(__xludf.DUMMYFUNCTION("""COMPUTED_VALUE"""),3866050.0)</f>
        <v>3866050</v>
      </c>
      <c r="G468" s="2">
        <f>IFERROR(__xludf.DUMMYFUNCTION("""COMPUTED_VALUE"""),33.859)</f>
        <v>33.859</v>
      </c>
    </row>
    <row r="469">
      <c r="A469" s="1" t="s">
        <v>468</v>
      </c>
      <c r="D469" s="3">
        <f>IFERROR(__xludf.DUMMYFUNCTION("SPLIT(A469, ""|"")"),43278.0)</f>
        <v>43278</v>
      </c>
      <c r="E469" s="2">
        <f>IFERROR(__xludf.DUMMYFUNCTION("""COMPUTED_VALUE"""),1617633.0)</f>
        <v>1617633</v>
      </c>
      <c r="F469" s="2">
        <f>IFERROR(__xludf.DUMMYFUNCTION("""COMPUTED_VALUE"""),4569805.0)</f>
        <v>4569805</v>
      </c>
      <c r="G469" s="2">
        <f>IFERROR(__xludf.DUMMYFUNCTION("""COMPUTED_VALUE"""),40.9518)</f>
        <v>40.9518</v>
      </c>
    </row>
    <row r="470">
      <c r="A470" s="1" t="s">
        <v>469</v>
      </c>
      <c r="D470" s="3">
        <f>IFERROR(__xludf.DUMMYFUNCTION("SPLIT(A470, ""|"")"),43278.0)</f>
        <v>43278</v>
      </c>
      <c r="E470" s="2">
        <f>IFERROR(__xludf.DUMMYFUNCTION("""COMPUTED_VALUE"""),1061973.0)</f>
        <v>1061973</v>
      </c>
      <c r="F470" s="2">
        <f>IFERROR(__xludf.DUMMYFUNCTION("""COMPUTED_VALUE"""),4569425.0)</f>
        <v>4569425</v>
      </c>
      <c r="G470" s="2">
        <f>IFERROR(__xludf.DUMMYFUNCTION("""COMPUTED_VALUE"""),101.154799999999)</f>
        <v>101.1548</v>
      </c>
    </row>
    <row r="471">
      <c r="A471" s="1" t="s">
        <v>470</v>
      </c>
      <c r="D471" s="3">
        <f>IFERROR(__xludf.DUMMYFUNCTION("SPLIT(A471, ""|"")"),43278.0)</f>
        <v>43278</v>
      </c>
      <c r="E471" s="2">
        <f>IFERROR(__xludf.DUMMYFUNCTION("""COMPUTED_VALUE"""),1423773.0)</f>
        <v>1423773</v>
      </c>
      <c r="F471" s="2">
        <f>IFERROR(__xludf.DUMMYFUNCTION("""COMPUTED_VALUE"""),4569250.0)</f>
        <v>4569250</v>
      </c>
      <c r="G471" s="2">
        <f>IFERROR(__xludf.DUMMYFUNCTION("""COMPUTED_VALUE"""),155.4066)</f>
        <v>155.4066</v>
      </c>
    </row>
    <row r="472">
      <c r="A472" s="1" t="s">
        <v>471</v>
      </c>
      <c r="D472" s="3">
        <f>IFERROR(__xludf.DUMMYFUNCTION("SPLIT(A472, ""|"")"),43278.0)</f>
        <v>43278</v>
      </c>
      <c r="E472" s="2">
        <f>IFERROR(__xludf.DUMMYFUNCTION("""COMPUTED_VALUE"""),1501053.0)</f>
        <v>1501053</v>
      </c>
      <c r="F472" s="2">
        <f>IFERROR(__xludf.DUMMYFUNCTION("""COMPUTED_VALUE"""),4567074.0)</f>
        <v>4567074</v>
      </c>
      <c r="G472" s="2">
        <f>IFERROR(__xludf.DUMMYFUNCTION("""COMPUTED_VALUE"""),120.9336)</f>
        <v>120.9336</v>
      </c>
    </row>
    <row r="473">
      <c r="A473" s="1" t="s">
        <v>472</v>
      </c>
      <c r="D473" s="3">
        <f>IFERROR(__xludf.DUMMYFUNCTION("SPLIT(A473, ""|"")"),43278.0)</f>
        <v>43278</v>
      </c>
      <c r="E473" s="2">
        <f>IFERROR(__xludf.DUMMYFUNCTION("""COMPUTED_VALUE"""),1099653.0)</f>
        <v>1099653</v>
      </c>
      <c r="F473" s="2">
        <f>IFERROR(__xludf.DUMMYFUNCTION("""COMPUTED_VALUE"""),4569600.0)</f>
        <v>4569600</v>
      </c>
      <c r="G473" s="2">
        <f>IFERROR(__xludf.DUMMYFUNCTION("""COMPUTED_VALUE"""),75.9662999999999)</f>
        <v>75.9663</v>
      </c>
    </row>
    <row r="474">
      <c r="A474" s="1" t="s">
        <v>473</v>
      </c>
      <c r="D474" s="3">
        <f>IFERROR(__xludf.DUMMYFUNCTION("SPLIT(A474, ""|"")"),43278.0)</f>
        <v>43278</v>
      </c>
      <c r="E474" s="2">
        <f>IFERROR(__xludf.DUMMYFUNCTION("""COMPUTED_VALUE"""),1511583.0)</f>
        <v>1511583</v>
      </c>
      <c r="F474" s="2">
        <f>IFERROR(__xludf.DUMMYFUNCTION("""COMPUTED_VALUE"""),4569055.0)</f>
        <v>4569055</v>
      </c>
      <c r="G474" s="2">
        <f>IFERROR(__xludf.DUMMYFUNCTION("""COMPUTED_VALUE"""),46.0335)</f>
        <v>46.0335</v>
      </c>
    </row>
    <row r="475">
      <c r="A475" s="1" t="s">
        <v>474</v>
      </c>
      <c r="D475" s="3">
        <f>IFERROR(__xludf.DUMMYFUNCTION("SPLIT(A475, ""|"")"),43278.0)</f>
        <v>43278</v>
      </c>
      <c r="E475" s="2">
        <f>IFERROR(__xludf.DUMMYFUNCTION("""COMPUTED_VALUE"""),223263.0)</f>
        <v>223263</v>
      </c>
      <c r="F475" s="2">
        <f>IFERROR(__xludf.DUMMYFUNCTION("""COMPUTED_VALUE"""),4567612.0)</f>
        <v>4567612</v>
      </c>
      <c r="G475" s="2">
        <f>IFERROR(__xludf.DUMMYFUNCTION("""COMPUTED_VALUE"""),110.9313)</f>
        <v>110.9313</v>
      </c>
    </row>
    <row r="476">
      <c r="A476" s="1" t="s">
        <v>475</v>
      </c>
      <c r="D476" s="3">
        <f>IFERROR(__xludf.DUMMYFUNCTION("SPLIT(A476, ""|"")"),43278.0)</f>
        <v>43278</v>
      </c>
      <c r="E476" s="2">
        <f>IFERROR(__xludf.DUMMYFUNCTION("""COMPUTED_VALUE"""),1173993.0)</f>
        <v>1173993</v>
      </c>
      <c r="F476" s="2">
        <f>IFERROR(__xludf.DUMMYFUNCTION("""COMPUTED_VALUE"""),4568742.0)</f>
        <v>4568742</v>
      </c>
      <c r="G476" s="2">
        <f>IFERROR(__xludf.DUMMYFUNCTION("""COMPUTED_VALUE"""),69.0746)</f>
        <v>69.0746</v>
      </c>
    </row>
    <row r="477">
      <c r="A477" s="1" t="s">
        <v>476</v>
      </c>
      <c r="D477" s="3">
        <f>IFERROR(__xludf.DUMMYFUNCTION("SPLIT(A477, ""|"")"),43278.0)</f>
        <v>43278</v>
      </c>
      <c r="E477" s="2">
        <f>IFERROR(__xludf.DUMMYFUNCTION("""COMPUTED_VALUE"""),1194483.0)</f>
        <v>1194483</v>
      </c>
      <c r="F477" s="2">
        <f>IFERROR(__xludf.DUMMYFUNCTION("""COMPUTED_VALUE"""),4566958.0)</f>
        <v>4566958</v>
      </c>
      <c r="G477" s="2">
        <f>IFERROR(__xludf.DUMMYFUNCTION("""COMPUTED_VALUE"""),112.443799999999)</f>
        <v>112.4438</v>
      </c>
    </row>
    <row r="478">
      <c r="A478" s="1" t="s">
        <v>477</v>
      </c>
      <c r="D478" s="3">
        <f>IFERROR(__xludf.DUMMYFUNCTION("SPLIT(A478, ""|"")"),43278.0)</f>
        <v>43278</v>
      </c>
      <c r="E478" s="2">
        <f>IFERROR(__xludf.DUMMYFUNCTION("""COMPUTED_VALUE"""),1220073.0)</f>
        <v>1220073</v>
      </c>
      <c r="F478" s="2">
        <f>IFERROR(__xludf.DUMMYFUNCTION("""COMPUTED_VALUE"""),4569063.0)</f>
        <v>4569063</v>
      </c>
      <c r="G478" s="2">
        <f>IFERROR(__xludf.DUMMYFUNCTION("""COMPUTED_VALUE"""),107.0202)</f>
        <v>107.0202</v>
      </c>
    </row>
    <row r="479">
      <c r="A479" s="1" t="s">
        <v>478</v>
      </c>
      <c r="D479" s="3">
        <f>IFERROR(__xludf.DUMMYFUNCTION("SPLIT(A479, ""|"")"),43278.0)</f>
        <v>43278</v>
      </c>
      <c r="E479" s="2">
        <f>IFERROR(__xludf.DUMMYFUNCTION("""COMPUTED_VALUE"""),1344573.0)</f>
        <v>1344573</v>
      </c>
      <c r="F479" s="2">
        <f>IFERROR(__xludf.DUMMYFUNCTION("""COMPUTED_VALUE"""),4568949.0)</f>
        <v>4568949</v>
      </c>
      <c r="G479" s="2">
        <f>IFERROR(__xludf.DUMMYFUNCTION("""COMPUTED_VALUE"""),153.0317)</f>
        <v>153.0317</v>
      </c>
    </row>
    <row r="480">
      <c r="A480" s="1" t="s">
        <v>479</v>
      </c>
      <c r="D480" s="3">
        <f>IFERROR(__xludf.DUMMYFUNCTION("SPLIT(A480, ""|"")"),43278.0)</f>
        <v>43278</v>
      </c>
      <c r="E480" s="2">
        <f>IFERROR(__xludf.DUMMYFUNCTION("""COMPUTED_VALUE"""),485253.0)</f>
        <v>485253</v>
      </c>
      <c r="F480" s="2">
        <f>IFERROR(__xludf.DUMMYFUNCTION("""COMPUTED_VALUE"""),4569700.0)</f>
        <v>4569700</v>
      </c>
      <c r="G480" s="2">
        <f>IFERROR(__xludf.DUMMYFUNCTION("""COMPUTED_VALUE"""),107.1566)</f>
        <v>107.1566</v>
      </c>
    </row>
    <row r="481">
      <c r="A481" s="1" t="s">
        <v>480</v>
      </c>
      <c r="D481" s="3">
        <f>IFERROR(__xludf.DUMMYFUNCTION("SPLIT(A481, ""|"")"),43278.0)</f>
        <v>43278</v>
      </c>
      <c r="E481" s="2">
        <f>IFERROR(__xludf.DUMMYFUNCTION("""COMPUTED_VALUE"""),1180083.0)</f>
        <v>1180083</v>
      </c>
      <c r="F481" s="2">
        <f>IFERROR(__xludf.DUMMYFUNCTION("""COMPUTED_VALUE"""),4567618.0)</f>
        <v>4567618</v>
      </c>
      <c r="G481" s="2">
        <f>IFERROR(__xludf.DUMMYFUNCTION("""COMPUTED_VALUE"""),21.2273)</f>
        <v>21.2273</v>
      </c>
    </row>
    <row r="482">
      <c r="A482" s="1" t="s">
        <v>481</v>
      </c>
      <c r="D482" s="3">
        <f>IFERROR(__xludf.DUMMYFUNCTION("SPLIT(A482, ""|"")"),43023.0)</f>
        <v>43023</v>
      </c>
      <c r="E482" s="2">
        <f>IFERROR(__xludf.DUMMYFUNCTION("""COMPUTED_VALUE"""),1082913.0)</f>
        <v>1082913</v>
      </c>
      <c r="F482" s="2">
        <f>IFERROR(__xludf.DUMMYFUNCTION("""COMPUTED_VALUE"""),3868610.0)</f>
        <v>3868610</v>
      </c>
      <c r="G482" s="2">
        <f>IFERROR(__xludf.DUMMYFUNCTION("""COMPUTED_VALUE"""),121.9052)</f>
        <v>121.9052</v>
      </c>
    </row>
    <row r="483">
      <c r="A483" s="1" t="s">
        <v>482</v>
      </c>
      <c r="D483" s="3">
        <f>IFERROR(__xludf.DUMMYFUNCTION("SPLIT(A483, ""|"")"),43023.0)</f>
        <v>43023</v>
      </c>
      <c r="E483" s="2">
        <f>IFERROR(__xludf.DUMMYFUNCTION("""COMPUTED_VALUE"""),1381413.0)</f>
        <v>1381413</v>
      </c>
      <c r="F483" s="2">
        <f>IFERROR(__xludf.DUMMYFUNCTION("""COMPUTED_VALUE"""),3868701.0)</f>
        <v>3868701</v>
      </c>
      <c r="G483" s="2">
        <f>IFERROR(__xludf.DUMMYFUNCTION("""COMPUTED_VALUE"""),59.7446)</f>
        <v>59.7446</v>
      </c>
    </row>
    <row r="484">
      <c r="A484" s="1" t="s">
        <v>483</v>
      </c>
      <c r="D484" s="3">
        <f>IFERROR(__xludf.DUMMYFUNCTION("SPLIT(A484, ""|"")"),43023.0)</f>
        <v>43023</v>
      </c>
      <c r="E484" s="2">
        <f>IFERROR(__xludf.DUMMYFUNCTION("""COMPUTED_VALUE"""),1274733.0)</f>
        <v>1274733</v>
      </c>
      <c r="F484" s="2">
        <f>IFERROR(__xludf.DUMMYFUNCTION("""COMPUTED_VALUE"""),3868188.0)</f>
        <v>3868188</v>
      </c>
      <c r="G484" s="2">
        <f>IFERROR(__xludf.DUMMYFUNCTION("""COMPUTED_VALUE"""),129.6438)</f>
        <v>129.6438</v>
      </c>
    </row>
    <row r="485">
      <c r="A485" s="1" t="s">
        <v>484</v>
      </c>
      <c r="D485" s="3">
        <f>IFERROR(__xludf.DUMMYFUNCTION("SPLIT(A485, ""|"")"),43023.0)</f>
        <v>43023</v>
      </c>
      <c r="E485" s="2">
        <f>IFERROR(__xludf.DUMMYFUNCTION("""COMPUTED_VALUE"""),1432413.0)</f>
        <v>1432413</v>
      </c>
      <c r="F485" s="2">
        <f>IFERROR(__xludf.DUMMYFUNCTION("""COMPUTED_VALUE"""),3868620.0)</f>
        <v>3868620</v>
      </c>
      <c r="G485" s="2">
        <f>IFERROR(__xludf.DUMMYFUNCTION("""COMPUTED_VALUE"""),26.4456)</f>
        <v>26.4456</v>
      </c>
    </row>
    <row r="486">
      <c r="A486" s="1" t="s">
        <v>485</v>
      </c>
      <c r="D486" s="3">
        <f>IFERROR(__xludf.DUMMYFUNCTION("SPLIT(A486, ""|"")"),43279.0)</f>
        <v>43279</v>
      </c>
      <c r="E486" s="2">
        <f>IFERROR(__xludf.DUMMYFUNCTION("""COMPUTED_VALUE"""),1261383.0)</f>
        <v>1261383</v>
      </c>
      <c r="F486" s="2">
        <f>IFERROR(__xludf.DUMMYFUNCTION("""COMPUTED_VALUE"""),4572041.0)</f>
        <v>4572041</v>
      </c>
      <c r="G486" s="2">
        <f>IFERROR(__xludf.DUMMYFUNCTION("""COMPUTED_VALUE"""),93.0899999999999)</f>
        <v>93.09</v>
      </c>
    </row>
    <row r="487">
      <c r="A487" s="1" t="s">
        <v>486</v>
      </c>
      <c r="D487" s="3">
        <f>IFERROR(__xludf.DUMMYFUNCTION("SPLIT(A487, ""|"")"),43279.0)</f>
        <v>43279</v>
      </c>
      <c r="E487" s="2">
        <f>IFERROR(__xludf.DUMMYFUNCTION("""COMPUTED_VALUE"""),238443.0)</f>
        <v>238443</v>
      </c>
      <c r="F487" s="2">
        <f>IFERROR(__xludf.DUMMYFUNCTION("""COMPUTED_VALUE"""),4572402.0)</f>
        <v>4572402</v>
      </c>
      <c r="G487" s="2">
        <f>IFERROR(__xludf.DUMMYFUNCTION("""COMPUTED_VALUE"""),67.2351999999999)</f>
        <v>67.2352</v>
      </c>
    </row>
    <row r="488">
      <c r="A488" s="1" t="s">
        <v>487</v>
      </c>
      <c r="D488" s="3">
        <f>IFERROR(__xludf.DUMMYFUNCTION("SPLIT(A488, ""|"")"),43279.0)</f>
        <v>43279</v>
      </c>
      <c r="E488" s="2">
        <f>IFERROR(__xludf.DUMMYFUNCTION("""COMPUTED_VALUE"""),490203.0)</f>
        <v>490203</v>
      </c>
      <c r="F488" s="2">
        <f>IFERROR(__xludf.DUMMYFUNCTION("""COMPUTED_VALUE"""),4570388.0)</f>
        <v>4570388</v>
      </c>
      <c r="G488" s="2">
        <f>IFERROR(__xludf.DUMMYFUNCTION("""COMPUTED_VALUE"""),80.4045)</f>
        <v>80.4045</v>
      </c>
    </row>
    <row r="489">
      <c r="A489" s="1" t="s">
        <v>488</v>
      </c>
      <c r="D489" s="3">
        <f>IFERROR(__xludf.DUMMYFUNCTION("SPLIT(A489, ""|"")"),43279.0)</f>
        <v>43279</v>
      </c>
      <c r="E489" s="2">
        <f>IFERROR(__xludf.DUMMYFUNCTION("""COMPUTED_VALUE"""),1617993.0)</f>
        <v>1617993</v>
      </c>
      <c r="F489" s="2">
        <f>IFERROR(__xludf.DUMMYFUNCTION("""COMPUTED_VALUE"""),4571598.0)</f>
        <v>4571598</v>
      </c>
      <c r="G489" s="2">
        <f>IFERROR(__xludf.DUMMYFUNCTION("""COMPUTED_VALUE"""),65.66)</f>
        <v>65.66</v>
      </c>
    </row>
    <row r="490">
      <c r="A490" s="1" t="s">
        <v>489</v>
      </c>
      <c r="D490" s="3">
        <f>IFERROR(__xludf.DUMMYFUNCTION("SPLIT(A490, ""|"")"),43279.0)</f>
        <v>43279</v>
      </c>
      <c r="E490" s="2">
        <f>IFERROR(__xludf.DUMMYFUNCTION("""COMPUTED_VALUE"""),1198923.0)</f>
        <v>1198923</v>
      </c>
      <c r="F490" s="2">
        <f>IFERROR(__xludf.DUMMYFUNCTION("""COMPUTED_VALUE"""),4572824.0)</f>
        <v>4572824</v>
      </c>
      <c r="G490" s="2">
        <f>IFERROR(__xludf.DUMMYFUNCTION("""COMPUTED_VALUE"""),292.180099999999)</f>
        <v>292.1801</v>
      </c>
    </row>
    <row r="491">
      <c r="A491" s="1" t="s">
        <v>490</v>
      </c>
      <c r="D491" s="3">
        <f>IFERROR(__xludf.DUMMYFUNCTION("SPLIT(A491, ""|"")"),43279.0)</f>
        <v>43279</v>
      </c>
      <c r="E491" s="2">
        <f>IFERROR(__xludf.DUMMYFUNCTION("""COMPUTED_VALUE"""),484233.0)</f>
        <v>484233</v>
      </c>
      <c r="F491" s="2">
        <f>IFERROR(__xludf.DUMMYFUNCTION("""COMPUTED_VALUE"""),4572701.0)</f>
        <v>4572701</v>
      </c>
      <c r="G491" s="2">
        <f>IFERROR(__xludf.DUMMYFUNCTION("""COMPUTED_VALUE"""),50.3927)</f>
        <v>50.3927</v>
      </c>
    </row>
    <row r="492">
      <c r="A492" s="1" t="s">
        <v>491</v>
      </c>
      <c r="D492" s="3">
        <f>IFERROR(__xludf.DUMMYFUNCTION("SPLIT(A492, ""|"")"),43279.0)</f>
        <v>43279</v>
      </c>
      <c r="E492" s="2">
        <f>IFERROR(__xludf.DUMMYFUNCTION("""COMPUTED_VALUE"""),1515603.0)</f>
        <v>1515603</v>
      </c>
      <c r="F492" s="2">
        <f>IFERROR(__xludf.DUMMYFUNCTION("""COMPUTED_VALUE"""),4570051.0)</f>
        <v>4570051</v>
      </c>
      <c r="G492" s="2">
        <f>IFERROR(__xludf.DUMMYFUNCTION("""COMPUTED_VALUE"""),41.6887999999999)</f>
        <v>41.6888</v>
      </c>
    </row>
    <row r="493">
      <c r="A493" s="1" t="s">
        <v>492</v>
      </c>
      <c r="D493" s="3">
        <f>IFERROR(__xludf.DUMMYFUNCTION("SPLIT(A493, ""|"")"),43279.0)</f>
        <v>43279</v>
      </c>
      <c r="E493" s="2">
        <f>IFERROR(__xludf.DUMMYFUNCTION("""COMPUTED_VALUE"""),1238583.0)</f>
        <v>1238583</v>
      </c>
      <c r="F493" s="2">
        <f>IFERROR(__xludf.DUMMYFUNCTION("""COMPUTED_VALUE"""),4571152.0)</f>
        <v>4571152</v>
      </c>
      <c r="G493" s="2">
        <f>IFERROR(__xludf.DUMMYFUNCTION("""COMPUTED_VALUE"""),40.9655)</f>
        <v>40.9655</v>
      </c>
    </row>
    <row r="494">
      <c r="A494" s="1" t="s">
        <v>493</v>
      </c>
      <c r="D494" s="3">
        <f>IFERROR(__xludf.DUMMYFUNCTION("SPLIT(A494, ""|"")"),43279.0)</f>
        <v>43279</v>
      </c>
      <c r="E494" s="2">
        <f>IFERROR(__xludf.DUMMYFUNCTION("""COMPUTED_VALUE"""),1081713.0)</f>
        <v>1081713</v>
      </c>
      <c r="F494" s="2">
        <f>IFERROR(__xludf.DUMMYFUNCTION("""COMPUTED_VALUE"""),4570681.0)</f>
        <v>4570681</v>
      </c>
      <c r="G494" s="2">
        <f>IFERROR(__xludf.DUMMYFUNCTION("""COMPUTED_VALUE"""),70.1501)</f>
        <v>70.1501</v>
      </c>
    </row>
    <row r="495">
      <c r="A495" s="1" t="s">
        <v>494</v>
      </c>
      <c r="D495" s="3">
        <f>IFERROR(__xludf.DUMMYFUNCTION("SPLIT(A495, ""|"")"),43279.0)</f>
        <v>43279</v>
      </c>
      <c r="E495" s="2">
        <f>IFERROR(__xludf.DUMMYFUNCTION("""COMPUTED_VALUE"""),1534623.0)</f>
        <v>1534623</v>
      </c>
      <c r="F495" s="2">
        <f>IFERROR(__xludf.DUMMYFUNCTION("""COMPUTED_VALUE"""),4571370.0)</f>
        <v>4571370</v>
      </c>
      <c r="G495" s="2">
        <f>IFERROR(__xludf.DUMMYFUNCTION("""COMPUTED_VALUE"""),273.1067)</f>
        <v>273.1067</v>
      </c>
    </row>
    <row r="496">
      <c r="A496" s="1" t="s">
        <v>495</v>
      </c>
      <c r="D496" s="3">
        <f>IFERROR(__xludf.DUMMYFUNCTION("SPLIT(A496, ""|"")"),43024.0)</f>
        <v>43024</v>
      </c>
      <c r="E496" s="2">
        <f>IFERROR(__xludf.DUMMYFUNCTION("""COMPUTED_VALUE"""),1184643.0)</f>
        <v>1184643</v>
      </c>
      <c r="F496" s="2">
        <f>IFERROR(__xludf.DUMMYFUNCTION("""COMPUTED_VALUE"""),3871726.0)</f>
        <v>3871726</v>
      </c>
      <c r="G496" s="2">
        <f>IFERROR(__xludf.DUMMYFUNCTION("""COMPUTED_VALUE"""),131.5575)</f>
        <v>131.5575</v>
      </c>
    </row>
    <row r="497">
      <c r="A497" s="1" t="s">
        <v>496</v>
      </c>
      <c r="D497" s="3">
        <f>IFERROR(__xludf.DUMMYFUNCTION("SPLIT(A497, ""|"")"),43024.0)</f>
        <v>43024</v>
      </c>
      <c r="E497" s="2">
        <f>IFERROR(__xludf.DUMMYFUNCTION("""COMPUTED_VALUE"""),473733.0)</f>
        <v>473733</v>
      </c>
      <c r="F497" s="2">
        <f>IFERROR(__xludf.DUMMYFUNCTION("""COMPUTED_VALUE"""),3870098.0)</f>
        <v>3870098</v>
      </c>
      <c r="G497" s="2">
        <f>IFERROR(__xludf.DUMMYFUNCTION("""COMPUTED_VALUE"""),29.97)</f>
        <v>29.97</v>
      </c>
    </row>
    <row r="498">
      <c r="A498" s="1" t="s">
        <v>497</v>
      </c>
      <c r="D498" s="3">
        <f>IFERROR(__xludf.DUMMYFUNCTION("SPLIT(A498, ""|"")"),43024.0)</f>
        <v>43024</v>
      </c>
      <c r="E498" s="2">
        <f>IFERROR(__xludf.DUMMYFUNCTION("""COMPUTED_VALUE"""),1432953.0)</f>
        <v>1432953</v>
      </c>
      <c r="F498" s="2">
        <f>IFERROR(__xludf.DUMMYFUNCTION("""COMPUTED_VALUE"""),3871392.0)</f>
        <v>3871392</v>
      </c>
      <c r="G498" s="2">
        <f>IFERROR(__xludf.DUMMYFUNCTION("""COMPUTED_VALUE"""),85.5947)</f>
        <v>85.5947</v>
      </c>
    </row>
    <row r="499">
      <c r="A499" s="1" t="s">
        <v>498</v>
      </c>
      <c r="D499" s="3">
        <f>IFERROR(__xludf.DUMMYFUNCTION("SPLIT(A499, ""|"")"),43024.0)</f>
        <v>43024</v>
      </c>
      <c r="E499" s="2">
        <f>IFERROR(__xludf.DUMMYFUNCTION("""COMPUTED_VALUE"""),1432653.0)</f>
        <v>1432653</v>
      </c>
      <c r="F499" s="2">
        <f>IFERROR(__xludf.DUMMYFUNCTION("""COMPUTED_VALUE"""),3869682.0)</f>
        <v>3869682</v>
      </c>
      <c r="G499" s="2">
        <f>IFERROR(__xludf.DUMMYFUNCTION("""COMPUTED_VALUE"""),8.8334)</f>
        <v>8.8334</v>
      </c>
    </row>
    <row r="500">
      <c r="A500" s="1" t="s">
        <v>499</v>
      </c>
      <c r="D500" s="3">
        <f>IFERROR(__xludf.DUMMYFUNCTION("SPLIT(A500, ""|"")"),43024.0)</f>
        <v>43024</v>
      </c>
      <c r="E500" s="2">
        <f>IFERROR(__xludf.DUMMYFUNCTION("""COMPUTED_VALUE"""),1197873.0)</f>
        <v>1197873</v>
      </c>
      <c r="F500" s="2">
        <f>IFERROR(__xludf.DUMMYFUNCTION("""COMPUTED_VALUE"""),3871515.0)</f>
        <v>3871515</v>
      </c>
      <c r="G500" s="2">
        <f>IFERROR(__xludf.DUMMYFUNCTION("""COMPUTED_VALUE"""),63.4906)</f>
        <v>63.4906</v>
      </c>
    </row>
    <row r="501">
      <c r="A501" s="1" t="s">
        <v>500</v>
      </c>
      <c r="D501" s="3">
        <f>IFERROR(__xludf.DUMMYFUNCTION("SPLIT(A501, ""|"")"),43024.0)</f>
        <v>43024</v>
      </c>
      <c r="E501" s="2">
        <f>IFERROR(__xludf.DUMMYFUNCTION("""COMPUTED_VALUE"""),1233843.0)</f>
        <v>1233843</v>
      </c>
      <c r="F501" s="2">
        <f>IFERROR(__xludf.DUMMYFUNCTION("""COMPUTED_VALUE"""),3871805.0)</f>
        <v>3871805</v>
      </c>
      <c r="G501" s="2">
        <f>IFERROR(__xludf.DUMMYFUNCTION("""COMPUTED_VALUE"""),19.3623)</f>
        <v>19.3623</v>
      </c>
    </row>
    <row r="502">
      <c r="A502" s="1" t="s">
        <v>501</v>
      </c>
      <c r="D502" s="3">
        <f>IFERROR(__xludf.DUMMYFUNCTION("SPLIT(A502, ""|"")"),43024.0)</f>
        <v>43024</v>
      </c>
      <c r="E502" s="2">
        <f>IFERROR(__xludf.DUMMYFUNCTION("""COMPUTED_VALUE"""),1336473.0)</f>
        <v>1336473</v>
      </c>
      <c r="F502" s="2">
        <f>IFERROR(__xludf.DUMMYFUNCTION("""COMPUTED_VALUE"""),3871968.0)</f>
        <v>3871968</v>
      </c>
      <c r="G502" s="2">
        <f>IFERROR(__xludf.DUMMYFUNCTION("""COMPUTED_VALUE"""),164.867599999999)</f>
        <v>164.8676</v>
      </c>
    </row>
    <row r="503">
      <c r="A503" s="1" t="s">
        <v>502</v>
      </c>
      <c r="D503" s="3">
        <f>IFERROR(__xludf.DUMMYFUNCTION("SPLIT(A503, ""|"")"),43024.0)</f>
        <v>43024</v>
      </c>
      <c r="E503" s="2">
        <f>IFERROR(__xludf.DUMMYFUNCTION("""COMPUTED_VALUE"""),1433163.0)</f>
        <v>1433163</v>
      </c>
      <c r="F503" s="2">
        <f>IFERROR(__xludf.DUMMYFUNCTION("""COMPUTED_VALUE"""),3871521.0)</f>
        <v>3871521</v>
      </c>
      <c r="G503" s="2">
        <f>IFERROR(__xludf.DUMMYFUNCTION("""COMPUTED_VALUE"""),26.3925)</f>
        <v>26.3925</v>
      </c>
    </row>
    <row r="504">
      <c r="A504" s="1" t="s">
        <v>503</v>
      </c>
      <c r="D504" s="3">
        <f>IFERROR(__xludf.DUMMYFUNCTION("SPLIT(A504, ""|"")"),43024.0)</f>
        <v>43024</v>
      </c>
      <c r="E504" s="2">
        <f>IFERROR(__xludf.DUMMYFUNCTION("""COMPUTED_VALUE"""),1175043.0)</f>
        <v>1175043</v>
      </c>
      <c r="F504" s="2">
        <f>IFERROR(__xludf.DUMMYFUNCTION("""COMPUTED_VALUE"""),3870508.0)</f>
        <v>3870508</v>
      </c>
      <c r="G504" s="2">
        <f>IFERROR(__xludf.DUMMYFUNCTION("""COMPUTED_VALUE"""),39.5055)</f>
        <v>39.5055</v>
      </c>
    </row>
    <row r="505">
      <c r="A505" s="1" t="s">
        <v>504</v>
      </c>
      <c r="D505" s="3">
        <f>IFERROR(__xludf.DUMMYFUNCTION("SPLIT(A505, ""|"")"),43024.0)</f>
        <v>43024</v>
      </c>
      <c r="E505" s="2">
        <f>IFERROR(__xludf.DUMMYFUNCTION("""COMPUTED_VALUE"""),1195233.0)</f>
        <v>1195233</v>
      </c>
      <c r="F505" s="2">
        <f>IFERROR(__xludf.DUMMYFUNCTION("""COMPUTED_VALUE"""),3871957.0)</f>
        <v>3871957</v>
      </c>
      <c r="G505" s="2">
        <f>IFERROR(__xludf.DUMMYFUNCTION("""COMPUTED_VALUE"""),39.1065)</f>
        <v>39.1065</v>
      </c>
    </row>
    <row r="506">
      <c r="A506" s="1" t="s">
        <v>505</v>
      </c>
      <c r="D506" s="3">
        <f>IFERROR(__xludf.DUMMYFUNCTION("SPLIT(A506, ""|"")"),43280.0)</f>
        <v>43280</v>
      </c>
      <c r="E506" s="2">
        <f>IFERROR(__xludf.DUMMYFUNCTION("""COMPUTED_VALUE"""),1510443.0)</f>
        <v>1510443</v>
      </c>
      <c r="F506" s="2">
        <f>IFERROR(__xludf.DUMMYFUNCTION("""COMPUTED_VALUE"""),4575371.0)</f>
        <v>4575371</v>
      </c>
      <c r="G506" s="2">
        <f>IFERROR(__xludf.DUMMYFUNCTION("""COMPUTED_VALUE"""),24.635)</f>
        <v>24.635</v>
      </c>
    </row>
    <row r="507">
      <c r="A507" s="1" t="s">
        <v>506</v>
      </c>
      <c r="D507" s="3">
        <f>IFERROR(__xludf.DUMMYFUNCTION("SPLIT(A507, ""|"")"),43280.0)</f>
        <v>43280</v>
      </c>
      <c r="E507" s="2">
        <f>IFERROR(__xludf.DUMMYFUNCTION("""COMPUTED_VALUE"""),1618653.0)</f>
        <v>1618653</v>
      </c>
      <c r="F507" s="2">
        <f>IFERROR(__xludf.DUMMYFUNCTION("""COMPUTED_VALUE"""),4574573.0)</f>
        <v>4574573</v>
      </c>
      <c r="G507" s="2">
        <f>IFERROR(__xludf.DUMMYFUNCTION("""COMPUTED_VALUE"""),63.1728999999999)</f>
        <v>63.1729</v>
      </c>
    </row>
    <row r="508">
      <c r="A508" s="1" t="s">
        <v>507</v>
      </c>
      <c r="D508" s="3">
        <f>IFERROR(__xludf.DUMMYFUNCTION("SPLIT(A508, ""|"")"),43280.0)</f>
        <v>43280</v>
      </c>
      <c r="E508" s="2">
        <f>IFERROR(__xludf.DUMMYFUNCTION("""COMPUTED_VALUE"""),1545003.0)</f>
        <v>1545003</v>
      </c>
      <c r="F508" s="2">
        <f>IFERROR(__xludf.DUMMYFUNCTION("""COMPUTED_VALUE"""),4573331.0)</f>
        <v>4573331</v>
      </c>
      <c r="G508" s="2">
        <f>IFERROR(__xludf.DUMMYFUNCTION("""COMPUTED_VALUE"""),63.5878)</f>
        <v>63.5878</v>
      </c>
    </row>
    <row r="509">
      <c r="A509" s="1" t="s">
        <v>508</v>
      </c>
      <c r="D509" s="3">
        <f>IFERROR(__xludf.DUMMYFUNCTION("SPLIT(A509, ""|"")"),43025.0)</f>
        <v>43025</v>
      </c>
      <c r="E509" s="2">
        <f>IFERROR(__xludf.DUMMYFUNCTION("""COMPUTED_VALUE"""),1281333.0)</f>
        <v>1281333</v>
      </c>
      <c r="F509" s="2">
        <f>IFERROR(__xludf.DUMMYFUNCTION("""COMPUTED_VALUE"""),3872105.0)</f>
        <v>3872105</v>
      </c>
      <c r="G509" s="2">
        <f>IFERROR(__xludf.DUMMYFUNCTION("""COMPUTED_VALUE"""),35.6925)</f>
        <v>35.6925</v>
      </c>
    </row>
    <row r="510">
      <c r="A510" s="1" t="s">
        <v>509</v>
      </c>
      <c r="D510" s="3">
        <f>IFERROR(__xludf.DUMMYFUNCTION("SPLIT(A510, ""|"")"),43025.0)</f>
        <v>43025</v>
      </c>
      <c r="E510" s="2">
        <f>IFERROR(__xludf.DUMMYFUNCTION("""COMPUTED_VALUE"""),1433403.0)</f>
        <v>1433403</v>
      </c>
      <c r="F510" s="2">
        <f>IFERROR(__xludf.DUMMYFUNCTION("""COMPUTED_VALUE"""),3872339.0)</f>
        <v>3872339</v>
      </c>
      <c r="G510" s="2">
        <f>IFERROR(__xludf.DUMMYFUNCTION("""COMPUTED_VALUE"""),66.002)</f>
        <v>66.002</v>
      </c>
    </row>
    <row r="511">
      <c r="A511" s="1" t="s">
        <v>510</v>
      </c>
      <c r="D511" s="3">
        <f>IFERROR(__xludf.DUMMYFUNCTION("SPLIT(A511, ""|"")"),43025.0)</f>
        <v>43025</v>
      </c>
      <c r="E511" s="2">
        <f>IFERROR(__xludf.DUMMYFUNCTION("""COMPUTED_VALUE"""),1433553.0)</f>
        <v>1433553</v>
      </c>
      <c r="F511" s="2">
        <f>IFERROR(__xludf.DUMMYFUNCTION("""COMPUTED_VALUE"""),3872940.0)</f>
        <v>3872940</v>
      </c>
      <c r="G511" s="2">
        <f>IFERROR(__xludf.DUMMYFUNCTION("""COMPUTED_VALUE"""),41.6475)</f>
        <v>41.6475</v>
      </c>
    </row>
    <row r="512">
      <c r="A512" s="1" t="s">
        <v>511</v>
      </c>
      <c r="D512" s="3">
        <f>IFERROR(__xludf.DUMMYFUNCTION("SPLIT(A512, ""|"")"),43025.0)</f>
        <v>43025</v>
      </c>
      <c r="E512" s="2">
        <f>IFERROR(__xludf.DUMMYFUNCTION("""COMPUTED_VALUE"""),392763.0)</f>
        <v>392763</v>
      </c>
      <c r="F512" s="2">
        <f>IFERROR(__xludf.DUMMYFUNCTION("""COMPUTED_VALUE"""),3873720.0)</f>
        <v>3873720</v>
      </c>
      <c r="G512" s="2">
        <f>IFERROR(__xludf.DUMMYFUNCTION("""COMPUTED_VALUE"""),94.6058999999999)</f>
        <v>94.6059</v>
      </c>
    </row>
    <row r="513">
      <c r="A513" s="1" t="s">
        <v>512</v>
      </c>
      <c r="D513" s="3">
        <f>IFERROR(__xludf.DUMMYFUNCTION("SPLIT(A513, ""|"")"),43025.0)</f>
        <v>43025</v>
      </c>
      <c r="E513" s="2">
        <f>IFERROR(__xludf.DUMMYFUNCTION("""COMPUTED_VALUE"""),1125063.0)</f>
        <v>1125063</v>
      </c>
      <c r="F513" s="2">
        <f>IFERROR(__xludf.DUMMYFUNCTION("""COMPUTED_VALUE"""),3872670.0)</f>
        <v>3872670</v>
      </c>
      <c r="G513" s="2">
        <f>IFERROR(__xludf.DUMMYFUNCTION("""COMPUTED_VALUE"""),47.0165)</f>
        <v>47.0165</v>
      </c>
    </row>
    <row r="514">
      <c r="A514" s="1" t="s">
        <v>513</v>
      </c>
      <c r="D514" s="3">
        <f>IFERROR(__xludf.DUMMYFUNCTION("SPLIT(A514, ""|"")"),43025.0)</f>
        <v>43025</v>
      </c>
      <c r="E514" s="2">
        <f>IFERROR(__xludf.DUMMYFUNCTION("""COMPUTED_VALUE"""),1433913.0)</f>
        <v>1433913</v>
      </c>
      <c r="F514" s="2">
        <f>IFERROR(__xludf.DUMMYFUNCTION("""COMPUTED_VALUE"""),3874241.0)</f>
        <v>3874241</v>
      </c>
      <c r="G514" s="2">
        <f>IFERROR(__xludf.DUMMYFUNCTION("""COMPUTED_VALUE"""),6.7651)</f>
        <v>6.7651</v>
      </c>
    </row>
    <row r="515">
      <c r="A515" s="1" t="s">
        <v>514</v>
      </c>
      <c r="D515" s="3">
        <f>IFERROR(__xludf.DUMMYFUNCTION("SPLIT(A515, ""|"")"),43025.0)</f>
        <v>43025</v>
      </c>
      <c r="E515" s="2">
        <f>IFERROR(__xludf.DUMMYFUNCTION("""COMPUTED_VALUE"""),1135593.0)</f>
        <v>1135593</v>
      </c>
      <c r="F515" s="2">
        <f>IFERROR(__xludf.DUMMYFUNCTION("""COMPUTED_VALUE"""),3873109.0)</f>
        <v>3873109</v>
      </c>
      <c r="G515" s="2">
        <f>IFERROR(__xludf.DUMMYFUNCTION("""COMPUTED_VALUE"""),67.5187)</f>
        <v>67.5187</v>
      </c>
    </row>
    <row r="516">
      <c r="A516" s="1" t="s">
        <v>515</v>
      </c>
      <c r="D516" s="3">
        <f>IFERROR(__xludf.DUMMYFUNCTION("SPLIT(A516, ""|"")"),43025.0)</f>
        <v>43025</v>
      </c>
      <c r="E516" s="2">
        <f>IFERROR(__xludf.DUMMYFUNCTION("""COMPUTED_VALUE"""),1372023.0)</f>
        <v>1372023</v>
      </c>
      <c r="F516" s="2">
        <f>IFERROR(__xludf.DUMMYFUNCTION("""COMPUTED_VALUE"""),3873471.0)</f>
        <v>3873471</v>
      </c>
      <c r="G516" s="2">
        <f>IFERROR(__xludf.DUMMYFUNCTION("""COMPUTED_VALUE"""),61.2308)</f>
        <v>61.2308</v>
      </c>
    </row>
    <row r="517">
      <c r="A517" s="1" t="s">
        <v>516</v>
      </c>
      <c r="D517" s="3">
        <f>IFERROR(__xludf.DUMMYFUNCTION("SPLIT(A517, ""|"")"),43281.0)</f>
        <v>43281</v>
      </c>
      <c r="E517" s="2">
        <f>IFERROR(__xludf.DUMMYFUNCTION("""COMPUTED_VALUE"""),1475463.0)</f>
        <v>1475463</v>
      </c>
      <c r="F517" s="2">
        <f>IFERROR(__xludf.DUMMYFUNCTION("""COMPUTED_VALUE"""),4576425.0)</f>
        <v>4576425</v>
      </c>
      <c r="G517" s="2">
        <f>IFERROR(__xludf.DUMMYFUNCTION("""COMPUTED_VALUE"""),33.7735)</f>
        <v>33.7735</v>
      </c>
    </row>
    <row r="518">
      <c r="A518" s="1" t="s">
        <v>517</v>
      </c>
      <c r="D518" s="3">
        <f>IFERROR(__xludf.DUMMYFUNCTION("SPLIT(A518, ""|"")"),43281.0)</f>
        <v>43281</v>
      </c>
      <c r="E518" s="2">
        <f>IFERROR(__xludf.DUMMYFUNCTION("""COMPUTED_VALUE"""),414963.0)</f>
        <v>414963</v>
      </c>
      <c r="F518" s="2">
        <f>IFERROR(__xludf.DUMMYFUNCTION("""COMPUTED_VALUE"""),4575900.0)</f>
        <v>4575900</v>
      </c>
      <c r="G518" s="2">
        <f>IFERROR(__xludf.DUMMYFUNCTION("""COMPUTED_VALUE"""),41.0715)</f>
        <v>41.0715</v>
      </c>
    </row>
    <row r="519">
      <c r="A519" s="1" t="s">
        <v>518</v>
      </c>
      <c r="D519" s="3">
        <f>IFERROR(__xludf.DUMMYFUNCTION("SPLIT(A519, ""|"")"),43026.0)</f>
        <v>43026</v>
      </c>
      <c r="E519" s="2">
        <f>IFERROR(__xludf.DUMMYFUNCTION("""COMPUTED_VALUE"""),1345623.0)</f>
        <v>1345623</v>
      </c>
      <c r="F519" s="2">
        <f>IFERROR(__xludf.DUMMYFUNCTION("""COMPUTED_VALUE"""),3876022.0)</f>
        <v>3876022</v>
      </c>
      <c r="G519" s="2">
        <f>IFERROR(__xludf.DUMMYFUNCTION("""COMPUTED_VALUE"""),34.7745)</f>
        <v>34.7745</v>
      </c>
    </row>
    <row r="520">
      <c r="A520" s="1" t="s">
        <v>519</v>
      </c>
      <c r="D520" s="3">
        <f>IFERROR(__xludf.DUMMYFUNCTION("SPLIT(A520, ""|"")"),43026.0)</f>
        <v>43026</v>
      </c>
      <c r="E520" s="2">
        <f>IFERROR(__xludf.DUMMYFUNCTION("""COMPUTED_VALUE"""),1434483.0)</f>
        <v>1434483</v>
      </c>
      <c r="F520" s="2">
        <f>IFERROR(__xludf.DUMMYFUNCTION("""COMPUTED_VALUE"""),3876262.0)</f>
        <v>3876262</v>
      </c>
      <c r="G520" s="2">
        <f>IFERROR(__xludf.DUMMYFUNCTION("""COMPUTED_VALUE"""),181.9381)</f>
        <v>181.9381</v>
      </c>
    </row>
    <row r="521">
      <c r="A521" s="1" t="s">
        <v>520</v>
      </c>
      <c r="D521" s="3">
        <f>IFERROR(__xludf.DUMMYFUNCTION("SPLIT(A521, ""|"")"),43026.0)</f>
        <v>43026</v>
      </c>
      <c r="E521" s="2">
        <f>IFERROR(__xludf.DUMMYFUNCTION("""COMPUTED_VALUE"""),1223523.0)</f>
        <v>1223523</v>
      </c>
      <c r="F521" s="2">
        <f>IFERROR(__xludf.DUMMYFUNCTION("""COMPUTED_VALUE"""),3875020.0)</f>
        <v>3875020</v>
      </c>
      <c r="G521" s="2">
        <f>IFERROR(__xludf.DUMMYFUNCTION("""COMPUTED_VALUE"""),138.584299999999)</f>
        <v>138.5843</v>
      </c>
    </row>
    <row r="522">
      <c r="A522" s="1" t="s">
        <v>521</v>
      </c>
      <c r="D522" s="3">
        <f>IFERROR(__xludf.DUMMYFUNCTION("SPLIT(A522, ""|"")"),43026.0)</f>
        <v>43026</v>
      </c>
      <c r="E522" s="2">
        <f>IFERROR(__xludf.DUMMYFUNCTION("""COMPUTED_VALUE"""),1333263.0)</f>
        <v>1333263</v>
      </c>
      <c r="F522" s="2">
        <f>IFERROR(__xludf.DUMMYFUNCTION("""COMPUTED_VALUE"""),3876152.0)</f>
        <v>3876152</v>
      </c>
      <c r="G522" s="2">
        <f>IFERROR(__xludf.DUMMYFUNCTION("""COMPUTED_VALUE"""),98.5063)</f>
        <v>98.5063</v>
      </c>
    </row>
    <row r="523">
      <c r="A523" s="1" t="s">
        <v>522</v>
      </c>
      <c r="D523" s="3">
        <f>IFERROR(__xludf.DUMMYFUNCTION("SPLIT(A523, ""|"")"),43282.0)</f>
        <v>43282</v>
      </c>
      <c r="E523" s="2">
        <f>IFERROR(__xludf.DUMMYFUNCTION("""COMPUTED_VALUE"""),1159653.0)</f>
        <v>1159653</v>
      </c>
      <c r="F523" s="2">
        <f>IFERROR(__xludf.DUMMYFUNCTION("""COMPUTED_VALUE"""),4578564.0)</f>
        <v>4578564</v>
      </c>
      <c r="G523" s="2">
        <f>IFERROR(__xludf.DUMMYFUNCTION("""COMPUTED_VALUE"""),66.9191)</f>
        <v>66.9191</v>
      </c>
    </row>
    <row r="524">
      <c r="A524" s="1" t="s">
        <v>523</v>
      </c>
      <c r="D524" s="3">
        <f>IFERROR(__xludf.DUMMYFUNCTION("SPLIT(A524, ""|"")"),43282.0)</f>
        <v>43282</v>
      </c>
      <c r="E524" s="2">
        <f>IFERROR(__xludf.DUMMYFUNCTION("""COMPUTED_VALUE"""),1620033.0)</f>
        <v>1620033</v>
      </c>
      <c r="F524" s="2">
        <f>IFERROR(__xludf.DUMMYFUNCTION("""COMPUTED_VALUE"""),4580492.0)</f>
        <v>4580492</v>
      </c>
      <c r="G524" s="2">
        <f>IFERROR(__xludf.DUMMYFUNCTION("""COMPUTED_VALUE"""),119.6667)</f>
        <v>119.6667</v>
      </c>
    </row>
    <row r="525">
      <c r="A525" s="1" t="s">
        <v>524</v>
      </c>
      <c r="D525" s="3">
        <f>IFERROR(__xludf.DUMMYFUNCTION("SPLIT(A525, ""|"")"),43282.0)</f>
        <v>43282</v>
      </c>
      <c r="E525" s="2">
        <f>IFERROR(__xludf.DUMMYFUNCTION("""COMPUTED_VALUE"""),1212723.0)</f>
        <v>1212723</v>
      </c>
      <c r="F525" s="2">
        <f>IFERROR(__xludf.DUMMYFUNCTION("""COMPUTED_VALUE"""),4579880.0)</f>
        <v>4579880</v>
      </c>
      <c r="G525" s="2">
        <f>IFERROR(__xludf.DUMMYFUNCTION("""COMPUTED_VALUE"""),60.8764)</f>
        <v>60.8764</v>
      </c>
    </row>
    <row r="526">
      <c r="A526" s="1" t="s">
        <v>525</v>
      </c>
      <c r="D526" s="3">
        <f>IFERROR(__xludf.DUMMYFUNCTION("SPLIT(A526, ""|"")"),43282.0)</f>
        <v>43282</v>
      </c>
      <c r="E526" s="2">
        <f>IFERROR(__xludf.DUMMYFUNCTION("""COMPUTED_VALUE"""),1589013.0)</f>
        <v>1589013</v>
      </c>
      <c r="F526" s="2">
        <f>IFERROR(__xludf.DUMMYFUNCTION("""COMPUTED_VALUE"""),4579877.0)</f>
        <v>4579877</v>
      </c>
      <c r="G526" s="2">
        <f>IFERROR(__xludf.DUMMYFUNCTION("""COMPUTED_VALUE"""),17.5346)</f>
        <v>17.5346</v>
      </c>
    </row>
    <row r="527">
      <c r="A527" s="1" t="s">
        <v>526</v>
      </c>
      <c r="D527" s="3">
        <f>IFERROR(__xludf.DUMMYFUNCTION("SPLIT(A527, ""|"")"),43282.0)</f>
        <v>43282</v>
      </c>
      <c r="E527" s="2">
        <f>IFERROR(__xludf.DUMMYFUNCTION("""COMPUTED_VALUE"""),1599033.0)</f>
        <v>1599033</v>
      </c>
      <c r="F527" s="2">
        <f>IFERROR(__xludf.DUMMYFUNCTION("""COMPUTED_VALUE"""),4578301.0)</f>
        <v>4578301</v>
      </c>
      <c r="G527" s="2">
        <f>IFERROR(__xludf.DUMMYFUNCTION("""COMPUTED_VALUE"""),139.0758)</f>
        <v>139.0758</v>
      </c>
    </row>
    <row r="528">
      <c r="A528" s="1" t="s">
        <v>527</v>
      </c>
      <c r="D528" s="3">
        <f>IFERROR(__xludf.DUMMYFUNCTION("SPLIT(A528, ""|"")"),43282.0)</f>
        <v>43282</v>
      </c>
      <c r="E528" s="2">
        <f>IFERROR(__xludf.DUMMYFUNCTION("""COMPUTED_VALUE"""),1620003.0)</f>
        <v>1620003</v>
      </c>
      <c r="F528" s="2">
        <f>IFERROR(__xludf.DUMMYFUNCTION("""COMPUTED_VALUE"""),4580367.0)</f>
        <v>4580367</v>
      </c>
      <c r="G528" s="2">
        <f>IFERROR(__xludf.DUMMYFUNCTION("""COMPUTED_VALUE"""),59.9334)</f>
        <v>59.9334</v>
      </c>
    </row>
    <row r="529">
      <c r="A529" s="1" t="s">
        <v>528</v>
      </c>
      <c r="D529" s="3">
        <f>IFERROR(__xludf.DUMMYFUNCTION("SPLIT(A529, ""|"")"),43282.0)</f>
        <v>43282</v>
      </c>
      <c r="E529" s="2">
        <f>IFERROR(__xludf.DUMMYFUNCTION("""COMPUTED_VALUE"""),1620093.0)</f>
        <v>1620093</v>
      </c>
      <c r="F529" s="2">
        <f>IFERROR(__xludf.DUMMYFUNCTION("""COMPUTED_VALUE"""),4580824.0)</f>
        <v>4580824</v>
      </c>
      <c r="G529" s="2">
        <f>IFERROR(__xludf.DUMMYFUNCTION("""COMPUTED_VALUE"""),44.3231)</f>
        <v>44.3231</v>
      </c>
    </row>
    <row r="530">
      <c r="A530" s="1" t="s">
        <v>529</v>
      </c>
      <c r="D530" s="3">
        <f>IFERROR(__xludf.DUMMYFUNCTION("SPLIT(A530, ""|"")"),43282.0)</f>
        <v>43282</v>
      </c>
      <c r="E530" s="2">
        <f>IFERROR(__xludf.DUMMYFUNCTION("""COMPUTED_VALUE"""),1578423.0)</f>
        <v>1578423</v>
      </c>
      <c r="F530" s="2">
        <f>IFERROR(__xludf.DUMMYFUNCTION("""COMPUTED_VALUE"""),4578576.0)</f>
        <v>4578576</v>
      </c>
      <c r="G530" s="2">
        <f>IFERROR(__xludf.DUMMYFUNCTION("""COMPUTED_VALUE"""),80.4834)</f>
        <v>80.4834</v>
      </c>
    </row>
    <row r="531">
      <c r="A531" s="1" t="s">
        <v>530</v>
      </c>
      <c r="D531" s="3">
        <f>IFERROR(__xludf.DUMMYFUNCTION("SPLIT(A531, ""|"")"),43282.0)</f>
        <v>43282</v>
      </c>
      <c r="E531" s="2">
        <f>IFERROR(__xludf.DUMMYFUNCTION("""COMPUTED_VALUE"""),1585893.0)</f>
        <v>1585893</v>
      </c>
      <c r="F531" s="2">
        <f>IFERROR(__xludf.DUMMYFUNCTION("""COMPUTED_VALUE"""),4580193.0)</f>
        <v>4580193</v>
      </c>
      <c r="G531" s="2">
        <f>IFERROR(__xludf.DUMMYFUNCTION("""COMPUTED_VALUE"""),74.9795)</f>
        <v>74.9795</v>
      </c>
    </row>
    <row r="532">
      <c r="A532" s="1" t="s">
        <v>531</v>
      </c>
      <c r="D532" s="3">
        <f>IFERROR(__xludf.DUMMYFUNCTION("SPLIT(A532, ""|"")"),43282.0)</f>
        <v>43282</v>
      </c>
      <c r="E532" s="2">
        <f>IFERROR(__xludf.DUMMYFUNCTION("""COMPUTED_VALUE"""),1619553.0)</f>
        <v>1619553</v>
      </c>
      <c r="F532" s="2">
        <f>IFERROR(__xludf.DUMMYFUNCTION("""COMPUTED_VALUE"""),4578441.0)</f>
        <v>4578441</v>
      </c>
      <c r="G532" s="2">
        <f>IFERROR(__xludf.DUMMYFUNCTION("""COMPUTED_VALUE"""),174.8041)</f>
        <v>174.8041</v>
      </c>
    </row>
    <row r="533">
      <c r="A533" s="1" t="s">
        <v>532</v>
      </c>
      <c r="D533" s="3">
        <f>IFERROR(__xludf.DUMMYFUNCTION("SPLIT(A533, ""|"")"),43282.0)</f>
        <v>43282</v>
      </c>
      <c r="E533" s="2">
        <f>IFERROR(__xludf.DUMMYFUNCTION("""COMPUTED_VALUE"""),1102863.0)</f>
        <v>1102863</v>
      </c>
      <c r="F533" s="2">
        <f>IFERROR(__xludf.DUMMYFUNCTION("""COMPUTED_VALUE"""),4578988.0)</f>
        <v>4578988</v>
      </c>
      <c r="G533" s="2">
        <f>IFERROR(__xludf.DUMMYFUNCTION("""COMPUTED_VALUE"""),74.0236)</f>
        <v>74.0236</v>
      </c>
    </row>
    <row r="534">
      <c r="A534" s="1" t="s">
        <v>533</v>
      </c>
      <c r="D534" s="3">
        <f>IFERROR(__xludf.DUMMYFUNCTION("SPLIT(A534, ""|"")"),43027.0)</f>
        <v>43027</v>
      </c>
      <c r="E534" s="2">
        <f>IFERROR(__xludf.DUMMYFUNCTION("""COMPUTED_VALUE"""),1434783.0)</f>
        <v>1434783</v>
      </c>
      <c r="F534" s="2">
        <f>IFERROR(__xludf.DUMMYFUNCTION("""COMPUTED_VALUE"""),3877396.0)</f>
        <v>3877396</v>
      </c>
      <c r="G534" s="2">
        <f>IFERROR(__xludf.DUMMYFUNCTION("""COMPUTED_VALUE"""),33.25)</f>
        <v>33.25</v>
      </c>
    </row>
    <row r="535">
      <c r="A535" s="1" t="s">
        <v>534</v>
      </c>
      <c r="D535" s="3">
        <f>IFERROR(__xludf.DUMMYFUNCTION("SPLIT(A535, ""|"")"),43027.0)</f>
        <v>43027</v>
      </c>
      <c r="E535" s="2">
        <f>IFERROR(__xludf.DUMMYFUNCTION("""COMPUTED_VALUE"""),1286103.0)</f>
        <v>1286103</v>
      </c>
      <c r="F535" s="2">
        <f>IFERROR(__xludf.DUMMYFUNCTION("""COMPUTED_VALUE"""),3877398.0)</f>
        <v>3877398</v>
      </c>
      <c r="G535" s="2">
        <f>IFERROR(__xludf.DUMMYFUNCTION("""COMPUTED_VALUE"""),329.3843)</f>
        <v>329.3843</v>
      </c>
    </row>
    <row r="536">
      <c r="A536" s="1" t="s">
        <v>535</v>
      </c>
      <c r="D536" s="3">
        <f>IFERROR(__xludf.DUMMYFUNCTION("SPLIT(A536, ""|"")"),43027.0)</f>
        <v>43027</v>
      </c>
      <c r="E536" s="2">
        <f>IFERROR(__xludf.DUMMYFUNCTION("""COMPUTED_VALUE"""),1286103.0)</f>
        <v>1286103</v>
      </c>
      <c r="F536" s="2">
        <f>IFERROR(__xludf.DUMMYFUNCTION("""COMPUTED_VALUE"""),3877483.0)</f>
        <v>3877483</v>
      </c>
      <c r="G536" s="2">
        <f>IFERROR(__xludf.DUMMYFUNCTION("""COMPUTED_VALUE"""),390.3118)</f>
        <v>390.3118</v>
      </c>
    </row>
    <row r="537">
      <c r="A537" s="1" t="s">
        <v>536</v>
      </c>
      <c r="D537" s="3">
        <f>IFERROR(__xludf.DUMMYFUNCTION("SPLIT(A537, ""|"")"),43283.0)</f>
        <v>43283</v>
      </c>
      <c r="E537" s="2">
        <f>IFERROR(__xludf.DUMMYFUNCTION("""COMPUTED_VALUE"""),1089273.0)</f>
        <v>1089273</v>
      </c>
      <c r="F537" s="2">
        <f>IFERROR(__xludf.DUMMYFUNCTION("""COMPUTED_VALUE"""),4582242.0)</f>
        <v>4582242</v>
      </c>
      <c r="G537" s="2">
        <f>IFERROR(__xludf.DUMMYFUNCTION("""COMPUTED_VALUE"""),36.3332)</f>
        <v>36.3332</v>
      </c>
    </row>
    <row r="538">
      <c r="A538" s="1" t="s">
        <v>537</v>
      </c>
      <c r="D538" s="3">
        <f>IFERROR(__xludf.DUMMYFUNCTION("SPLIT(A538, ""|"")"),43283.0)</f>
        <v>43283</v>
      </c>
      <c r="E538" s="2">
        <f>IFERROR(__xludf.DUMMYFUNCTION("""COMPUTED_VALUE"""),1588233.0)</f>
        <v>1588233</v>
      </c>
      <c r="F538" s="2">
        <f>IFERROR(__xludf.DUMMYFUNCTION("""COMPUTED_VALUE"""),4581936.0)</f>
        <v>4581936</v>
      </c>
      <c r="G538" s="2">
        <f>IFERROR(__xludf.DUMMYFUNCTION("""COMPUTED_VALUE"""),80.4464)</f>
        <v>80.4464</v>
      </c>
    </row>
    <row r="539">
      <c r="A539" s="1" t="s">
        <v>538</v>
      </c>
      <c r="D539" s="3">
        <f>IFERROR(__xludf.DUMMYFUNCTION("SPLIT(A539, ""|"")"),43283.0)</f>
        <v>43283</v>
      </c>
      <c r="E539" s="2">
        <f>IFERROR(__xludf.DUMMYFUNCTION("""COMPUTED_VALUE"""),426423.0)</f>
        <v>426423</v>
      </c>
      <c r="F539" s="2">
        <f>IFERROR(__xludf.DUMMYFUNCTION("""COMPUTED_VALUE"""),4582556.0)</f>
        <v>4582556</v>
      </c>
      <c r="G539" s="2">
        <f>IFERROR(__xludf.DUMMYFUNCTION("""COMPUTED_VALUE"""),94.7084)</f>
        <v>94.7084</v>
      </c>
    </row>
    <row r="540">
      <c r="A540" s="1" t="s">
        <v>539</v>
      </c>
      <c r="D540" s="3">
        <f>IFERROR(__xludf.DUMMYFUNCTION("SPLIT(A540, ""|"")"),43283.0)</f>
        <v>43283</v>
      </c>
      <c r="E540" s="2">
        <f>IFERROR(__xludf.DUMMYFUNCTION("""COMPUTED_VALUE"""),1620633.0)</f>
        <v>1620633</v>
      </c>
      <c r="F540" s="2">
        <f>IFERROR(__xludf.DUMMYFUNCTION("""COMPUTED_VALUE"""),4583351.0)</f>
        <v>4583351</v>
      </c>
      <c r="G540" s="2">
        <f>IFERROR(__xludf.DUMMYFUNCTION("""COMPUTED_VALUE"""),91.9709999999999)</f>
        <v>91.971</v>
      </c>
    </row>
    <row r="541">
      <c r="A541" s="1" t="s">
        <v>540</v>
      </c>
      <c r="D541" s="3">
        <f>IFERROR(__xludf.DUMMYFUNCTION("SPLIT(A541, ""|"")"),43283.0)</f>
        <v>43283</v>
      </c>
      <c r="E541" s="2">
        <f>IFERROR(__xludf.DUMMYFUNCTION("""COMPUTED_VALUE"""),1620153.0)</f>
        <v>1620153</v>
      </c>
      <c r="F541" s="2">
        <f>IFERROR(__xludf.DUMMYFUNCTION("""COMPUTED_VALUE"""),4581094.0)</f>
        <v>4581094</v>
      </c>
      <c r="G541" s="2">
        <f>IFERROR(__xludf.DUMMYFUNCTION("""COMPUTED_VALUE"""),66.853)</f>
        <v>66.853</v>
      </c>
    </row>
    <row r="542">
      <c r="A542" s="1" t="s">
        <v>541</v>
      </c>
      <c r="D542" s="3">
        <f>IFERROR(__xludf.DUMMYFUNCTION("SPLIT(A542, ""|"")"),43283.0)</f>
        <v>43283</v>
      </c>
      <c r="E542" s="2">
        <f>IFERROR(__xludf.DUMMYFUNCTION("""COMPUTED_VALUE"""),1620273.0)</f>
        <v>1620273</v>
      </c>
      <c r="F542" s="2">
        <f>IFERROR(__xludf.DUMMYFUNCTION("""COMPUTED_VALUE"""),4581710.0)</f>
        <v>4581710</v>
      </c>
      <c r="G542" s="2">
        <f>IFERROR(__xludf.DUMMYFUNCTION("""COMPUTED_VALUE"""),11.2472)</f>
        <v>11.2472</v>
      </c>
    </row>
    <row r="543">
      <c r="A543" s="1" t="s">
        <v>542</v>
      </c>
      <c r="D543" s="3">
        <f>IFERROR(__xludf.DUMMYFUNCTION("SPLIT(A543, ""|"")"),43283.0)</f>
        <v>43283</v>
      </c>
      <c r="E543" s="2">
        <f>IFERROR(__xludf.DUMMYFUNCTION("""COMPUTED_VALUE"""),1620123.0)</f>
        <v>1620123</v>
      </c>
      <c r="F543" s="2">
        <f>IFERROR(__xludf.DUMMYFUNCTION("""COMPUTED_VALUE"""),4581247.0)</f>
        <v>4581247</v>
      </c>
      <c r="G543" s="2">
        <f>IFERROR(__xludf.DUMMYFUNCTION("""COMPUTED_VALUE"""),90.237)</f>
        <v>90.237</v>
      </c>
    </row>
    <row r="544">
      <c r="A544" s="1" t="s">
        <v>543</v>
      </c>
      <c r="D544" s="3">
        <f>IFERROR(__xludf.DUMMYFUNCTION("SPLIT(A544, ""|"")"),43283.0)</f>
        <v>43283</v>
      </c>
      <c r="E544" s="2">
        <f>IFERROR(__xludf.DUMMYFUNCTION("""COMPUTED_VALUE"""),1611213.0)</f>
        <v>1611213</v>
      </c>
      <c r="F544" s="2">
        <f>IFERROR(__xludf.DUMMYFUNCTION("""COMPUTED_VALUE"""),4583840.0)</f>
        <v>4583840</v>
      </c>
      <c r="G544" s="2">
        <f>IFERROR(__xludf.DUMMYFUNCTION("""COMPUTED_VALUE"""),82.4621)</f>
        <v>82.4621</v>
      </c>
    </row>
    <row r="545">
      <c r="A545" s="1" t="s">
        <v>544</v>
      </c>
      <c r="D545" s="3">
        <f>IFERROR(__xludf.DUMMYFUNCTION("SPLIT(A545, ""|"")"),43283.0)</f>
        <v>43283</v>
      </c>
      <c r="E545" s="2">
        <f>IFERROR(__xludf.DUMMYFUNCTION("""COMPUTED_VALUE"""),1416303.0)</f>
        <v>1416303</v>
      </c>
      <c r="F545" s="2">
        <f>IFERROR(__xludf.DUMMYFUNCTION("""COMPUTED_VALUE"""),4581596.0)</f>
        <v>4581596</v>
      </c>
      <c r="G545" s="2">
        <f>IFERROR(__xludf.DUMMYFUNCTION("""COMPUTED_VALUE"""),70.5482)</f>
        <v>70.5482</v>
      </c>
    </row>
    <row r="546">
      <c r="A546" s="1" t="s">
        <v>545</v>
      </c>
      <c r="D546" s="3">
        <f>IFERROR(__xludf.DUMMYFUNCTION("SPLIT(A546, ""|"")"),43028.0)</f>
        <v>43028</v>
      </c>
      <c r="E546" s="2">
        <f>IFERROR(__xludf.DUMMYFUNCTION("""COMPUTED_VALUE"""),1435443.0)</f>
        <v>1435443</v>
      </c>
      <c r="F546" s="2">
        <f>IFERROR(__xludf.DUMMYFUNCTION("""COMPUTED_VALUE"""),3879797.0)</f>
        <v>3879797</v>
      </c>
      <c r="G546" s="2">
        <f>IFERROR(__xludf.DUMMYFUNCTION("""COMPUTED_VALUE"""),10.0932)</f>
        <v>10.0932</v>
      </c>
    </row>
    <row r="547">
      <c r="A547" s="1" t="s">
        <v>546</v>
      </c>
      <c r="D547" s="3">
        <f>IFERROR(__xludf.DUMMYFUNCTION("SPLIT(A547, ""|"")"),43028.0)</f>
        <v>43028</v>
      </c>
      <c r="E547" s="2">
        <f>IFERROR(__xludf.DUMMYFUNCTION("""COMPUTED_VALUE"""),1419603.0)</f>
        <v>1419603</v>
      </c>
      <c r="F547" s="2">
        <f>IFERROR(__xludf.DUMMYFUNCTION("""COMPUTED_VALUE"""),3879737.0)</f>
        <v>3879737</v>
      </c>
      <c r="G547" s="2">
        <f>IFERROR(__xludf.DUMMYFUNCTION("""COMPUTED_VALUE"""),74.2683999999999)</f>
        <v>74.2684</v>
      </c>
    </row>
    <row r="548">
      <c r="A548" s="1" t="s">
        <v>547</v>
      </c>
      <c r="D548" s="3">
        <f>IFERROR(__xludf.DUMMYFUNCTION("SPLIT(A548, ""|"")"),43028.0)</f>
        <v>43028</v>
      </c>
      <c r="E548" s="2">
        <f>IFERROR(__xludf.DUMMYFUNCTION("""COMPUTED_VALUE"""),1435473.0)</f>
        <v>1435473</v>
      </c>
      <c r="F548" s="2">
        <f>IFERROR(__xludf.DUMMYFUNCTION("""COMPUTED_VALUE"""),3879867.0)</f>
        <v>3879867</v>
      </c>
      <c r="G548" s="2">
        <f>IFERROR(__xludf.DUMMYFUNCTION("""COMPUTED_VALUE"""),58.0649)</f>
        <v>58.0649</v>
      </c>
    </row>
    <row r="549">
      <c r="A549" s="1" t="s">
        <v>548</v>
      </c>
      <c r="D549" s="3">
        <f>IFERROR(__xludf.DUMMYFUNCTION("SPLIT(A549, ""|"")"),43284.0)</f>
        <v>43284</v>
      </c>
      <c r="E549" s="2">
        <f>IFERROR(__xludf.DUMMYFUNCTION("""COMPUTED_VALUE"""),1165353.0)</f>
        <v>1165353</v>
      </c>
      <c r="F549" s="2">
        <f>IFERROR(__xludf.DUMMYFUNCTION("""COMPUTED_VALUE"""),4586404.0)</f>
        <v>4586404</v>
      </c>
      <c r="G549" s="2">
        <f>IFERROR(__xludf.DUMMYFUNCTION("""COMPUTED_VALUE"""),59.2218)</f>
        <v>59.2218</v>
      </c>
    </row>
    <row r="550">
      <c r="A550" s="1" t="s">
        <v>549</v>
      </c>
      <c r="D550" s="3">
        <f>IFERROR(__xludf.DUMMYFUNCTION("SPLIT(A550, ""|"")"),43284.0)</f>
        <v>43284</v>
      </c>
      <c r="E550" s="2">
        <f>IFERROR(__xludf.DUMMYFUNCTION("""COMPUTED_VALUE"""),1073343.0)</f>
        <v>1073343</v>
      </c>
      <c r="F550" s="2">
        <f>IFERROR(__xludf.DUMMYFUNCTION("""COMPUTED_VALUE"""),4585136.0)</f>
        <v>4585136</v>
      </c>
      <c r="G550" s="2">
        <f>IFERROR(__xludf.DUMMYFUNCTION("""COMPUTED_VALUE"""),16.7441)</f>
        <v>16.7441</v>
      </c>
    </row>
    <row r="551">
      <c r="A551" s="1" t="s">
        <v>550</v>
      </c>
      <c r="D551" s="3">
        <f>IFERROR(__xludf.DUMMYFUNCTION("SPLIT(A551, ""|"")"),43284.0)</f>
        <v>43284</v>
      </c>
      <c r="E551" s="2">
        <f>IFERROR(__xludf.DUMMYFUNCTION("""COMPUTED_VALUE"""),1397703.0)</f>
        <v>1397703</v>
      </c>
      <c r="F551" s="2">
        <f>IFERROR(__xludf.DUMMYFUNCTION("""COMPUTED_VALUE"""),4585011.0)</f>
        <v>4585011</v>
      </c>
      <c r="G551" s="2">
        <f>IFERROR(__xludf.DUMMYFUNCTION("""COMPUTED_VALUE"""),60.2069)</f>
        <v>60.2069</v>
      </c>
    </row>
    <row r="552">
      <c r="A552" s="1" t="s">
        <v>551</v>
      </c>
      <c r="D552" s="3">
        <f>IFERROR(__xludf.DUMMYFUNCTION("SPLIT(A552, ""|"")"),43284.0)</f>
        <v>43284</v>
      </c>
      <c r="E552" s="2">
        <f>IFERROR(__xludf.DUMMYFUNCTION("""COMPUTED_VALUE"""),1620813.0)</f>
        <v>1620813</v>
      </c>
      <c r="F552" s="2">
        <f>IFERROR(__xludf.DUMMYFUNCTION("""COMPUTED_VALUE"""),4585889.0)</f>
        <v>4585889</v>
      </c>
      <c r="G552" s="2">
        <f>IFERROR(__xludf.DUMMYFUNCTION("""COMPUTED_VALUE"""),30.6251)</f>
        <v>30.6251</v>
      </c>
    </row>
    <row r="553">
      <c r="A553" s="1" t="s">
        <v>552</v>
      </c>
      <c r="D553" s="3">
        <f>IFERROR(__xludf.DUMMYFUNCTION("SPLIT(A553, ""|"")"),43284.0)</f>
        <v>43284</v>
      </c>
      <c r="E553" s="2">
        <f>IFERROR(__xludf.DUMMYFUNCTION("""COMPUTED_VALUE"""),1103823.0)</f>
        <v>1103823</v>
      </c>
      <c r="F553" s="2">
        <f>IFERROR(__xludf.DUMMYFUNCTION("""COMPUTED_VALUE"""),4585639.0)</f>
        <v>4585639</v>
      </c>
      <c r="G553" s="2">
        <f>IFERROR(__xludf.DUMMYFUNCTION("""COMPUTED_VALUE"""),97.4962)</f>
        <v>97.4962</v>
      </c>
    </row>
    <row r="554">
      <c r="A554" s="1" t="s">
        <v>553</v>
      </c>
      <c r="D554" s="3">
        <f>IFERROR(__xludf.DUMMYFUNCTION("SPLIT(A554, ""|"")"),43284.0)</f>
        <v>43284</v>
      </c>
      <c r="E554" s="2">
        <f>IFERROR(__xludf.DUMMYFUNCTION("""COMPUTED_VALUE"""),1621293.0)</f>
        <v>1621293</v>
      </c>
      <c r="F554" s="2">
        <f>IFERROR(__xludf.DUMMYFUNCTION("""COMPUTED_VALUE"""),4586710.0)</f>
        <v>4586710</v>
      </c>
      <c r="G554" s="2">
        <f>IFERROR(__xludf.DUMMYFUNCTION("""COMPUTED_VALUE"""),26.5412)</f>
        <v>26.5412</v>
      </c>
    </row>
    <row r="555">
      <c r="A555" s="1" t="s">
        <v>554</v>
      </c>
      <c r="D555" s="3">
        <f>IFERROR(__xludf.DUMMYFUNCTION("SPLIT(A555, ""|"")"),43029.0)</f>
        <v>43029</v>
      </c>
      <c r="E555" s="2">
        <f>IFERROR(__xludf.DUMMYFUNCTION("""COMPUTED_VALUE"""),186663.0)</f>
        <v>186663</v>
      </c>
      <c r="F555" s="2">
        <f>IFERROR(__xludf.DUMMYFUNCTION("""COMPUTED_VALUE"""),3880316.0)</f>
        <v>3880316</v>
      </c>
      <c r="G555" s="2">
        <f>IFERROR(__xludf.DUMMYFUNCTION("""COMPUTED_VALUE"""),67.698)</f>
        <v>67.698</v>
      </c>
    </row>
    <row r="556">
      <c r="A556" s="1" t="s">
        <v>555</v>
      </c>
      <c r="D556" s="3">
        <f>IFERROR(__xludf.DUMMYFUNCTION("SPLIT(A556, ""|"")"),43029.0)</f>
        <v>43029</v>
      </c>
      <c r="E556" s="2">
        <f>IFERROR(__xludf.DUMMYFUNCTION("""COMPUTED_VALUE"""),1435593.0)</f>
        <v>1435593</v>
      </c>
      <c r="F556" s="2">
        <f>IFERROR(__xludf.DUMMYFUNCTION("""COMPUTED_VALUE"""),3880267.0)</f>
        <v>3880267</v>
      </c>
      <c r="G556" s="2">
        <f>IFERROR(__xludf.DUMMYFUNCTION("""COMPUTED_VALUE"""),60.3927999999999)</f>
        <v>60.3928</v>
      </c>
    </row>
    <row r="557">
      <c r="A557" s="1" t="s">
        <v>556</v>
      </c>
      <c r="D557" s="3">
        <f>IFERROR(__xludf.DUMMYFUNCTION("SPLIT(A557, ""|"")"),43029.0)</f>
        <v>43029</v>
      </c>
      <c r="E557" s="2">
        <f>IFERROR(__xludf.DUMMYFUNCTION("""COMPUTED_VALUE"""),1234173.0)</f>
        <v>1234173</v>
      </c>
      <c r="F557" s="2">
        <f>IFERROR(__xludf.DUMMYFUNCTION("""COMPUTED_VALUE"""),3880354.0)</f>
        <v>3880354</v>
      </c>
      <c r="G557" s="2">
        <f>IFERROR(__xludf.DUMMYFUNCTION("""COMPUTED_VALUE"""),38.2275)</f>
        <v>38.2275</v>
      </c>
    </row>
    <row r="558">
      <c r="A558" s="1" t="s">
        <v>557</v>
      </c>
      <c r="D558" s="3">
        <f>IFERROR(__xludf.DUMMYFUNCTION("SPLIT(A558, ""|"")"),43029.0)</f>
        <v>43029</v>
      </c>
      <c r="E558" s="2">
        <f>IFERROR(__xludf.DUMMYFUNCTION("""COMPUTED_VALUE"""),1341843.0)</f>
        <v>1341843</v>
      </c>
      <c r="F558" s="2">
        <f>IFERROR(__xludf.DUMMYFUNCTION("""COMPUTED_VALUE"""),3880585.0)</f>
        <v>3880585</v>
      </c>
      <c r="G558" s="2">
        <f>IFERROR(__xludf.DUMMYFUNCTION("""COMPUTED_VALUE"""),83.0929999999999)</f>
        <v>83.093</v>
      </c>
    </row>
    <row r="559">
      <c r="A559" s="1" t="s">
        <v>558</v>
      </c>
      <c r="D559" s="3">
        <f>IFERROR(__xludf.DUMMYFUNCTION("SPLIT(A559, ""|"")"),43029.0)</f>
        <v>43029</v>
      </c>
      <c r="E559" s="2">
        <f>IFERROR(__xludf.DUMMYFUNCTION("""COMPUTED_VALUE"""),1435773.0)</f>
        <v>1435773</v>
      </c>
      <c r="F559" s="2">
        <f>IFERROR(__xludf.DUMMYFUNCTION("""COMPUTED_VALUE"""),3880848.0)</f>
        <v>3880848</v>
      </c>
      <c r="G559" s="2">
        <f>IFERROR(__xludf.DUMMYFUNCTION("""COMPUTED_VALUE"""),41.875)</f>
        <v>41.875</v>
      </c>
    </row>
    <row r="560">
      <c r="A560" s="1" t="s">
        <v>559</v>
      </c>
      <c r="D560" s="3">
        <f>IFERROR(__xludf.DUMMYFUNCTION("SPLIT(A560, ""|"")"),43029.0)</f>
        <v>43029</v>
      </c>
      <c r="E560" s="2">
        <f>IFERROR(__xludf.DUMMYFUNCTION("""COMPUTED_VALUE"""),278733.0)</f>
        <v>278733</v>
      </c>
      <c r="F560" s="2">
        <f>IFERROR(__xludf.DUMMYFUNCTION("""COMPUTED_VALUE"""),3880637.0)</f>
        <v>3880637</v>
      </c>
      <c r="G560" s="2">
        <f>IFERROR(__xludf.DUMMYFUNCTION("""COMPUTED_VALUE"""),81.7611)</f>
        <v>81.7611</v>
      </c>
    </row>
    <row r="561">
      <c r="A561" s="1" t="s">
        <v>560</v>
      </c>
      <c r="D561" s="3">
        <f>IFERROR(__xludf.DUMMYFUNCTION("SPLIT(A561, ""|"")"),43029.0)</f>
        <v>43029</v>
      </c>
      <c r="E561" s="2">
        <f>IFERROR(__xludf.DUMMYFUNCTION("""COMPUTED_VALUE"""),1435953.0)</f>
        <v>1435953</v>
      </c>
      <c r="F561" s="2">
        <f>IFERROR(__xludf.DUMMYFUNCTION("""COMPUTED_VALUE"""),3881460.0)</f>
        <v>3881460</v>
      </c>
      <c r="G561" s="2">
        <f>IFERROR(__xludf.DUMMYFUNCTION("""COMPUTED_VALUE"""),41.3129)</f>
        <v>41.3129</v>
      </c>
    </row>
    <row r="562">
      <c r="A562" s="1" t="s">
        <v>561</v>
      </c>
      <c r="D562" s="3">
        <f>IFERROR(__xludf.DUMMYFUNCTION("SPLIT(A562, ""|"")"),43285.0)</f>
        <v>43285</v>
      </c>
      <c r="E562" s="2">
        <f>IFERROR(__xludf.DUMMYFUNCTION("""COMPUTED_VALUE"""),1223523.0)</f>
        <v>1223523</v>
      </c>
      <c r="F562" s="2">
        <f>IFERROR(__xludf.DUMMYFUNCTION("""COMPUTED_VALUE"""),4589348.0)</f>
        <v>4589348</v>
      </c>
      <c r="G562" s="2">
        <f>IFERROR(__xludf.DUMMYFUNCTION("""COMPUTED_VALUE"""),32.2562)</f>
        <v>32.2562</v>
      </c>
    </row>
    <row r="563">
      <c r="A563" s="1" t="s">
        <v>562</v>
      </c>
      <c r="D563" s="3">
        <f>IFERROR(__xludf.DUMMYFUNCTION("SPLIT(A563, ""|"")"),43285.0)</f>
        <v>43285</v>
      </c>
      <c r="E563" s="2">
        <f>IFERROR(__xludf.DUMMYFUNCTION("""COMPUTED_VALUE"""),1594203.0)</f>
        <v>1594203</v>
      </c>
      <c r="F563" s="2">
        <f>IFERROR(__xludf.DUMMYFUNCTION("""COMPUTED_VALUE"""),4590109.0)</f>
        <v>4590109</v>
      </c>
      <c r="G563" s="2">
        <f>IFERROR(__xludf.DUMMYFUNCTION("""COMPUTED_VALUE"""),149.8145)</f>
        <v>149.8145</v>
      </c>
    </row>
    <row r="564">
      <c r="A564" s="1" t="s">
        <v>563</v>
      </c>
      <c r="D564" s="3">
        <f>IFERROR(__xludf.DUMMYFUNCTION("SPLIT(A564, ""|"")"),43285.0)</f>
        <v>43285</v>
      </c>
      <c r="E564" s="2">
        <f>IFERROR(__xludf.DUMMYFUNCTION("""COMPUTED_VALUE"""),1387623.0)</f>
        <v>1387623</v>
      </c>
      <c r="F564" s="2">
        <f>IFERROR(__xludf.DUMMYFUNCTION("""COMPUTED_VALUE"""),4588944.0)</f>
        <v>4588944</v>
      </c>
      <c r="G564" s="2">
        <f>IFERROR(__xludf.DUMMYFUNCTION("""COMPUTED_VALUE"""),72.2872999999999)</f>
        <v>72.2873</v>
      </c>
    </row>
    <row r="565">
      <c r="A565" s="1" t="s">
        <v>564</v>
      </c>
      <c r="D565" s="3">
        <f>IFERROR(__xludf.DUMMYFUNCTION("SPLIT(A565, ""|"")"),43285.0)</f>
        <v>43285</v>
      </c>
      <c r="E565" s="2">
        <f>IFERROR(__xludf.DUMMYFUNCTION("""COMPUTED_VALUE"""),146283.0)</f>
        <v>146283</v>
      </c>
      <c r="F565" s="2">
        <f>IFERROR(__xludf.DUMMYFUNCTION("""COMPUTED_VALUE"""),4589789.0)</f>
        <v>4589789</v>
      </c>
      <c r="G565" s="2">
        <f>IFERROR(__xludf.DUMMYFUNCTION("""COMPUTED_VALUE"""),148.2542)</f>
        <v>148.2542</v>
      </c>
    </row>
    <row r="566">
      <c r="A566" s="1" t="s">
        <v>565</v>
      </c>
      <c r="D566" s="3">
        <f>IFERROR(__xludf.DUMMYFUNCTION("SPLIT(A566, ""|"")"),43285.0)</f>
        <v>43285</v>
      </c>
      <c r="E566" s="2">
        <f>IFERROR(__xludf.DUMMYFUNCTION("""COMPUTED_VALUE"""),1467843.0)</f>
        <v>1467843</v>
      </c>
      <c r="F566" s="2">
        <f>IFERROR(__xludf.DUMMYFUNCTION("""COMPUTED_VALUE"""),4589925.0)</f>
        <v>4589925</v>
      </c>
      <c r="G566" s="2">
        <f>IFERROR(__xludf.DUMMYFUNCTION("""COMPUTED_VALUE"""),84.4348)</f>
        <v>84.4348</v>
      </c>
    </row>
    <row r="567">
      <c r="A567" s="1" t="s">
        <v>566</v>
      </c>
      <c r="D567" s="3">
        <f>IFERROR(__xludf.DUMMYFUNCTION("SPLIT(A567, ""|"")"),43285.0)</f>
        <v>43285</v>
      </c>
      <c r="E567" s="2">
        <f>IFERROR(__xludf.DUMMYFUNCTION("""COMPUTED_VALUE"""),1434813.0)</f>
        <v>1434813</v>
      </c>
      <c r="F567" s="2">
        <f>IFERROR(__xludf.DUMMYFUNCTION("""COMPUTED_VALUE"""),4588635.0)</f>
        <v>4588635</v>
      </c>
      <c r="G567" s="2">
        <f>IFERROR(__xludf.DUMMYFUNCTION("""COMPUTED_VALUE"""),267.5516)</f>
        <v>267.5516</v>
      </c>
    </row>
    <row r="568">
      <c r="A568" s="1" t="s">
        <v>567</v>
      </c>
      <c r="D568" s="3">
        <f>IFERROR(__xludf.DUMMYFUNCTION("SPLIT(A568, ""|"")"),43030.0)</f>
        <v>43030</v>
      </c>
      <c r="E568" s="2">
        <f>IFERROR(__xludf.DUMMYFUNCTION("""COMPUTED_VALUE"""),1342773.0)</f>
        <v>1342773</v>
      </c>
      <c r="F568" s="2">
        <f>IFERROR(__xludf.DUMMYFUNCTION("""COMPUTED_VALUE"""),3883812.0)</f>
        <v>3883812</v>
      </c>
      <c r="G568" s="2">
        <f>IFERROR(__xludf.DUMMYFUNCTION("""COMPUTED_VALUE"""),19.5499999999999)</f>
        <v>19.55</v>
      </c>
    </row>
    <row r="569">
      <c r="A569" s="1" t="s">
        <v>568</v>
      </c>
      <c r="D569" s="3">
        <f>IFERROR(__xludf.DUMMYFUNCTION("SPLIT(A569, ""|"")"),43030.0)</f>
        <v>43030</v>
      </c>
      <c r="E569" s="2">
        <f>IFERROR(__xludf.DUMMYFUNCTION("""COMPUTED_VALUE"""),1203693.0)</f>
        <v>1203693</v>
      </c>
      <c r="F569" s="2">
        <f>IFERROR(__xludf.DUMMYFUNCTION("""COMPUTED_VALUE"""),3884098.0)</f>
        <v>3884098</v>
      </c>
      <c r="G569" s="2">
        <f>IFERROR(__xludf.DUMMYFUNCTION("""COMPUTED_VALUE"""),34.8791)</f>
        <v>34.8791</v>
      </c>
    </row>
    <row r="570">
      <c r="A570" s="1" t="s">
        <v>569</v>
      </c>
      <c r="D570" s="3">
        <f>IFERROR(__xludf.DUMMYFUNCTION("SPLIT(A570, ""|"")"),43030.0)</f>
        <v>43030</v>
      </c>
      <c r="E570" s="2">
        <f>IFERROR(__xludf.DUMMYFUNCTION("""COMPUTED_VALUE"""),1436523.0)</f>
        <v>1436523</v>
      </c>
      <c r="F570" s="2">
        <f>IFERROR(__xludf.DUMMYFUNCTION("""COMPUTED_VALUE"""),3883646.0)</f>
        <v>3883646</v>
      </c>
      <c r="G570" s="2">
        <f>IFERROR(__xludf.DUMMYFUNCTION("""COMPUTED_VALUE"""),43.6326)</f>
        <v>43.6326</v>
      </c>
    </row>
    <row r="571">
      <c r="A571" s="1" t="s">
        <v>570</v>
      </c>
      <c r="D571" s="3">
        <f>IFERROR(__xludf.DUMMYFUNCTION("SPLIT(A571, ""|"")"),43030.0)</f>
        <v>43030</v>
      </c>
      <c r="E571" s="2">
        <f>IFERROR(__xludf.DUMMYFUNCTION("""COMPUTED_VALUE"""),1238253.0)</f>
        <v>1238253</v>
      </c>
      <c r="F571" s="2">
        <f>IFERROR(__xludf.DUMMYFUNCTION("""COMPUTED_VALUE"""),3882474.0)</f>
        <v>3882474</v>
      </c>
      <c r="G571" s="2">
        <f>IFERROR(__xludf.DUMMYFUNCTION("""COMPUTED_VALUE"""),11.7534999999999)</f>
        <v>11.7535</v>
      </c>
    </row>
    <row r="572">
      <c r="A572" s="1" t="s">
        <v>571</v>
      </c>
      <c r="D572" s="3">
        <f>IFERROR(__xludf.DUMMYFUNCTION("SPLIT(A572, ""|"")"),43030.0)</f>
        <v>43030</v>
      </c>
      <c r="E572" s="2">
        <f>IFERROR(__xludf.DUMMYFUNCTION("""COMPUTED_VALUE"""),1195233.0)</f>
        <v>1195233</v>
      </c>
      <c r="F572" s="2">
        <f>IFERROR(__xludf.DUMMYFUNCTION("""COMPUTED_VALUE"""),3882455.0)</f>
        <v>3882455</v>
      </c>
      <c r="G572" s="2">
        <f>IFERROR(__xludf.DUMMYFUNCTION("""COMPUTED_VALUE"""),53.1728)</f>
        <v>53.1728</v>
      </c>
    </row>
    <row r="573">
      <c r="A573" s="1" t="s">
        <v>572</v>
      </c>
      <c r="D573" s="3">
        <f>IFERROR(__xludf.DUMMYFUNCTION("SPLIT(A573, ""|"")"),43030.0)</f>
        <v>43030</v>
      </c>
      <c r="E573" s="2">
        <f>IFERROR(__xludf.DUMMYFUNCTION("""COMPUTED_VALUE"""),1436163.0)</f>
        <v>1436163</v>
      </c>
      <c r="F573" s="2">
        <f>IFERROR(__xludf.DUMMYFUNCTION("""COMPUTED_VALUE"""),3882195.0)</f>
        <v>3882195</v>
      </c>
      <c r="G573" s="2">
        <f>IFERROR(__xludf.DUMMYFUNCTION("""COMPUTED_VALUE"""),65.9934)</f>
        <v>65.9934</v>
      </c>
    </row>
    <row r="574">
      <c r="A574" s="1" t="s">
        <v>573</v>
      </c>
      <c r="D574" s="3">
        <f>IFERROR(__xludf.DUMMYFUNCTION("SPLIT(A574, ""|"")"),43030.0)</f>
        <v>43030</v>
      </c>
      <c r="E574" s="2">
        <f>IFERROR(__xludf.DUMMYFUNCTION("""COMPUTED_VALUE"""),1173993.0)</f>
        <v>1173993</v>
      </c>
      <c r="F574" s="2">
        <f>IFERROR(__xludf.DUMMYFUNCTION("""COMPUTED_VALUE"""),3882076.0)</f>
        <v>3882076</v>
      </c>
      <c r="G574" s="2">
        <f>IFERROR(__xludf.DUMMYFUNCTION("""COMPUTED_VALUE"""),89.5659999999999)</f>
        <v>89.566</v>
      </c>
    </row>
    <row r="575">
      <c r="A575" s="1" t="s">
        <v>574</v>
      </c>
      <c r="D575" s="3">
        <f>IFERROR(__xludf.DUMMYFUNCTION("SPLIT(A575, ""|"")"),43030.0)</f>
        <v>43030</v>
      </c>
      <c r="E575" s="2">
        <f>IFERROR(__xludf.DUMMYFUNCTION("""COMPUTED_VALUE"""),1138083.0)</f>
        <v>1138083</v>
      </c>
      <c r="F575" s="2">
        <f>IFERROR(__xludf.DUMMYFUNCTION("""COMPUTED_VALUE"""),3882561.0)</f>
        <v>3882561</v>
      </c>
      <c r="G575" s="2">
        <f>IFERROR(__xludf.DUMMYFUNCTION("""COMPUTED_VALUE"""),133.109999999999)</f>
        <v>133.11</v>
      </c>
    </row>
    <row r="576">
      <c r="A576" s="1" t="s">
        <v>575</v>
      </c>
      <c r="D576" s="3">
        <f>IFERROR(__xludf.DUMMYFUNCTION("SPLIT(A576, ""|"")"),43030.0)</f>
        <v>43030</v>
      </c>
      <c r="E576" s="2">
        <f>IFERROR(__xludf.DUMMYFUNCTION("""COMPUTED_VALUE"""),1436313.0)</f>
        <v>1436313</v>
      </c>
      <c r="F576" s="2">
        <f>IFERROR(__xludf.DUMMYFUNCTION("""COMPUTED_VALUE"""),3882793.0)</f>
        <v>3882793</v>
      </c>
      <c r="G576" s="2">
        <f>IFERROR(__xludf.DUMMYFUNCTION("""COMPUTED_VALUE"""),94.8595)</f>
        <v>94.8595</v>
      </c>
    </row>
    <row r="577">
      <c r="A577" s="1" t="s">
        <v>576</v>
      </c>
      <c r="D577" s="3">
        <f>IFERROR(__xludf.DUMMYFUNCTION("SPLIT(A577, ""|"")"),43286.0)</f>
        <v>43286</v>
      </c>
      <c r="E577" s="2">
        <f>IFERROR(__xludf.DUMMYFUNCTION("""COMPUTED_VALUE"""),1622313.0)</f>
        <v>1622313</v>
      </c>
      <c r="F577" s="2">
        <f>IFERROR(__xludf.DUMMYFUNCTION("""COMPUTED_VALUE"""),4591174.0)</f>
        <v>4591174</v>
      </c>
      <c r="G577" s="2">
        <f>IFERROR(__xludf.DUMMYFUNCTION("""COMPUTED_VALUE"""),54.5193)</f>
        <v>54.5193</v>
      </c>
    </row>
    <row r="578">
      <c r="A578" s="1" t="s">
        <v>577</v>
      </c>
      <c r="D578" s="3">
        <f>IFERROR(__xludf.DUMMYFUNCTION("SPLIT(A578, ""|"")"),43286.0)</f>
        <v>43286</v>
      </c>
      <c r="E578" s="2">
        <f>IFERROR(__xludf.DUMMYFUNCTION("""COMPUTED_VALUE"""),1499133.0)</f>
        <v>1499133</v>
      </c>
      <c r="F578" s="2">
        <f>IFERROR(__xludf.DUMMYFUNCTION("""COMPUTED_VALUE"""),4592739.0)</f>
        <v>4592739</v>
      </c>
      <c r="G578" s="2">
        <f>IFERROR(__xludf.DUMMYFUNCTION("""COMPUTED_VALUE"""),97.594)</f>
        <v>97.594</v>
      </c>
    </row>
    <row r="579">
      <c r="A579" s="1" t="s">
        <v>578</v>
      </c>
      <c r="D579" s="3">
        <f>IFERROR(__xludf.DUMMYFUNCTION("SPLIT(A579, ""|"")"),43286.0)</f>
        <v>43286</v>
      </c>
      <c r="E579" s="2">
        <f>IFERROR(__xludf.DUMMYFUNCTION("""COMPUTED_VALUE"""),1499133.0)</f>
        <v>1499133</v>
      </c>
      <c r="F579" s="2">
        <f>IFERROR(__xludf.DUMMYFUNCTION("""COMPUTED_VALUE"""),4592878.0)</f>
        <v>4592878</v>
      </c>
      <c r="G579" s="2">
        <f>IFERROR(__xludf.DUMMYFUNCTION("""COMPUTED_VALUE"""),99.2926)</f>
        <v>99.2926</v>
      </c>
    </row>
    <row r="580">
      <c r="A580" s="1" t="s">
        <v>579</v>
      </c>
      <c r="D580" s="3">
        <f>IFERROR(__xludf.DUMMYFUNCTION("SPLIT(A580, ""|"")"),43286.0)</f>
        <v>43286</v>
      </c>
      <c r="E580" s="2">
        <f>IFERROR(__xludf.DUMMYFUNCTION("""COMPUTED_VALUE"""),1622343.0)</f>
        <v>1622343</v>
      </c>
      <c r="F580" s="2">
        <f>IFERROR(__xludf.DUMMYFUNCTION("""COMPUTED_VALUE"""),4591239.0)</f>
        <v>4591239</v>
      </c>
      <c r="G580" s="2">
        <f>IFERROR(__xludf.DUMMYFUNCTION("""COMPUTED_VALUE"""),24.7998)</f>
        <v>24.7998</v>
      </c>
    </row>
    <row r="581">
      <c r="A581" s="1" t="s">
        <v>580</v>
      </c>
      <c r="D581" s="3">
        <f>IFERROR(__xludf.DUMMYFUNCTION("SPLIT(A581, ""|"")"),43031.0)</f>
        <v>43031</v>
      </c>
      <c r="E581" s="2">
        <f>IFERROR(__xludf.DUMMYFUNCTION("""COMPUTED_VALUE"""),221733.0)</f>
        <v>221733</v>
      </c>
      <c r="F581" s="2">
        <f>IFERROR(__xludf.DUMMYFUNCTION("""COMPUTED_VALUE"""),3885934.0)</f>
        <v>3885934</v>
      </c>
      <c r="G581" s="2">
        <f>IFERROR(__xludf.DUMMYFUNCTION("""COMPUTED_VALUE"""),332.829)</f>
        <v>332.829</v>
      </c>
    </row>
    <row r="582">
      <c r="A582" s="1" t="s">
        <v>581</v>
      </c>
      <c r="D582" s="3">
        <f>IFERROR(__xludf.DUMMYFUNCTION("SPLIT(A582, ""|"")"),43031.0)</f>
        <v>43031</v>
      </c>
      <c r="E582" s="2">
        <f>IFERROR(__xludf.DUMMYFUNCTION("""COMPUTED_VALUE"""),1230573.0)</f>
        <v>1230573</v>
      </c>
      <c r="F582" s="2">
        <f>IFERROR(__xludf.DUMMYFUNCTION("""COMPUTED_VALUE"""),3885867.0)</f>
        <v>3885867</v>
      </c>
      <c r="G582" s="2">
        <f>IFERROR(__xludf.DUMMYFUNCTION("""COMPUTED_VALUE"""),76.5193999999999)</f>
        <v>76.5194</v>
      </c>
    </row>
    <row r="583">
      <c r="A583" s="1" t="s">
        <v>582</v>
      </c>
      <c r="D583" s="3">
        <f>IFERROR(__xludf.DUMMYFUNCTION("SPLIT(A583, ""|"")"),43031.0)</f>
        <v>43031</v>
      </c>
      <c r="E583" s="2">
        <f>IFERROR(__xludf.DUMMYFUNCTION("""COMPUTED_VALUE"""),1348683.0)</f>
        <v>1348683</v>
      </c>
      <c r="F583" s="2">
        <f>IFERROR(__xludf.DUMMYFUNCTION("""COMPUTED_VALUE"""),3886923.0)</f>
        <v>3886923</v>
      </c>
      <c r="G583" s="2">
        <f>IFERROR(__xludf.DUMMYFUNCTION("""COMPUTED_VALUE"""),59.8436)</f>
        <v>59.8436</v>
      </c>
    </row>
    <row r="584">
      <c r="A584" s="1" t="s">
        <v>583</v>
      </c>
      <c r="D584" s="3">
        <f>IFERROR(__xludf.DUMMYFUNCTION("SPLIT(A584, ""|"")"),43031.0)</f>
        <v>43031</v>
      </c>
      <c r="E584" s="2">
        <f>IFERROR(__xludf.DUMMYFUNCTION("""COMPUTED_VALUE"""),1299153.0)</f>
        <v>1299153</v>
      </c>
      <c r="F584" s="2">
        <f>IFERROR(__xludf.DUMMYFUNCTION("""COMPUTED_VALUE"""),3884822.0)</f>
        <v>3884822</v>
      </c>
      <c r="G584" s="2">
        <f>IFERROR(__xludf.DUMMYFUNCTION("""COMPUTED_VALUE"""),39.9302)</f>
        <v>39.9302</v>
      </c>
    </row>
    <row r="585">
      <c r="A585" s="1" t="s">
        <v>584</v>
      </c>
      <c r="D585" s="3">
        <f>IFERROR(__xludf.DUMMYFUNCTION("SPLIT(A585, ""|"")"),43031.0)</f>
        <v>43031</v>
      </c>
      <c r="E585" s="2">
        <f>IFERROR(__xludf.DUMMYFUNCTION("""COMPUTED_VALUE"""),1434813.0)</f>
        <v>1434813</v>
      </c>
      <c r="F585" s="2">
        <f>IFERROR(__xludf.DUMMYFUNCTION("""COMPUTED_VALUE"""),3885827.0)</f>
        <v>3885827</v>
      </c>
      <c r="G585" s="2">
        <f>IFERROR(__xludf.DUMMYFUNCTION("""COMPUTED_VALUE"""),229.294499999999)</f>
        <v>229.2945</v>
      </c>
    </row>
    <row r="586">
      <c r="A586" s="1" t="s">
        <v>585</v>
      </c>
      <c r="D586" s="3">
        <f>IFERROR(__xludf.DUMMYFUNCTION("SPLIT(A586, ""|"")"),43031.0)</f>
        <v>43031</v>
      </c>
      <c r="E586" s="2">
        <f>IFERROR(__xludf.DUMMYFUNCTION("""COMPUTED_VALUE"""),1437213.0)</f>
        <v>1437213</v>
      </c>
      <c r="F586" s="2">
        <f>IFERROR(__xludf.DUMMYFUNCTION("""COMPUTED_VALUE"""),3886485.0)</f>
        <v>3886485</v>
      </c>
      <c r="G586" s="2">
        <f>IFERROR(__xludf.DUMMYFUNCTION("""COMPUTED_VALUE"""),18.1279)</f>
        <v>18.1279</v>
      </c>
    </row>
    <row r="587">
      <c r="A587" s="1" t="s">
        <v>586</v>
      </c>
      <c r="D587" s="3">
        <f>IFERROR(__xludf.DUMMYFUNCTION("SPLIT(A587, ""|"")"),43031.0)</f>
        <v>43031</v>
      </c>
      <c r="E587" s="2">
        <f>IFERROR(__xludf.DUMMYFUNCTION("""COMPUTED_VALUE"""),1437033.0)</f>
        <v>1437033</v>
      </c>
      <c r="F587" s="2">
        <f>IFERROR(__xludf.DUMMYFUNCTION("""COMPUTED_VALUE"""),3885788.0)</f>
        <v>3885788</v>
      </c>
      <c r="G587" s="2">
        <f>IFERROR(__xludf.DUMMYFUNCTION("""COMPUTED_VALUE"""),13.0711)</f>
        <v>13.0711</v>
      </c>
    </row>
    <row r="588">
      <c r="A588" s="1" t="s">
        <v>587</v>
      </c>
      <c r="D588" s="3">
        <f>IFERROR(__xludf.DUMMYFUNCTION("SPLIT(A588, ""|"")"),43287.0)</f>
        <v>43287</v>
      </c>
      <c r="E588" s="2">
        <f>IFERROR(__xludf.DUMMYFUNCTION("""COMPUTED_VALUE"""),184683.0)</f>
        <v>184683</v>
      </c>
      <c r="F588" s="2">
        <f>IFERROR(__xludf.DUMMYFUNCTION("""COMPUTED_VALUE"""),4594086.0)</f>
        <v>4594086</v>
      </c>
      <c r="G588" s="2">
        <f>IFERROR(__xludf.DUMMYFUNCTION("""COMPUTED_VALUE"""),70.8517)</f>
        <v>70.8517</v>
      </c>
    </row>
    <row r="589">
      <c r="A589" s="1" t="s">
        <v>588</v>
      </c>
      <c r="D589" s="3">
        <f>IFERROR(__xludf.DUMMYFUNCTION("SPLIT(A589, ""|"")"),43287.0)</f>
        <v>43287</v>
      </c>
      <c r="E589" s="2">
        <f>IFERROR(__xludf.DUMMYFUNCTION("""COMPUTED_VALUE"""),1450893.0)</f>
        <v>1450893</v>
      </c>
      <c r="F589" s="2">
        <f>IFERROR(__xludf.DUMMYFUNCTION("""COMPUTED_VALUE"""),4594898.0)</f>
        <v>4594898</v>
      </c>
      <c r="G589" s="2">
        <f>IFERROR(__xludf.DUMMYFUNCTION("""COMPUTED_VALUE"""),63.4227)</f>
        <v>63.4227</v>
      </c>
    </row>
    <row r="590">
      <c r="A590" s="1" t="s">
        <v>589</v>
      </c>
      <c r="D590" s="3">
        <f>IFERROR(__xludf.DUMMYFUNCTION("SPLIT(A590, ""|"")"),43287.0)</f>
        <v>43287</v>
      </c>
      <c r="E590" s="2">
        <f>IFERROR(__xludf.DUMMYFUNCTION("""COMPUTED_VALUE"""),1428633.0)</f>
        <v>1428633</v>
      </c>
      <c r="F590" s="2">
        <f>IFERROR(__xludf.DUMMYFUNCTION("""COMPUTED_VALUE"""),4594909.0)</f>
        <v>4594909</v>
      </c>
      <c r="G590" s="2">
        <f>IFERROR(__xludf.DUMMYFUNCTION("""COMPUTED_VALUE"""),60.0606)</f>
        <v>60.0606</v>
      </c>
    </row>
    <row r="591">
      <c r="A591" s="1" t="s">
        <v>590</v>
      </c>
      <c r="D591" s="3">
        <f>IFERROR(__xludf.DUMMYFUNCTION("SPLIT(A591, ""|"")"),43287.0)</f>
        <v>43287</v>
      </c>
      <c r="E591" s="2">
        <f>IFERROR(__xludf.DUMMYFUNCTION("""COMPUTED_VALUE"""),1077423.0)</f>
        <v>1077423</v>
      </c>
      <c r="F591" s="2">
        <f>IFERROR(__xludf.DUMMYFUNCTION("""COMPUTED_VALUE"""),4594580.0)</f>
        <v>4594580</v>
      </c>
      <c r="G591" s="2">
        <f>IFERROR(__xludf.DUMMYFUNCTION("""COMPUTED_VALUE"""),150.0181)</f>
        <v>150.0181</v>
      </c>
    </row>
    <row r="592">
      <c r="A592" s="1" t="s">
        <v>591</v>
      </c>
      <c r="D592" s="3">
        <f>IFERROR(__xludf.DUMMYFUNCTION("SPLIT(A592, ""|"")"),43032.0)</f>
        <v>43032</v>
      </c>
      <c r="E592" s="2">
        <f>IFERROR(__xludf.DUMMYFUNCTION("""COMPUTED_VALUE"""),1310703.0)</f>
        <v>1310703</v>
      </c>
      <c r="F592" s="2">
        <f>IFERROR(__xludf.DUMMYFUNCTION("""COMPUTED_VALUE"""),3888872.0)</f>
        <v>3888872</v>
      </c>
      <c r="G592" s="2">
        <f>IFERROR(__xludf.DUMMYFUNCTION("""COMPUTED_VALUE"""),48.3039)</f>
        <v>48.3039</v>
      </c>
    </row>
    <row r="593">
      <c r="A593" s="1" t="s">
        <v>592</v>
      </c>
      <c r="D593" s="3">
        <f>IFERROR(__xludf.DUMMYFUNCTION("SPLIT(A593, ""|"")"),43032.0)</f>
        <v>43032</v>
      </c>
      <c r="E593" s="2">
        <f>IFERROR(__xludf.DUMMYFUNCTION("""COMPUTED_VALUE"""),1410513.0)</f>
        <v>1410513</v>
      </c>
      <c r="F593" s="2">
        <f>IFERROR(__xludf.DUMMYFUNCTION("""COMPUTED_VALUE"""),3888591.0)</f>
        <v>3888591</v>
      </c>
      <c r="G593" s="2">
        <f>IFERROR(__xludf.DUMMYFUNCTION("""COMPUTED_VALUE"""),61.8287)</f>
        <v>61.8287</v>
      </c>
    </row>
    <row r="594">
      <c r="A594" s="1" t="s">
        <v>593</v>
      </c>
      <c r="D594" s="3">
        <f>IFERROR(__xludf.DUMMYFUNCTION("SPLIT(A594, ""|"")"),43032.0)</f>
        <v>43032</v>
      </c>
      <c r="E594" s="2">
        <f>IFERROR(__xludf.DUMMYFUNCTION("""COMPUTED_VALUE"""),1251393.0)</f>
        <v>1251393</v>
      </c>
      <c r="F594" s="2">
        <f>IFERROR(__xludf.DUMMYFUNCTION("""COMPUTED_VALUE"""),3889349.0)</f>
        <v>3889349</v>
      </c>
      <c r="G594" s="2">
        <f>IFERROR(__xludf.DUMMYFUNCTION("""COMPUTED_VALUE"""),42.2403999999999)</f>
        <v>42.2404</v>
      </c>
    </row>
    <row r="595">
      <c r="A595" s="1" t="s">
        <v>594</v>
      </c>
      <c r="D595" s="3">
        <f>IFERROR(__xludf.DUMMYFUNCTION("SPLIT(A595, ""|"")"),43032.0)</f>
        <v>43032</v>
      </c>
      <c r="E595" s="2">
        <f>IFERROR(__xludf.DUMMYFUNCTION("""COMPUTED_VALUE"""),1253823.0)</f>
        <v>1253823</v>
      </c>
      <c r="F595" s="2">
        <f>IFERROR(__xludf.DUMMYFUNCTION("""COMPUTED_VALUE"""),3887853.0)</f>
        <v>3887853</v>
      </c>
      <c r="G595" s="2">
        <f>IFERROR(__xludf.DUMMYFUNCTION("""COMPUTED_VALUE"""),76.026)</f>
        <v>76.026</v>
      </c>
    </row>
    <row r="596">
      <c r="A596" s="1" t="s">
        <v>595</v>
      </c>
      <c r="D596" s="3">
        <f>IFERROR(__xludf.DUMMYFUNCTION("SPLIT(A596, ""|"")"),43032.0)</f>
        <v>43032</v>
      </c>
      <c r="E596" s="2">
        <f>IFERROR(__xludf.DUMMYFUNCTION("""COMPUTED_VALUE"""),1437663.0)</f>
        <v>1437663</v>
      </c>
      <c r="F596" s="2">
        <f>IFERROR(__xludf.DUMMYFUNCTION("""COMPUTED_VALUE"""),3888438.0)</f>
        <v>3888438</v>
      </c>
      <c r="G596" s="2">
        <f>IFERROR(__xludf.DUMMYFUNCTION("""COMPUTED_VALUE"""),81.1404)</f>
        <v>81.1404</v>
      </c>
    </row>
    <row r="597">
      <c r="A597" s="1" t="s">
        <v>596</v>
      </c>
      <c r="D597" s="3">
        <f>IFERROR(__xludf.DUMMYFUNCTION("SPLIT(A597, ""|"")"),43032.0)</f>
        <v>43032</v>
      </c>
      <c r="E597" s="2">
        <f>IFERROR(__xludf.DUMMYFUNCTION("""COMPUTED_VALUE"""),156393.0)</f>
        <v>156393</v>
      </c>
      <c r="F597" s="2">
        <f>IFERROR(__xludf.DUMMYFUNCTION("""COMPUTED_VALUE"""),3887464.0)</f>
        <v>3887464</v>
      </c>
      <c r="G597" s="2">
        <f>IFERROR(__xludf.DUMMYFUNCTION("""COMPUTED_VALUE"""),82.7924)</f>
        <v>82.7924</v>
      </c>
    </row>
    <row r="598">
      <c r="A598" s="1" t="s">
        <v>597</v>
      </c>
      <c r="D598" s="3">
        <f>IFERROR(__xludf.DUMMYFUNCTION("SPLIT(A598, ""|"")"),43032.0)</f>
        <v>43032</v>
      </c>
      <c r="E598" s="2">
        <f>IFERROR(__xludf.DUMMYFUNCTION("""COMPUTED_VALUE"""),1113423.0)</f>
        <v>1113423</v>
      </c>
      <c r="F598" s="2">
        <f>IFERROR(__xludf.DUMMYFUNCTION("""COMPUTED_VALUE"""),3889309.0)</f>
        <v>3889309</v>
      </c>
      <c r="G598" s="2">
        <f>IFERROR(__xludf.DUMMYFUNCTION("""COMPUTED_VALUE"""),65.7284)</f>
        <v>65.7284</v>
      </c>
    </row>
    <row r="599">
      <c r="A599" s="1" t="s">
        <v>598</v>
      </c>
      <c r="D599" s="3">
        <f>IFERROR(__xludf.DUMMYFUNCTION("SPLIT(A599, ""|"")"),43288.0)</f>
        <v>43288</v>
      </c>
      <c r="E599" s="2">
        <f>IFERROR(__xludf.DUMMYFUNCTION("""COMPUTED_VALUE"""),161793.0)</f>
        <v>161793</v>
      </c>
      <c r="F599" s="2">
        <f>IFERROR(__xludf.DUMMYFUNCTION("""COMPUTED_VALUE"""),4595251.0)</f>
        <v>4595251</v>
      </c>
      <c r="G599" s="2">
        <f>IFERROR(__xludf.DUMMYFUNCTION("""COMPUTED_VALUE"""),23.2326)</f>
        <v>23.2326</v>
      </c>
    </row>
    <row r="600">
      <c r="A600" s="1" t="s">
        <v>599</v>
      </c>
      <c r="D600" s="3">
        <f>IFERROR(__xludf.DUMMYFUNCTION("SPLIT(A600, ""|"")"),43288.0)</f>
        <v>43288</v>
      </c>
      <c r="E600" s="2">
        <f>IFERROR(__xludf.DUMMYFUNCTION("""COMPUTED_VALUE"""),1128333.0)</f>
        <v>1128333</v>
      </c>
      <c r="F600" s="2">
        <f>IFERROR(__xludf.DUMMYFUNCTION("""COMPUTED_VALUE"""),4595540.0)</f>
        <v>4595540</v>
      </c>
      <c r="G600" s="2">
        <f>IFERROR(__xludf.DUMMYFUNCTION("""COMPUTED_VALUE"""),24.4417)</f>
        <v>24.4417</v>
      </c>
    </row>
    <row r="601">
      <c r="A601" s="1" t="s">
        <v>600</v>
      </c>
      <c r="D601" s="3">
        <f>IFERROR(__xludf.DUMMYFUNCTION("SPLIT(A601, ""|"")"),43288.0)</f>
        <v>43288</v>
      </c>
      <c r="E601" s="2">
        <f>IFERROR(__xludf.DUMMYFUNCTION("""COMPUTED_VALUE"""),1623573.0)</f>
        <v>1623573</v>
      </c>
      <c r="F601" s="2">
        <f>IFERROR(__xludf.DUMMYFUNCTION("""COMPUTED_VALUE"""),4596338.0)</f>
        <v>4596338</v>
      </c>
      <c r="G601" s="2">
        <f>IFERROR(__xludf.DUMMYFUNCTION("""COMPUTED_VALUE"""),27.7248)</f>
        <v>27.7248</v>
      </c>
    </row>
    <row r="602">
      <c r="A602" s="1" t="s">
        <v>601</v>
      </c>
      <c r="D602" s="3">
        <f>IFERROR(__xludf.DUMMYFUNCTION("SPLIT(A602, ""|"")"),43288.0)</f>
        <v>43288</v>
      </c>
      <c r="E602" s="2">
        <f>IFERROR(__xludf.DUMMYFUNCTION("""COMPUTED_VALUE"""),1368123.0)</f>
        <v>1368123</v>
      </c>
      <c r="F602" s="2">
        <f>IFERROR(__xludf.DUMMYFUNCTION("""COMPUTED_VALUE"""),4595367.0)</f>
        <v>4595367</v>
      </c>
      <c r="G602" s="2">
        <f>IFERROR(__xludf.DUMMYFUNCTION("""COMPUTED_VALUE"""),72.1242)</f>
        <v>72.1242</v>
      </c>
    </row>
    <row r="603">
      <c r="A603" s="1" t="s">
        <v>602</v>
      </c>
      <c r="D603" s="3">
        <f>IFERROR(__xludf.DUMMYFUNCTION("SPLIT(A603, ""|"")"),43288.0)</f>
        <v>43288</v>
      </c>
      <c r="E603" s="2">
        <f>IFERROR(__xludf.DUMMYFUNCTION("""COMPUTED_VALUE"""),1435293.0)</f>
        <v>1435293</v>
      </c>
      <c r="F603" s="2">
        <f>IFERROR(__xludf.DUMMYFUNCTION("""COMPUTED_VALUE"""),4595972.0)</f>
        <v>4595972</v>
      </c>
      <c r="G603" s="2">
        <f>IFERROR(__xludf.DUMMYFUNCTION("""COMPUTED_VALUE"""),138.9405)</f>
        <v>138.9405</v>
      </c>
    </row>
    <row r="604">
      <c r="A604" s="1" t="s">
        <v>603</v>
      </c>
      <c r="D604" s="3">
        <f>IFERROR(__xludf.DUMMYFUNCTION("SPLIT(A604, ""|"")"),43288.0)</f>
        <v>43288</v>
      </c>
      <c r="E604" s="2">
        <f>IFERROR(__xludf.DUMMYFUNCTION("""COMPUTED_VALUE"""),161793.0)</f>
        <v>161793</v>
      </c>
      <c r="F604" s="2">
        <f>IFERROR(__xludf.DUMMYFUNCTION("""COMPUTED_VALUE"""),4595076.0)</f>
        <v>4595076</v>
      </c>
      <c r="G604" s="2">
        <f>IFERROR(__xludf.DUMMYFUNCTION("""COMPUTED_VALUE"""),139.8105)</f>
        <v>139.8105</v>
      </c>
    </row>
    <row r="605">
      <c r="A605" s="1" t="s">
        <v>604</v>
      </c>
      <c r="D605" s="3">
        <f>IFERROR(__xludf.DUMMYFUNCTION("SPLIT(A605, ""|"")"),43288.0)</f>
        <v>43288</v>
      </c>
      <c r="E605" s="2">
        <f>IFERROR(__xludf.DUMMYFUNCTION("""COMPUTED_VALUE"""),1623273.0)</f>
        <v>1623273</v>
      </c>
      <c r="F605" s="2">
        <f>IFERROR(__xludf.DUMMYFUNCTION("""COMPUTED_VALUE"""),4595222.0)</f>
        <v>4595222</v>
      </c>
      <c r="G605" s="2">
        <f>IFERROR(__xludf.DUMMYFUNCTION("""COMPUTED_VALUE"""),87.3463)</f>
        <v>87.3463</v>
      </c>
    </row>
    <row r="606">
      <c r="A606" s="1" t="s">
        <v>605</v>
      </c>
      <c r="D606" s="3">
        <f>IFERROR(__xludf.DUMMYFUNCTION("SPLIT(A606, ""|"")"),43033.0)</f>
        <v>43033</v>
      </c>
      <c r="E606" s="2">
        <f>IFERROR(__xludf.DUMMYFUNCTION("""COMPUTED_VALUE"""),1195233.0)</f>
        <v>1195233</v>
      </c>
      <c r="F606" s="2">
        <f>IFERROR(__xludf.DUMMYFUNCTION("""COMPUTED_VALUE"""),3891741.0)</f>
        <v>3891741</v>
      </c>
      <c r="G606" s="2">
        <f>IFERROR(__xludf.DUMMYFUNCTION("""COMPUTED_VALUE"""),78.0887999999999)</f>
        <v>78.0888</v>
      </c>
    </row>
    <row r="607">
      <c r="A607" s="1" t="s">
        <v>606</v>
      </c>
      <c r="D607" s="3">
        <f>IFERROR(__xludf.DUMMYFUNCTION("SPLIT(A607, ""|"")"),43033.0)</f>
        <v>43033</v>
      </c>
      <c r="E607" s="2">
        <f>IFERROR(__xludf.DUMMYFUNCTION("""COMPUTED_VALUE"""),1204983.0)</f>
        <v>1204983</v>
      </c>
      <c r="F607" s="2">
        <f>IFERROR(__xludf.DUMMYFUNCTION("""COMPUTED_VALUE"""),3890010.0)</f>
        <v>3890010</v>
      </c>
      <c r="G607" s="2">
        <f>IFERROR(__xludf.DUMMYFUNCTION("""COMPUTED_VALUE"""),64.0221)</f>
        <v>64.0221</v>
      </c>
    </row>
    <row r="608">
      <c r="A608" s="1" t="s">
        <v>607</v>
      </c>
      <c r="D608" s="3">
        <f>IFERROR(__xludf.DUMMYFUNCTION("SPLIT(A608, ""|"")"),43033.0)</f>
        <v>43033</v>
      </c>
      <c r="E608" s="2">
        <f>IFERROR(__xludf.DUMMYFUNCTION("""COMPUTED_VALUE"""),1269453.0)</f>
        <v>1269453</v>
      </c>
      <c r="F608" s="2">
        <f>IFERROR(__xludf.DUMMYFUNCTION("""COMPUTED_VALUE"""),3892014.0)</f>
        <v>3892014</v>
      </c>
      <c r="G608" s="2">
        <f>IFERROR(__xludf.DUMMYFUNCTION("""COMPUTED_VALUE"""),64.9966)</f>
        <v>64.9966</v>
      </c>
    </row>
    <row r="609">
      <c r="A609" s="1" t="s">
        <v>608</v>
      </c>
      <c r="D609" s="3">
        <f>IFERROR(__xludf.DUMMYFUNCTION("SPLIT(A609, ""|"")"),43033.0)</f>
        <v>43033</v>
      </c>
      <c r="E609" s="2">
        <f>IFERROR(__xludf.DUMMYFUNCTION("""COMPUTED_VALUE"""),1315173.0)</f>
        <v>1315173</v>
      </c>
      <c r="F609" s="2">
        <f>IFERROR(__xludf.DUMMYFUNCTION("""COMPUTED_VALUE"""),3892263.0)</f>
        <v>3892263</v>
      </c>
      <c r="G609" s="2">
        <f>IFERROR(__xludf.DUMMYFUNCTION("""COMPUTED_VALUE"""),62.8164)</f>
        <v>62.8164</v>
      </c>
    </row>
    <row r="610">
      <c r="A610" s="1" t="s">
        <v>609</v>
      </c>
      <c r="D610" s="3">
        <f>IFERROR(__xludf.DUMMYFUNCTION("SPLIT(A610, ""|"")"),43033.0)</f>
        <v>43033</v>
      </c>
      <c r="E610" s="2">
        <f>IFERROR(__xludf.DUMMYFUNCTION("""COMPUTED_VALUE"""),1261383.0)</f>
        <v>1261383</v>
      </c>
      <c r="F610" s="2">
        <f>IFERROR(__xludf.DUMMYFUNCTION("""COMPUTED_VALUE"""),3891325.0)</f>
        <v>3891325</v>
      </c>
      <c r="G610" s="2">
        <f>IFERROR(__xludf.DUMMYFUNCTION("""COMPUTED_VALUE"""),218.1049)</f>
        <v>218.1049</v>
      </c>
    </row>
    <row r="611">
      <c r="A611" s="1" t="s">
        <v>610</v>
      </c>
      <c r="D611" s="3">
        <f>IFERROR(__xludf.DUMMYFUNCTION("SPLIT(A611, ""|"")"),43289.0)</f>
        <v>43289</v>
      </c>
      <c r="E611" s="2">
        <f>IFERROR(__xludf.DUMMYFUNCTION("""COMPUTED_VALUE"""),1040313.0)</f>
        <v>1040313</v>
      </c>
      <c r="F611" s="2">
        <f>IFERROR(__xludf.DUMMYFUNCTION("""COMPUTED_VALUE"""),4598448.0)</f>
        <v>4598448</v>
      </c>
      <c r="G611" s="2">
        <f>IFERROR(__xludf.DUMMYFUNCTION("""COMPUTED_VALUE"""),156.498899999999)</f>
        <v>156.4989</v>
      </c>
    </row>
    <row r="612">
      <c r="A612" s="1" t="s">
        <v>611</v>
      </c>
      <c r="D612" s="3">
        <f>IFERROR(__xludf.DUMMYFUNCTION("SPLIT(A612, ""|"")"),43289.0)</f>
        <v>43289</v>
      </c>
      <c r="E612" s="2">
        <f>IFERROR(__xludf.DUMMYFUNCTION("""COMPUTED_VALUE"""),1624083.0)</f>
        <v>1624083</v>
      </c>
      <c r="F612" s="2">
        <f>IFERROR(__xludf.DUMMYFUNCTION("""COMPUTED_VALUE"""),4598507.0)</f>
        <v>4598507</v>
      </c>
      <c r="G612" s="2">
        <f>IFERROR(__xludf.DUMMYFUNCTION("""COMPUTED_VALUE"""),34.5653)</f>
        <v>34.5653</v>
      </c>
    </row>
    <row r="613">
      <c r="A613" s="1" t="s">
        <v>612</v>
      </c>
      <c r="D613" s="3">
        <f>IFERROR(__xludf.DUMMYFUNCTION("SPLIT(A613, ""|"")"),43289.0)</f>
        <v>43289</v>
      </c>
      <c r="E613" s="2">
        <f>IFERROR(__xludf.DUMMYFUNCTION("""COMPUTED_VALUE"""),1624113.0)</f>
        <v>1624113</v>
      </c>
      <c r="F613" s="2">
        <f>IFERROR(__xludf.DUMMYFUNCTION("""COMPUTED_VALUE"""),4598562.0)</f>
        <v>4598562</v>
      </c>
      <c r="G613" s="2">
        <f>IFERROR(__xludf.DUMMYFUNCTION("""COMPUTED_VALUE"""),19.7499)</f>
        <v>19.7499</v>
      </c>
    </row>
    <row r="614">
      <c r="A614" s="1" t="s">
        <v>613</v>
      </c>
      <c r="D614" s="3">
        <f>IFERROR(__xludf.DUMMYFUNCTION("SPLIT(A614, ""|"")"),43034.0)</f>
        <v>43034</v>
      </c>
      <c r="E614" s="2">
        <f>IFERROR(__xludf.DUMMYFUNCTION("""COMPUTED_VALUE"""),1161873.0)</f>
        <v>1161873</v>
      </c>
      <c r="F614" s="2">
        <f>IFERROR(__xludf.DUMMYFUNCTION("""COMPUTED_VALUE"""),3892977.0)</f>
        <v>3892977</v>
      </c>
      <c r="G614" s="2">
        <f>IFERROR(__xludf.DUMMYFUNCTION("""COMPUTED_VALUE"""),54.6467)</f>
        <v>54.6467</v>
      </c>
    </row>
    <row r="615">
      <c r="A615" s="1" t="s">
        <v>614</v>
      </c>
      <c r="D615" s="3">
        <f>IFERROR(__xludf.DUMMYFUNCTION("SPLIT(A615, ""|"")"),43034.0)</f>
        <v>43034</v>
      </c>
      <c r="E615" s="2">
        <f>IFERROR(__xludf.DUMMYFUNCTION("""COMPUTED_VALUE"""),1163223.0)</f>
        <v>1163223</v>
      </c>
      <c r="F615" s="2">
        <f>IFERROR(__xludf.DUMMYFUNCTION("""COMPUTED_VALUE"""),3894574.0)</f>
        <v>3894574</v>
      </c>
      <c r="G615" s="2">
        <f>IFERROR(__xludf.DUMMYFUNCTION("""COMPUTED_VALUE"""),72.9734)</f>
        <v>72.9734</v>
      </c>
    </row>
    <row r="616">
      <c r="A616" s="1" t="s">
        <v>615</v>
      </c>
      <c r="D616" s="3">
        <f>IFERROR(__xludf.DUMMYFUNCTION("SPLIT(A616, ""|"")"),43034.0)</f>
        <v>43034</v>
      </c>
      <c r="E616" s="2">
        <f>IFERROR(__xludf.DUMMYFUNCTION("""COMPUTED_VALUE"""),1438923.0)</f>
        <v>1438923</v>
      </c>
      <c r="F616" s="2">
        <f>IFERROR(__xludf.DUMMYFUNCTION("""COMPUTED_VALUE"""),3893639.0)</f>
        <v>3893639</v>
      </c>
      <c r="G616" s="2">
        <f>IFERROR(__xludf.DUMMYFUNCTION("""COMPUTED_VALUE"""),15.1564)</f>
        <v>15.1564</v>
      </c>
    </row>
    <row r="617">
      <c r="A617" s="1" t="s">
        <v>616</v>
      </c>
      <c r="D617" s="3">
        <f>IFERROR(__xludf.DUMMYFUNCTION("SPLIT(A617, ""|"")"),43034.0)</f>
        <v>43034</v>
      </c>
      <c r="E617" s="2">
        <f>IFERROR(__xludf.DUMMYFUNCTION("""COMPUTED_VALUE"""),1438983.0)</f>
        <v>1438983</v>
      </c>
      <c r="F617" s="2">
        <f>IFERROR(__xludf.DUMMYFUNCTION("""COMPUTED_VALUE"""),3893787.0)</f>
        <v>3893787</v>
      </c>
      <c r="G617" s="2">
        <f>IFERROR(__xludf.DUMMYFUNCTION("""COMPUTED_VALUE"""),18.5358)</f>
        <v>18.5358</v>
      </c>
    </row>
    <row r="618">
      <c r="A618" s="1" t="s">
        <v>617</v>
      </c>
      <c r="D618" s="3">
        <f>IFERROR(__xludf.DUMMYFUNCTION("SPLIT(A618, ""|"")"),43290.0)</f>
        <v>43290</v>
      </c>
      <c r="E618" s="2">
        <f>IFERROR(__xludf.DUMMYFUNCTION("""COMPUTED_VALUE"""),1624353.0)</f>
        <v>1624353</v>
      </c>
      <c r="F618" s="2">
        <f>IFERROR(__xludf.DUMMYFUNCTION("""COMPUTED_VALUE"""),4600602.0)</f>
        <v>4600602</v>
      </c>
      <c r="G618" s="2">
        <f>IFERROR(__xludf.DUMMYFUNCTION("""COMPUTED_VALUE"""),46.6775)</f>
        <v>46.6775</v>
      </c>
    </row>
    <row r="619">
      <c r="A619" s="1" t="s">
        <v>618</v>
      </c>
      <c r="D619" s="3">
        <f>IFERROR(__xludf.DUMMYFUNCTION("SPLIT(A619, ""|"")"),43290.0)</f>
        <v>43290</v>
      </c>
      <c r="E619" s="2">
        <f>IFERROR(__xludf.DUMMYFUNCTION("""COMPUTED_VALUE"""),1624863.0)</f>
        <v>1624863</v>
      </c>
      <c r="F619" s="2">
        <f>IFERROR(__xludf.DUMMYFUNCTION("""COMPUTED_VALUE"""),4601984.0)</f>
        <v>4601984</v>
      </c>
      <c r="G619" s="2">
        <f>IFERROR(__xludf.DUMMYFUNCTION("""COMPUTED_VALUE"""),44.726)</f>
        <v>44.726</v>
      </c>
    </row>
    <row r="620">
      <c r="A620" s="1" t="s">
        <v>619</v>
      </c>
      <c r="D620" s="3">
        <f>IFERROR(__xludf.DUMMYFUNCTION("SPLIT(A620, ""|"")"),43290.0)</f>
        <v>43290</v>
      </c>
      <c r="E620" s="2">
        <f>IFERROR(__xludf.DUMMYFUNCTION("""COMPUTED_VALUE"""),1533183.0)</f>
        <v>1533183</v>
      </c>
      <c r="F620" s="2">
        <f>IFERROR(__xludf.DUMMYFUNCTION("""COMPUTED_VALUE"""),4600522.0)</f>
        <v>4600522</v>
      </c>
      <c r="G620" s="2">
        <f>IFERROR(__xludf.DUMMYFUNCTION("""COMPUTED_VALUE"""),38.7806999999999)</f>
        <v>38.7807</v>
      </c>
    </row>
    <row r="621">
      <c r="A621" s="1" t="s">
        <v>620</v>
      </c>
      <c r="D621" s="3">
        <f>IFERROR(__xludf.DUMMYFUNCTION("SPLIT(A621, ""|"")"),43290.0)</f>
        <v>43290</v>
      </c>
      <c r="E621" s="2">
        <f>IFERROR(__xludf.DUMMYFUNCTION("""COMPUTED_VALUE"""),1624623.0)</f>
        <v>1624623</v>
      </c>
      <c r="F621" s="2">
        <f>IFERROR(__xludf.DUMMYFUNCTION("""COMPUTED_VALUE"""),4600954.0)</f>
        <v>4600954</v>
      </c>
      <c r="G621" s="2">
        <f>IFERROR(__xludf.DUMMYFUNCTION("""COMPUTED_VALUE"""),27.0)</f>
        <v>27</v>
      </c>
    </row>
    <row r="622">
      <c r="A622" s="1" t="s">
        <v>621</v>
      </c>
      <c r="D622" s="3">
        <f>IFERROR(__xludf.DUMMYFUNCTION("SPLIT(A622, ""|"")"),43290.0)</f>
        <v>43290</v>
      </c>
      <c r="E622" s="2">
        <f>IFERROR(__xludf.DUMMYFUNCTION("""COMPUTED_VALUE"""),234783.0)</f>
        <v>234783</v>
      </c>
      <c r="F622" s="2">
        <f>IFERROR(__xludf.DUMMYFUNCTION("""COMPUTED_VALUE"""),4599782.0)</f>
        <v>4599782</v>
      </c>
      <c r="G622" s="2">
        <f>IFERROR(__xludf.DUMMYFUNCTION("""COMPUTED_VALUE"""),149.7567)</f>
        <v>149.7567</v>
      </c>
    </row>
    <row r="623">
      <c r="A623" s="1" t="s">
        <v>622</v>
      </c>
      <c r="D623" s="3">
        <f>IFERROR(__xludf.DUMMYFUNCTION("SPLIT(A623, ""|"")"),43035.0)</f>
        <v>43035</v>
      </c>
      <c r="E623" s="2">
        <f>IFERROR(__xludf.DUMMYFUNCTION("""COMPUTED_VALUE"""),1439163.0)</f>
        <v>1439163</v>
      </c>
      <c r="F623" s="2">
        <f>IFERROR(__xludf.DUMMYFUNCTION("""COMPUTED_VALUE"""),3895220.0)</f>
        <v>3895220</v>
      </c>
      <c r="G623" s="2">
        <f>IFERROR(__xludf.DUMMYFUNCTION("""COMPUTED_VALUE"""),23.0806)</f>
        <v>23.0806</v>
      </c>
    </row>
    <row r="624">
      <c r="A624" s="1" t="s">
        <v>623</v>
      </c>
      <c r="D624" s="3">
        <f>IFERROR(__xludf.DUMMYFUNCTION("SPLIT(A624, ""|"")"),43035.0)</f>
        <v>43035</v>
      </c>
      <c r="E624" s="2">
        <f>IFERROR(__xludf.DUMMYFUNCTION("""COMPUTED_VALUE"""),1439613.0)</f>
        <v>1439613</v>
      </c>
      <c r="F624" s="2">
        <f>IFERROR(__xludf.DUMMYFUNCTION("""COMPUTED_VALUE"""),3896424.0)</f>
        <v>3896424</v>
      </c>
      <c r="G624" s="2">
        <f>IFERROR(__xludf.DUMMYFUNCTION("""COMPUTED_VALUE"""),25.0417)</f>
        <v>25.0417</v>
      </c>
    </row>
    <row r="625">
      <c r="A625" s="1" t="s">
        <v>624</v>
      </c>
      <c r="D625" s="3">
        <f>IFERROR(__xludf.DUMMYFUNCTION("SPLIT(A625, ""|"")"),43035.0)</f>
        <v>43035</v>
      </c>
      <c r="E625" s="2">
        <f>IFERROR(__xludf.DUMMYFUNCTION("""COMPUTED_VALUE"""),1439313.0)</f>
        <v>1439313</v>
      </c>
      <c r="F625" s="2">
        <f>IFERROR(__xludf.DUMMYFUNCTION("""COMPUTED_VALUE"""),3895264.0)</f>
        <v>3895264</v>
      </c>
      <c r="G625" s="2">
        <f>IFERROR(__xludf.DUMMYFUNCTION("""COMPUTED_VALUE"""),71.0501)</f>
        <v>71.0501</v>
      </c>
    </row>
    <row r="626">
      <c r="A626" s="1" t="s">
        <v>625</v>
      </c>
      <c r="D626" s="3">
        <f>IFERROR(__xludf.DUMMYFUNCTION("SPLIT(A626, ""|"")"),43035.0)</f>
        <v>43035</v>
      </c>
      <c r="E626" s="2">
        <f>IFERROR(__xludf.DUMMYFUNCTION("""COMPUTED_VALUE"""),1206753.0)</f>
        <v>1206753</v>
      </c>
      <c r="F626" s="2">
        <f>IFERROR(__xludf.DUMMYFUNCTION("""COMPUTED_VALUE"""),3896566.0)</f>
        <v>3896566</v>
      </c>
      <c r="G626" s="2">
        <f>IFERROR(__xludf.DUMMYFUNCTION("""COMPUTED_VALUE"""),62.1082)</f>
        <v>62.1082</v>
      </c>
    </row>
    <row r="627">
      <c r="A627" s="1" t="s">
        <v>626</v>
      </c>
      <c r="D627" s="3">
        <f>IFERROR(__xludf.DUMMYFUNCTION("SPLIT(A627, ""|"")"),43035.0)</f>
        <v>43035</v>
      </c>
      <c r="E627" s="2">
        <f>IFERROR(__xludf.DUMMYFUNCTION("""COMPUTED_VALUE"""),1439433.0)</f>
        <v>1439433</v>
      </c>
      <c r="F627" s="2">
        <f>IFERROR(__xludf.DUMMYFUNCTION("""COMPUTED_VALUE"""),3895752.0)</f>
        <v>3895752</v>
      </c>
      <c r="G627" s="2">
        <f>IFERROR(__xludf.DUMMYFUNCTION("""COMPUTED_VALUE"""),35.6588)</f>
        <v>35.6588</v>
      </c>
    </row>
    <row r="628">
      <c r="A628" s="1" t="s">
        <v>627</v>
      </c>
      <c r="D628" s="3">
        <f>IFERROR(__xludf.DUMMYFUNCTION("SPLIT(A628, ""|"")"),43035.0)</f>
        <v>43035</v>
      </c>
      <c r="E628" s="2">
        <f>IFERROR(__xludf.DUMMYFUNCTION("""COMPUTED_VALUE"""),1433613.0)</f>
        <v>1433613</v>
      </c>
      <c r="F628" s="2">
        <f>IFERROR(__xludf.DUMMYFUNCTION("""COMPUTED_VALUE"""),3895575.0)</f>
        <v>3895575</v>
      </c>
      <c r="G628" s="2">
        <f>IFERROR(__xludf.DUMMYFUNCTION("""COMPUTED_VALUE"""),11.0175)</f>
        <v>11.0175</v>
      </c>
    </row>
    <row r="629">
      <c r="A629" s="1" t="s">
        <v>628</v>
      </c>
      <c r="D629" s="3">
        <f>IFERROR(__xludf.DUMMYFUNCTION("SPLIT(A629, ""|"")"),43291.0)</f>
        <v>43291</v>
      </c>
      <c r="E629" s="2">
        <f>IFERROR(__xludf.DUMMYFUNCTION("""COMPUTED_VALUE"""),1625283.0)</f>
        <v>1625283</v>
      </c>
      <c r="F629" s="2">
        <f>IFERROR(__xludf.DUMMYFUNCTION("""COMPUTED_VALUE"""),4604230.0)</f>
        <v>4604230</v>
      </c>
      <c r="G629" s="2">
        <f>IFERROR(__xludf.DUMMYFUNCTION("""COMPUTED_VALUE"""),80.175)</f>
        <v>80.175</v>
      </c>
    </row>
    <row r="630">
      <c r="A630" s="1" t="s">
        <v>629</v>
      </c>
      <c r="D630" s="3">
        <f>IFERROR(__xludf.DUMMYFUNCTION("SPLIT(A630, ""|"")"),43291.0)</f>
        <v>43291</v>
      </c>
      <c r="E630" s="2">
        <f>IFERROR(__xludf.DUMMYFUNCTION("""COMPUTED_VALUE"""),1625133.0)</f>
        <v>1625133</v>
      </c>
      <c r="F630" s="2">
        <f>IFERROR(__xludf.DUMMYFUNCTION("""COMPUTED_VALUE"""),4603381.0)</f>
        <v>4603381</v>
      </c>
      <c r="G630" s="2">
        <f>IFERROR(__xludf.DUMMYFUNCTION("""COMPUTED_VALUE"""),21.989)</f>
        <v>21.989</v>
      </c>
    </row>
    <row r="631">
      <c r="A631" s="1" t="s">
        <v>630</v>
      </c>
      <c r="D631" s="3">
        <f>IFERROR(__xludf.DUMMYFUNCTION("SPLIT(A631, ""|"")"),43291.0)</f>
        <v>43291</v>
      </c>
      <c r="E631" s="2">
        <f>IFERROR(__xludf.DUMMYFUNCTION("""COMPUTED_VALUE"""),1011633.0)</f>
        <v>1011633</v>
      </c>
      <c r="F631" s="2">
        <f>IFERROR(__xludf.DUMMYFUNCTION("""COMPUTED_VALUE"""),4603513.0)</f>
        <v>4603513</v>
      </c>
      <c r="G631" s="2">
        <f>IFERROR(__xludf.DUMMYFUNCTION("""COMPUTED_VALUE"""),98.7783)</f>
        <v>98.7783</v>
      </c>
    </row>
    <row r="632">
      <c r="A632" s="1" t="s">
        <v>631</v>
      </c>
      <c r="D632" s="3">
        <f>IFERROR(__xludf.DUMMYFUNCTION("SPLIT(A632, ""|"")"),43291.0)</f>
        <v>43291</v>
      </c>
      <c r="E632" s="2">
        <f>IFERROR(__xludf.DUMMYFUNCTION("""COMPUTED_VALUE"""),1625103.0)</f>
        <v>1625103</v>
      </c>
      <c r="F632" s="2">
        <f>IFERROR(__xludf.DUMMYFUNCTION("""COMPUTED_VALUE"""),4603329.0)</f>
        <v>4603329</v>
      </c>
      <c r="G632" s="2">
        <f>IFERROR(__xludf.DUMMYFUNCTION("""COMPUTED_VALUE"""),110.8275)</f>
        <v>110.8275</v>
      </c>
    </row>
    <row r="633">
      <c r="A633" s="1" t="s">
        <v>632</v>
      </c>
      <c r="D633" s="3">
        <f>IFERROR(__xludf.DUMMYFUNCTION("SPLIT(A633, ""|"")"),43291.0)</f>
        <v>43291</v>
      </c>
      <c r="E633" s="2">
        <f>IFERROR(__xludf.DUMMYFUNCTION("""COMPUTED_VALUE"""),1619823.0)</f>
        <v>1619823</v>
      </c>
      <c r="F633" s="2">
        <f>IFERROR(__xludf.DUMMYFUNCTION("""COMPUTED_VALUE"""),4603083.0)</f>
        <v>4603083</v>
      </c>
      <c r="G633" s="2">
        <f>IFERROR(__xludf.DUMMYFUNCTION("""COMPUTED_VALUE"""),47.2287)</f>
        <v>47.2287</v>
      </c>
    </row>
    <row r="634">
      <c r="A634" s="1" t="s">
        <v>633</v>
      </c>
      <c r="D634" s="3">
        <f>IFERROR(__xludf.DUMMYFUNCTION("SPLIT(A634, ""|"")"),43291.0)</f>
        <v>43291</v>
      </c>
      <c r="E634" s="2">
        <f>IFERROR(__xludf.DUMMYFUNCTION("""COMPUTED_VALUE"""),1151883.0)</f>
        <v>1151883</v>
      </c>
      <c r="F634" s="2">
        <f>IFERROR(__xludf.DUMMYFUNCTION("""COMPUTED_VALUE"""),4602978.0)</f>
        <v>4602978</v>
      </c>
      <c r="G634" s="2">
        <f>IFERROR(__xludf.DUMMYFUNCTION("""COMPUTED_VALUE"""),101.2817)</f>
        <v>101.2817</v>
      </c>
    </row>
    <row r="635">
      <c r="A635" s="1" t="s">
        <v>634</v>
      </c>
      <c r="D635" s="3">
        <f>IFERROR(__xludf.DUMMYFUNCTION("SPLIT(A635, ""|"")"),43036.0)</f>
        <v>43036</v>
      </c>
      <c r="E635" s="2">
        <f>IFERROR(__xludf.DUMMYFUNCTION("""COMPUTED_VALUE"""),1433223.0)</f>
        <v>1433223</v>
      </c>
      <c r="F635" s="2">
        <f>IFERROR(__xludf.DUMMYFUNCTION("""COMPUTED_VALUE"""),3897953.0)</f>
        <v>3897953</v>
      </c>
      <c r="G635" s="2">
        <f>IFERROR(__xludf.DUMMYFUNCTION("""COMPUTED_VALUE"""),25.2394)</f>
        <v>25.2394</v>
      </c>
    </row>
    <row r="636">
      <c r="A636" s="1" t="s">
        <v>635</v>
      </c>
      <c r="D636" s="3">
        <f>IFERROR(__xludf.DUMMYFUNCTION("SPLIT(A636, ""|"")"),43036.0)</f>
        <v>43036</v>
      </c>
      <c r="E636" s="2">
        <f>IFERROR(__xludf.DUMMYFUNCTION("""COMPUTED_VALUE"""),206973.0)</f>
        <v>206973</v>
      </c>
      <c r="F636" s="2">
        <f>IFERROR(__xludf.DUMMYFUNCTION("""COMPUTED_VALUE"""),3897282.0)</f>
        <v>3897282</v>
      </c>
      <c r="G636" s="2">
        <f>IFERROR(__xludf.DUMMYFUNCTION("""COMPUTED_VALUE"""),66.7779999999999)</f>
        <v>66.778</v>
      </c>
    </row>
    <row r="637">
      <c r="A637" s="1" t="s">
        <v>636</v>
      </c>
      <c r="D637" s="3">
        <f>IFERROR(__xludf.DUMMYFUNCTION("SPLIT(A637, ""|"")"),43292.0)</f>
        <v>43292</v>
      </c>
      <c r="E637" s="2">
        <f>IFERROR(__xludf.DUMMYFUNCTION("""COMPUTED_VALUE"""),1595253.0)</f>
        <v>1595253</v>
      </c>
      <c r="F637" s="2">
        <f>IFERROR(__xludf.DUMMYFUNCTION("""COMPUTED_VALUE"""),4605161.0)</f>
        <v>4605161</v>
      </c>
      <c r="G637" s="2">
        <f>IFERROR(__xludf.DUMMYFUNCTION("""COMPUTED_VALUE"""),70.8572)</f>
        <v>70.8572</v>
      </c>
    </row>
    <row r="638">
      <c r="A638" s="1" t="s">
        <v>637</v>
      </c>
      <c r="D638" s="3">
        <f>IFERROR(__xludf.DUMMYFUNCTION("SPLIT(A638, ""|"")"),43292.0)</f>
        <v>43292</v>
      </c>
      <c r="E638" s="2">
        <f>IFERROR(__xludf.DUMMYFUNCTION("""COMPUTED_VALUE"""),1138083.0)</f>
        <v>1138083</v>
      </c>
      <c r="F638" s="2">
        <f>IFERROR(__xludf.DUMMYFUNCTION("""COMPUTED_VALUE"""),4605388.0)</f>
        <v>4605388</v>
      </c>
      <c r="G638" s="2">
        <f>IFERROR(__xludf.DUMMYFUNCTION("""COMPUTED_VALUE"""),167.134299999999)</f>
        <v>167.1343</v>
      </c>
    </row>
    <row r="639">
      <c r="A639" s="1" t="s">
        <v>638</v>
      </c>
      <c r="D639" s="3">
        <f>IFERROR(__xludf.DUMMYFUNCTION("SPLIT(A639, ""|"")"),43292.0)</f>
        <v>43292</v>
      </c>
      <c r="E639" s="2">
        <f>IFERROR(__xludf.DUMMYFUNCTION("""COMPUTED_VALUE"""),1510383.0)</f>
        <v>1510383</v>
      </c>
      <c r="F639" s="2">
        <f>IFERROR(__xludf.DUMMYFUNCTION("""COMPUTED_VALUE"""),4604650.0)</f>
        <v>4604650</v>
      </c>
      <c r="G639" s="2">
        <f>IFERROR(__xludf.DUMMYFUNCTION("""COMPUTED_VALUE"""),96.7677)</f>
        <v>96.7677</v>
      </c>
    </row>
    <row r="640">
      <c r="A640" s="1" t="s">
        <v>639</v>
      </c>
      <c r="D640" s="3">
        <f>IFERROR(__xludf.DUMMYFUNCTION("SPLIT(A640, ""|"")"),43292.0)</f>
        <v>43292</v>
      </c>
      <c r="E640" s="2">
        <f>IFERROR(__xludf.DUMMYFUNCTION("""COMPUTED_VALUE"""),1510383.0)</f>
        <v>1510383</v>
      </c>
      <c r="F640" s="2">
        <f>IFERROR(__xludf.DUMMYFUNCTION("""COMPUTED_VALUE"""),4604657.0)</f>
        <v>4604657</v>
      </c>
      <c r="G640" s="2">
        <f>IFERROR(__xludf.DUMMYFUNCTION("""COMPUTED_VALUE"""),87.5167)</f>
        <v>87.5167</v>
      </c>
    </row>
    <row r="641">
      <c r="A641" s="1" t="s">
        <v>640</v>
      </c>
      <c r="D641" s="3">
        <f>IFERROR(__xludf.DUMMYFUNCTION("SPLIT(A641, ""|"")"),43292.0)</f>
        <v>43292</v>
      </c>
      <c r="E641" s="2">
        <f>IFERROR(__xludf.DUMMYFUNCTION("""COMPUTED_VALUE"""),1625463.0)</f>
        <v>1625463</v>
      </c>
      <c r="F641" s="2">
        <f>IFERROR(__xludf.DUMMYFUNCTION("""COMPUTED_VALUE"""),4605153.0)</f>
        <v>4605153</v>
      </c>
      <c r="G641" s="2">
        <f>IFERROR(__xludf.DUMMYFUNCTION("""COMPUTED_VALUE"""),66.9218)</f>
        <v>66.9218</v>
      </c>
    </row>
    <row r="642">
      <c r="A642" s="1" t="s">
        <v>641</v>
      </c>
      <c r="D642" s="3">
        <f>IFERROR(__xludf.DUMMYFUNCTION("SPLIT(A642, ""|"")"),43037.0)</f>
        <v>43037</v>
      </c>
      <c r="E642" s="2">
        <f>IFERROR(__xludf.DUMMYFUNCTION("""COMPUTED_VALUE"""),1412553.0)</f>
        <v>1412553</v>
      </c>
      <c r="F642" s="2">
        <f>IFERROR(__xludf.DUMMYFUNCTION("""COMPUTED_VALUE"""),3900652.0)</f>
        <v>3900652</v>
      </c>
      <c r="G642" s="2">
        <f>IFERROR(__xludf.DUMMYFUNCTION("""COMPUTED_VALUE"""),68.7084999999999)</f>
        <v>68.7085</v>
      </c>
    </row>
    <row r="643">
      <c r="A643" s="1" t="s">
        <v>642</v>
      </c>
      <c r="D643" s="3">
        <f>IFERROR(__xludf.DUMMYFUNCTION("SPLIT(A643, ""|"")"),43037.0)</f>
        <v>43037</v>
      </c>
      <c r="E643" s="2">
        <f>IFERROR(__xludf.DUMMYFUNCTION("""COMPUTED_VALUE"""),1440663.0)</f>
        <v>1440663</v>
      </c>
      <c r="F643" s="2">
        <f>IFERROR(__xludf.DUMMYFUNCTION("""COMPUTED_VALUE"""),3900383.0)</f>
        <v>3900383</v>
      </c>
      <c r="G643" s="2">
        <f>IFERROR(__xludf.DUMMYFUNCTION("""COMPUTED_VALUE"""),66.6208)</f>
        <v>66.6208</v>
      </c>
    </row>
    <row r="644">
      <c r="A644" s="1" t="s">
        <v>643</v>
      </c>
      <c r="D644" s="3">
        <f>IFERROR(__xludf.DUMMYFUNCTION("SPLIT(A644, ""|"")"),43037.0)</f>
        <v>43037</v>
      </c>
      <c r="E644" s="2">
        <f>IFERROR(__xludf.DUMMYFUNCTION("""COMPUTED_VALUE"""),1397703.0)</f>
        <v>1397703</v>
      </c>
      <c r="F644" s="2">
        <f>IFERROR(__xludf.DUMMYFUNCTION("""COMPUTED_VALUE"""),3901288.0)</f>
        <v>3901288</v>
      </c>
      <c r="G644" s="2">
        <f>IFERROR(__xludf.DUMMYFUNCTION("""COMPUTED_VALUE"""),72.4078)</f>
        <v>72.4078</v>
      </c>
    </row>
    <row r="645">
      <c r="A645" s="1" t="s">
        <v>644</v>
      </c>
      <c r="D645" s="3">
        <f>IFERROR(__xludf.DUMMYFUNCTION("SPLIT(A645, ""|"")"),43037.0)</f>
        <v>43037</v>
      </c>
      <c r="E645" s="2">
        <f>IFERROR(__xludf.DUMMYFUNCTION("""COMPUTED_VALUE"""),1440333.0)</f>
        <v>1440333</v>
      </c>
      <c r="F645" s="2">
        <f>IFERROR(__xludf.DUMMYFUNCTION("""COMPUTED_VALUE"""),3899138.0)</f>
        <v>3899138</v>
      </c>
      <c r="G645" s="2">
        <f>IFERROR(__xludf.DUMMYFUNCTION("""COMPUTED_VALUE"""),21.25)</f>
        <v>21.25</v>
      </c>
    </row>
    <row r="646">
      <c r="A646" s="1" t="s">
        <v>645</v>
      </c>
      <c r="D646" s="3">
        <f>IFERROR(__xludf.DUMMYFUNCTION("SPLIT(A646, ""|"")"),43037.0)</f>
        <v>43037</v>
      </c>
      <c r="E646" s="2">
        <f>IFERROR(__xludf.DUMMYFUNCTION("""COMPUTED_VALUE"""),1141683.0)</f>
        <v>1141683</v>
      </c>
      <c r="F646" s="2">
        <f>IFERROR(__xludf.DUMMYFUNCTION("""COMPUTED_VALUE"""),3899348.0)</f>
        <v>3899348</v>
      </c>
      <c r="G646" s="2">
        <f>IFERROR(__xludf.DUMMYFUNCTION("""COMPUTED_VALUE"""),63.8657)</f>
        <v>63.8657</v>
      </c>
    </row>
    <row r="647">
      <c r="A647" s="1" t="s">
        <v>646</v>
      </c>
      <c r="D647" s="3">
        <f>IFERROR(__xludf.DUMMYFUNCTION("SPLIT(A647, ""|"")"),43293.0)</f>
        <v>43293</v>
      </c>
      <c r="E647" s="2">
        <f>IFERROR(__xludf.DUMMYFUNCTION("""COMPUTED_VALUE"""),1058073.0)</f>
        <v>1058073</v>
      </c>
      <c r="F647" s="2">
        <f>IFERROR(__xludf.DUMMYFUNCTION("""COMPUTED_VALUE"""),4606990.0)</f>
        <v>4606990</v>
      </c>
      <c r="G647" s="2">
        <f>IFERROR(__xludf.DUMMYFUNCTION("""COMPUTED_VALUE"""),117.9032)</f>
        <v>117.9032</v>
      </c>
    </row>
    <row r="648">
      <c r="A648" s="1" t="s">
        <v>647</v>
      </c>
      <c r="D648" s="3">
        <f>IFERROR(__xludf.DUMMYFUNCTION("SPLIT(A648, ""|"")"),43293.0)</f>
        <v>43293</v>
      </c>
      <c r="E648" s="2">
        <f>IFERROR(__xludf.DUMMYFUNCTION("""COMPUTED_VALUE"""),1626003.0)</f>
        <v>1626003</v>
      </c>
      <c r="F648" s="2">
        <f>IFERROR(__xludf.DUMMYFUNCTION("""COMPUTED_VALUE"""),4607622.0)</f>
        <v>4607622</v>
      </c>
      <c r="G648" s="2">
        <f>IFERROR(__xludf.DUMMYFUNCTION("""COMPUTED_VALUE"""),99.1667)</f>
        <v>99.1667</v>
      </c>
    </row>
    <row r="649">
      <c r="A649" s="1" t="s">
        <v>648</v>
      </c>
      <c r="D649" s="3">
        <f>IFERROR(__xludf.DUMMYFUNCTION("SPLIT(A649, ""|"")"),43293.0)</f>
        <v>43293</v>
      </c>
      <c r="E649" s="2">
        <f>IFERROR(__xludf.DUMMYFUNCTION("""COMPUTED_VALUE"""),1625793.0)</f>
        <v>1625793</v>
      </c>
      <c r="F649" s="2">
        <f>IFERROR(__xludf.DUMMYFUNCTION("""COMPUTED_VALUE"""),4606768.0)</f>
        <v>4606768</v>
      </c>
      <c r="G649" s="2">
        <f>IFERROR(__xludf.DUMMYFUNCTION("""COMPUTED_VALUE"""),17.0)</f>
        <v>17</v>
      </c>
    </row>
    <row r="650">
      <c r="A650" s="1" t="s">
        <v>649</v>
      </c>
      <c r="D650" s="3">
        <f>IFERROR(__xludf.DUMMYFUNCTION("SPLIT(A650, ""|"")"),43293.0)</f>
        <v>43293</v>
      </c>
      <c r="E650" s="2">
        <f>IFERROR(__xludf.DUMMYFUNCTION("""COMPUTED_VALUE"""),1499163.0)</f>
        <v>1499163</v>
      </c>
      <c r="F650" s="2">
        <f>IFERROR(__xludf.DUMMYFUNCTION("""COMPUTED_VALUE"""),4606734.0)</f>
        <v>4606734</v>
      </c>
      <c r="G650" s="2">
        <f>IFERROR(__xludf.DUMMYFUNCTION("""COMPUTED_VALUE"""),67.8213)</f>
        <v>67.8213</v>
      </c>
    </row>
    <row r="651">
      <c r="A651" s="1" t="s">
        <v>650</v>
      </c>
      <c r="D651" s="3">
        <f>IFERROR(__xludf.DUMMYFUNCTION("SPLIT(A651, ""|"")"),43293.0)</f>
        <v>43293</v>
      </c>
      <c r="E651" s="2">
        <f>IFERROR(__xludf.DUMMYFUNCTION("""COMPUTED_VALUE"""),1433553.0)</f>
        <v>1433553</v>
      </c>
      <c r="F651" s="2">
        <f>IFERROR(__xludf.DUMMYFUNCTION("""COMPUTED_VALUE"""),4607891.0)</f>
        <v>4607891</v>
      </c>
      <c r="G651" s="2">
        <f>IFERROR(__xludf.DUMMYFUNCTION("""COMPUTED_VALUE"""),146.1334)</f>
        <v>146.1334</v>
      </c>
    </row>
    <row r="652">
      <c r="A652" s="1" t="s">
        <v>651</v>
      </c>
      <c r="D652" s="3">
        <f>IFERROR(__xludf.DUMMYFUNCTION("SPLIT(A652, ""|"")"),43293.0)</f>
        <v>43293</v>
      </c>
      <c r="E652" s="2">
        <f>IFERROR(__xludf.DUMMYFUNCTION("""COMPUTED_VALUE"""),1433553.0)</f>
        <v>1433553</v>
      </c>
      <c r="F652" s="2">
        <f>IFERROR(__xludf.DUMMYFUNCTION("""COMPUTED_VALUE"""),4607875.0)</f>
        <v>4607875</v>
      </c>
      <c r="G652" s="2">
        <f>IFERROR(__xludf.DUMMYFUNCTION("""COMPUTED_VALUE"""),164.560399999999)</f>
        <v>164.5604</v>
      </c>
    </row>
    <row r="653">
      <c r="A653" s="1" t="s">
        <v>652</v>
      </c>
      <c r="D653" s="3">
        <f>IFERROR(__xludf.DUMMYFUNCTION("SPLIT(A653, ""|"")"),43293.0)</f>
        <v>43293</v>
      </c>
      <c r="E653" s="2">
        <f>IFERROR(__xludf.DUMMYFUNCTION("""COMPUTED_VALUE"""),1319703.0)</f>
        <v>1319703</v>
      </c>
      <c r="F653" s="2">
        <f>IFERROR(__xludf.DUMMYFUNCTION("""COMPUTED_VALUE"""),4606995.0)</f>
        <v>4606995</v>
      </c>
      <c r="G653" s="2">
        <f>IFERROR(__xludf.DUMMYFUNCTION("""COMPUTED_VALUE"""),35.917)</f>
        <v>35.917</v>
      </c>
    </row>
    <row r="654">
      <c r="A654" s="1" t="s">
        <v>653</v>
      </c>
      <c r="D654" s="3">
        <f>IFERROR(__xludf.DUMMYFUNCTION("SPLIT(A654, ""|"")"),43038.0)</f>
        <v>43038</v>
      </c>
      <c r="E654" s="2">
        <f>IFERROR(__xludf.DUMMYFUNCTION("""COMPUTED_VALUE"""),1441233.0)</f>
        <v>1441233</v>
      </c>
      <c r="F654" s="2">
        <f>IFERROR(__xludf.DUMMYFUNCTION("""COMPUTED_VALUE"""),3902908.0)</f>
        <v>3902908</v>
      </c>
      <c r="G654" s="2">
        <f>IFERROR(__xludf.DUMMYFUNCTION("""COMPUTED_VALUE"""),64.425)</f>
        <v>64.425</v>
      </c>
    </row>
    <row r="655">
      <c r="A655" s="1" t="s">
        <v>654</v>
      </c>
      <c r="D655" s="3">
        <f>IFERROR(__xludf.DUMMYFUNCTION("SPLIT(A655, ""|"")"),43038.0)</f>
        <v>43038</v>
      </c>
      <c r="E655" s="2">
        <f>IFERROR(__xludf.DUMMYFUNCTION("""COMPUTED_VALUE"""),996933.0)</f>
        <v>996933</v>
      </c>
      <c r="F655" s="2">
        <f>IFERROR(__xludf.DUMMYFUNCTION("""COMPUTED_VALUE"""),3904205.0)</f>
        <v>3904205</v>
      </c>
      <c r="G655" s="2">
        <f>IFERROR(__xludf.DUMMYFUNCTION("""COMPUTED_VALUE"""),117.9723)</f>
        <v>117.9723</v>
      </c>
    </row>
    <row r="656">
      <c r="A656" s="1" t="s">
        <v>655</v>
      </c>
      <c r="D656" s="3">
        <f>IFERROR(__xludf.DUMMYFUNCTION("SPLIT(A656, ""|"")"),43038.0)</f>
        <v>43038</v>
      </c>
      <c r="E656" s="2">
        <f>IFERROR(__xludf.DUMMYFUNCTION("""COMPUTED_VALUE"""),1441353.0)</f>
        <v>1441353</v>
      </c>
      <c r="F656" s="2">
        <f>IFERROR(__xludf.DUMMYFUNCTION("""COMPUTED_VALUE"""),3903452.0)</f>
        <v>3903452</v>
      </c>
      <c r="G656" s="2">
        <f>IFERROR(__xludf.DUMMYFUNCTION("""COMPUTED_VALUE"""),100.8268)</f>
        <v>100.8268</v>
      </c>
    </row>
    <row r="657">
      <c r="A657" s="1" t="s">
        <v>656</v>
      </c>
      <c r="D657" s="3">
        <f>IFERROR(__xludf.DUMMYFUNCTION("SPLIT(A657, ""|"")"),43038.0)</f>
        <v>43038</v>
      </c>
      <c r="E657" s="2">
        <f>IFERROR(__xludf.DUMMYFUNCTION("""COMPUTED_VALUE"""),1246893.0)</f>
        <v>1246893</v>
      </c>
      <c r="F657" s="2">
        <f>IFERROR(__xludf.DUMMYFUNCTION("""COMPUTED_VALUE"""),3903629.0)</f>
        <v>3903629</v>
      </c>
      <c r="G657" s="2">
        <f>IFERROR(__xludf.DUMMYFUNCTION("""COMPUTED_VALUE"""),48.1919)</f>
        <v>48.1919</v>
      </c>
    </row>
    <row r="658">
      <c r="A658" s="1" t="s">
        <v>657</v>
      </c>
      <c r="D658" s="3">
        <f>IFERROR(__xludf.DUMMYFUNCTION("SPLIT(A658, ""|"")"),43038.0)</f>
        <v>43038</v>
      </c>
      <c r="E658" s="2">
        <f>IFERROR(__xludf.DUMMYFUNCTION("""COMPUTED_VALUE"""),1399533.0)</f>
        <v>1399533</v>
      </c>
      <c r="F658" s="2">
        <f>IFERROR(__xludf.DUMMYFUNCTION("""COMPUTED_VALUE"""),3903176.0)</f>
        <v>3903176</v>
      </c>
      <c r="G658" s="2">
        <f>IFERROR(__xludf.DUMMYFUNCTION("""COMPUTED_VALUE"""),85.1447)</f>
        <v>85.1447</v>
      </c>
    </row>
    <row r="659">
      <c r="A659" s="1" t="s">
        <v>658</v>
      </c>
      <c r="D659" s="3">
        <f>IFERROR(__xludf.DUMMYFUNCTION("SPLIT(A659, ""|"")"),43038.0)</f>
        <v>43038</v>
      </c>
      <c r="E659" s="2">
        <f>IFERROR(__xludf.DUMMYFUNCTION("""COMPUTED_VALUE"""),106503.0)</f>
        <v>106503</v>
      </c>
      <c r="F659" s="2">
        <f>IFERROR(__xludf.DUMMYFUNCTION("""COMPUTED_VALUE"""),3904042.0)</f>
        <v>3904042</v>
      </c>
      <c r="G659" s="2">
        <f>IFERROR(__xludf.DUMMYFUNCTION("""COMPUTED_VALUE"""),64.2979)</f>
        <v>64.2979</v>
      </c>
    </row>
    <row r="660">
      <c r="A660" s="1" t="s">
        <v>659</v>
      </c>
      <c r="D660" s="3">
        <f>IFERROR(__xludf.DUMMYFUNCTION("SPLIT(A660, ""|"")"),43038.0)</f>
        <v>43038</v>
      </c>
      <c r="E660" s="2">
        <f>IFERROR(__xludf.DUMMYFUNCTION("""COMPUTED_VALUE"""),1428633.0)</f>
        <v>1428633</v>
      </c>
      <c r="F660" s="2">
        <f>IFERROR(__xludf.DUMMYFUNCTION("""COMPUTED_VALUE"""),3904683.0)</f>
        <v>3904683</v>
      </c>
      <c r="G660" s="2">
        <f>IFERROR(__xludf.DUMMYFUNCTION("""COMPUTED_VALUE"""),127.192)</f>
        <v>127.192</v>
      </c>
    </row>
    <row r="661">
      <c r="A661" s="1" t="s">
        <v>660</v>
      </c>
      <c r="D661" s="3">
        <f>IFERROR(__xludf.DUMMYFUNCTION("SPLIT(A661, ""|"")"),43038.0)</f>
        <v>43038</v>
      </c>
      <c r="E661" s="2">
        <f>IFERROR(__xludf.DUMMYFUNCTION("""COMPUTED_VALUE"""),220503.0)</f>
        <v>220503</v>
      </c>
      <c r="F661" s="2">
        <f>IFERROR(__xludf.DUMMYFUNCTION("""COMPUTED_VALUE"""),3903562.0)</f>
        <v>3903562</v>
      </c>
      <c r="G661" s="2">
        <f>IFERROR(__xludf.DUMMYFUNCTION("""COMPUTED_VALUE"""),18.25)</f>
        <v>18.25</v>
      </c>
    </row>
    <row r="662">
      <c r="A662" s="1" t="s">
        <v>661</v>
      </c>
      <c r="D662" s="3">
        <f>IFERROR(__xludf.DUMMYFUNCTION("SPLIT(A662, ""|"")"),43294.0)</f>
        <v>43294</v>
      </c>
      <c r="E662" s="2">
        <f>IFERROR(__xludf.DUMMYFUNCTION("""COMPUTED_VALUE"""),1626093.0)</f>
        <v>1626093</v>
      </c>
      <c r="F662" s="2">
        <f>IFERROR(__xludf.DUMMYFUNCTION("""COMPUTED_VALUE"""),4608120.0)</f>
        <v>4608120</v>
      </c>
      <c r="G662" s="2">
        <f>IFERROR(__xludf.DUMMYFUNCTION("""COMPUTED_VALUE"""),82.3749)</f>
        <v>82.3749</v>
      </c>
    </row>
    <row r="663">
      <c r="A663" s="1" t="s">
        <v>662</v>
      </c>
      <c r="D663" s="3">
        <f>IFERROR(__xludf.DUMMYFUNCTION("SPLIT(A663, ""|"")"),43039.0)</f>
        <v>43039</v>
      </c>
      <c r="E663" s="2">
        <f>IFERROR(__xludf.DUMMYFUNCTION("""COMPUTED_VALUE"""),485253.0)</f>
        <v>485253</v>
      </c>
      <c r="F663" s="2">
        <f>IFERROR(__xludf.DUMMYFUNCTION("""COMPUTED_VALUE"""),3905395.0)</f>
        <v>3905395</v>
      </c>
      <c r="G663" s="2">
        <f>IFERROR(__xludf.DUMMYFUNCTION("""COMPUTED_VALUE"""),93.5441)</f>
        <v>93.5441</v>
      </c>
    </row>
    <row r="664">
      <c r="A664" s="1" t="s">
        <v>663</v>
      </c>
      <c r="D664" s="3">
        <f>IFERROR(__xludf.DUMMYFUNCTION("SPLIT(A664, ""|"")"),43039.0)</f>
        <v>43039</v>
      </c>
      <c r="E664" s="2">
        <f>IFERROR(__xludf.DUMMYFUNCTION("""COMPUTED_VALUE"""),1389153.0)</f>
        <v>1389153</v>
      </c>
      <c r="F664" s="2">
        <f>IFERROR(__xludf.DUMMYFUNCTION("""COMPUTED_VALUE"""),3906051.0)</f>
        <v>3906051</v>
      </c>
      <c r="G664" s="2">
        <f>IFERROR(__xludf.DUMMYFUNCTION("""COMPUTED_VALUE"""),31.8991)</f>
        <v>31.8991</v>
      </c>
    </row>
    <row r="665">
      <c r="A665" s="1" t="s">
        <v>664</v>
      </c>
      <c r="D665" s="3">
        <f>IFERROR(__xludf.DUMMYFUNCTION("SPLIT(A665, ""|"")"),43039.0)</f>
        <v>43039</v>
      </c>
      <c r="E665" s="2">
        <f>IFERROR(__xludf.DUMMYFUNCTION("""COMPUTED_VALUE"""),1441833.0)</f>
        <v>1441833</v>
      </c>
      <c r="F665" s="2">
        <f>IFERROR(__xludf.DUMMYFUNCTION("""COMPUTED_VALUE"""),3905465.0)</f>
        <v>3905465</v>
      </c>
      <c r="G665" s="2">
        <f>IFERROR(__xludf.DUMMYFUNCTION("""COMPUTED_VALUE"""),26.5269)</f>
        <v>26.5269</v>
      </c>
    </row>
    <row r="666">
      <c r="A666" s="1" t="s">
        <v>665</v>
      </c>
      <c r="D666" s="3">
        <f>IFERROR(__xludf.DUMMYFUNCTION("SPLIT(A666, ""|"")"),43039.0)</f>
        <v>43039</v>
      </c>
      <c r="E666" s="2">
        <f>IFERROR(__xludf.DUMMYFUNCTION("""COMPUTED_VALUE"""),1441923.0)</f>
        <v>1441923</v>
      </c>
      <c r="F666" s="2">
        <f>IFERROR(__xludf.DUMMYFUNCTION("""COMPUTED_VALUE"""),3905812.0)</f>
        <v>3905812</v>
      </c>
      <c r="G666" s="2">
        <f>IFERROR(__xludf.DUMMYFUNCTION("""COMPUTED_VALUE"""),10.5583)</f>
        <v>10.5583</v>
      </c>
    </row>
    <row r="667">
      <c r="A667" s="1" t="s">
        <v>666</v>
      </c>
      <c r="D667" s="3">
        <f>IFERROR(__xludf.DUMMYFUNCTION("SPLIT(A667, ""|"")"),43039.0)</f>
        <v>43039</v>
      </c>
      <c r="E667" s="2">
        <f>IFERROR(__xludf.DUMMYFUNCTION("""COMPUTED_VALUE"""),1436763.0)</f>
        <v>1436763</v>
      </c>
      <c r="F667" s="2">
        <f>IFERROR(__xludf.DUMMYFUNCTION("""COMPUTED_VALUE"""),3906333.0)</f>
        <v>3906333</v>
      </c>
      <c r="G667" s="2">
        <f>IFERROR(__xludf.DUMMYFUNCTION("""COMPUTED_VALUE"""),71.9985)</f>
        <v>71.9985</v>
      </c>
    </row>
    <row r="668">
      <c r="A668" s="1" t="s">
        <v>667</v>
      </c>
      <c r="D668" s="3">
        <f>IFERROR(__xludf.DUMMYFUNCTION("SPLIT(A668, ""|"")"),43039.0)</f>
        <v>43039</v>
      </c>
      <c r="E668" s="2">
        <f>IFERROR(__xludf.DUMMYFUNCTION("""COMPUTED_VALUE"""),1389153.0)</f>
        <v>1389153</v>
      </c>
      <c r="F668" s="2">
        <f>IFERROR(__xludf.DUMMYFUNCTION("""COMPUTED_VALUE"""),3906078.0)</f>
        <v>3906078</v>
      </c>
      <c r="G668" s="2">
        <f>IFERROR(__xludf.DUMMYFUNCTION("""COMPUTED_VALUE"""),31.8991)</f>
        <v>31.8991</v>
      </c>
    </row>
    <row r="669">
      <c r="A669" s="1" t="s">
        <v>668</v>
      </c>
      <c r="D669" s="3">
        <f>IFERROR(__xludf.DUMMYFUNCTION("SPLIT(A669, ""|"")"),43039.0)</f>
        <v>43039</v>
      </c>
      <c r="E669" s="2">
        <f>IFERROR(__xludf.DUMMYFUNCTION("""COMPUTED_VALUE"""),1238253.0)</f>
        <v>1238253</v>
      </c>
      <c r="F669" s="2">
        <f>IFERROR(__xludf.DUMMYFUNCTION("""COMPUTED_VALUE"""),3905482.0)</f>
        <v>3905482</v>
      </c>
      <c r="G669" s="2">
        <f>IFERROR(__xludf.DUMMYFUNCTION("""COMPUTED_VALUE"""),9.6882)</f>
        <v>9.6882</v>
      </c>
    </row>
    <row r="670">
      <c r="A670" s="1" t="s">
        <v>669</v>
      </c>
      <c r="D670" s="3">
        <f>IFERROR(__xludf.DUMMYFUNCTION("SPLIT(A670, ""|"")"),43039.0)</f>
        <v>43039</v>
      </c>
      <c r="E670" s="2">
        <f>IFERROR(__xludf.DUMMYFUNCTION("""COMPUTED_VALUE"""),1220583.0)</f>
        <v>1220583</v>
      </c>
      <c r="F670" s="2">
        <f>IFERROR(__xludf.DUMMYFUNCTION("""COMPUTED_VALUE"""),3904976.0)</f>
        <v>3904976</v>
      </c>
      <c r="G670" s="2">
        <f>IFERROR(__xludf.DUMMYFUNCTION("""COMPUTED_VALUE"""),72.6615999999999)</f>
        <v>72.6616</v>
      </c>
    </row>
    <row r="671">
      <c r="A671" s="1" t="s">
        <v>670</v>
      </c>
      <c r="D671" s="3">
        <f>IFERROR(__xludf.DUMMYFUNCTION("SPLIT(A671, ""|"")"),43295.0)</f>
        <v>43295</v>
      </c>
      <c r="E671" s="2">
        <f>IFERROR(__xludf.DUMMYFUNCTION("""COMPUTED_VALUE"""),1607913.0)</f>
        <v>1607913</v>
      </c>
      <c r="F671" s="2">
        <f>IFERROR(__xludf.DUMMYFUNCTION("""COMPUTED_VALUE"""),4609524.0)</f>
        <v>4609524</v>
      </c>
      <c r="G671" s="2">
        <f>IFERROR(__xludf.DUMMYFUNCTION("""COMPUTED_VALUE"""),143.387299999999)</f>
        <v>143.3873</v>
      </c>
    </row>
    <row r="672">
      <c r="A672" s="1" t="s">
        <v>671</v>
      </c>
      <c r="D672" s="3">
        <f>IFERROR(__xludf.DUMMYFUNCTION("SPLIT(A672, ""|"")"),43295.0)</f>
        <v>43295</v>
      </c>
      <c r="E672" s="2">
        <f>IFERROR(__xludf.DUMMYFUNCTION("""COMPUTED_VALUE"""),1372173.0)</f>
        <v>1372173</v>
      </c>
      <c r="F672" s="2">
        <f>IFERROR(__xludf.DUMMYFUNCTION("""COMPUTED_VALUE"""),4610553.0)</f>
        <v>4610553</v>
      </c>
      <c r="G672" s="2">
        <f>IFERROR(__xludf.DUMMYFUNCTION("""COMPUTED_VALUE"""),32.3096)</f>
        <v>32.3096</v>
      </c>
    </row>
    <row r="673">
      <c r="A673" s="1" t="s">
        <v>672</v>
      </c>
      <c r="D673" s="3">
        <f>IFERROR(__xludf.DUMMYFUNCTION("SPLIT(A673, ""|"")"),43295.0)</f>
        <v>43295</v>
      </c>
      <c r="E673" s="2">
        <f>IFERROR(__xludf.DUMMYFUNCTION("""COMPUTED_VALUE"""),1626663.0)</f>
        <v>1626663</v>
      </c>
      <c r="F673" s="2">
        <f>IFERROR(__xludf.DUMMYFUNCTION("""COMPUTED_VALUE"""),4610731.0)</f>
        <v>4610731</v>
      </c>
      <c r="G673" s="2">
        <f>IFERROR(__xludf.DUMMYFUNCTION("""COMPUTED_VALUE"""),118.32)</f>
        <v>118.32</v>
      </c>
    </row>
    <row r="674">
      <c r="A674" s="1" t="s">
        <v>673</v>
      </c>
      <c r="D674" s="3">
        <f>IFERROR(__xludf.DUMMYFUNCTION("SPLIT(A674, ""|"")"),43295.0)</f>
        <v>43295</v>
      </c>
      <c r="E674" s="2">
        <f>IFERROR(__xludf.DUMMYFUNCTION("""COMPUTED_VALUE"""),1625403.0)</f>
        <v>1625403</v>
      </c>
      <c r="F674" s="2">
        <f>IFERROR(__xludf.DUMMYFUNCTION("""COMPUTED_VALUE"""),4610685.0)</f>
        <v>4610685</v>
      </c>
      <c r="G674" s="2">
        <f>IFERROR(__xludf.DUMMYFUNCTION("""COMPUTED_VALUE"""),69.6878)</f>
        <v>69.6878</v>
      </c>
    </row>
    <row r="675">
      <c r="A675" s="1" t="s">
        <v>674</v>
      </c>
      <c r="D675" s="3">
        <f>IFERROR(__xludf.DUMMYFUNCTION("SPLIT(A675, ""|"")"),43040.0)</f>
        <v>43040</v>
      </c>
      <c r="E675" s="2">
        <f>IFERROR(__xludf.DUMMYFUNCTION("""COMPUTED_VALUE"""),1442343.0)</f>
        <v>1442343</v>
      </c>
      <c r="F675" s="2">
        <f>IFERROR(__xludf.DUMMYFUNCTION("""COMPUTED_VALUE"""),3908549.0)</f>
        <v>3908549</v>
      </c>
      <c r="G675" s="2">
        <f>IFERROR(__xludf.DUMMYFUNCTION("""COMPUTED_VALUE"""),70.5060999999999)</f>
        <v>70.5061</v>
      </c>
    </row>
    <row r="676">
      <c r="A676" s="1" t="s">
        <v>675</v>
      </c>
      <c r="D676" s="3">
        <f>IFERROR(__xludf.DUMMYFUNCTION("SPLIT(A676, ""|"")"),43040.0)</f>
        <v>43040</v>
      </c>
      <c r="E676" s="2">
        <f>IFERROR(__xludf.DUMMYFUNCTION("""COMPUTED_VALUE"""),234783.0)</f>
        <v>234783</v>
      </c>
      <c r="F676" s="2">
        <f>IFERROR(__xludf.DUMMYFUNCTION("""COMPUTED_VALUE"""),3907283.0)</f>
        <v>3907283</v>
      </c>
      <c r="G676" s="2">
        <f>IFERROR(__xludf.DUMMYFUNCTION("""COMPUTED_VALUE"""),101.2517)</f>
        <v>101.2517</v>
      </c>
    </row>
    <row r="677">
      <c r="A677" s="1" t="s">
        <v>676</v>
      </c>
      <c r="D677" s="3">
        <f>IFERROR(__xludf.DUMMYFUNCTION("SPLIT(A677, ""|"")"),43040.0)</f>
        <v>43040</v>
      </c>
      <c r="E677" s="2">
        <f>IFERROR(__xludf.DUMMYFUNCTION("""COMPUTED_VALUE"""),1406463.0)</f>
        <v>1406463</v>
      </c>
      <c r="F677" s="2">
        <f>IFERROR(__xludf.DUMMYFUNCTION("""COMPUTED_VALUE"""),3908499.0)</f>
        <v>3908499</v>
      </c>
      <c r="G677" s="2">
        <f>IFERROR(__xludf.DUMMYFUNCTION("""COMPUTED_VALUE"""),32.7397)</f>
        <v>32.7397</v>
      </c>
    </row>
    <row r="678">
      <c r="A678" s="1" t="s">
        <v>677</v>
      </c>
      <c r="D678" s="3">
        <f>IFERROR(__xludf.DUMMYFUNCTION("SPLIT(A678, ""|"")"),43040.0)</f>
        <v>43040</v>
      </c>
      <c r="E678" s="2">
        <f>IFERROR(__xludf.DUMMYFUNCTION("""COMPUTED_VALUE"""),1442403.0)</f>
        <v>1442403</v>
      </c>
      <c r="F678" s="2">
        <f>IFERROR(__xludf.DUMMYFUNCTION("""COMPUTED_VALUE"""),3907758.0)</f>
        <v>3907758</v>
      </c>
      <c r="G678" s="2">
        <f>IFERROR(__xludf.DUMMYFUNCTION("""COMPUTED_VALUE"""),50.5416)</f>
        <v>50.5416</v>
      </c>
    </row>
    <row r="679">
      <c r="A679" s="1" t="s">
        <v>678</v>
      </c>
      <c r="D679" s="3">
        <f>IFERROR(__xludf.DUMMYFUNCTION("SPLIT(A679, ""|"")"),43040.0)</f>
        <v>43040</v>
      </c>
      <c r="E679" s="2">
        <f>IFERROR(__xludf.DUMMYFUNCTION("""COMPUTED_VALUE"""),1228443.0)</f>
        <v>1228443</v>
      </c>
      <c r="F679" s="2">
        <f>IFERROR(__xludf.DUMMYFUNCTION("""COMPUTED_VALUE"""),3908769.0)</f>
        <v>3908769</v>
      </c>
      <c r="G679" s="2">
        <f>IFERROR(__xludf.DUMMYFUNCTION("""COMPUTED_VALUE"""),102.3735)</f>
        <v>102.3735</v>
      </c>
    </row>
    <row r="680">
      <c r="A680" s="1" t="s">
        <v>679</v>
      </c>
      <c r="D680" s="3">
        <f>IFERROR(__xludf.DUMMYFUNCTION("SPLIT(A680, ""|"")"),43040.0)</f>
        <v>43040</v>
      </c>
      <c r="E680" s="2">
        <f>IFERROR(__xludf.DUMMYFUNCTION("""COMPUTED_VALUE"""),1352493.0)</f>
        <v>1352493</v>
      </c>
      <c r="F680" s="2">
        <f>IFERROR(__xludf.DUMMYFUNCTION("""COMPUTED_VALUE"""),3909067.0)</f>
        <v>3909067</v>
      </c>
      <c r="G680" s="2">
        <f>IFERROR(__xludf.DUMMYFUNCTION("""COMPUTED_VALUE"""),31.2123)</f>
        <v>31.2123</v>
      </c>
    </row>
    <row r="681">
      <c r="A681" s="1" t="s">
        <v>680</v>
      </c>
      <c r="D681" s="3">
        <f>IFERROR(__xludf.DUMMYFUNCTION("SPLIT(A681, ""|"")"),43040.0)</f>
        <v>43040</v>
      </c>
      <c r="E681" s="2">
        <f>IFERROR(__xludf.DUMMYFUNCTION("""COMPUTED_VALUE"""),228423.0)</f>
        <v>228423</v>
      </c>
      <c r="F681" s="2">
        <f>IFERROR(__xludf.DUMMYFUNCTION("""COMPUTED_VALUE"""),3909216.0)</f>
        <v>3909216</v>
      </c>
      <c r="G681" s="2">
        <f>IFERROR(__xludf.DUMMYFUNCTION("""COMPUTED_VALUE"""),90.5859)</f>
        <v>90.5859</v>
      </c>
    </row>
    <row r="682">
      <c r="A682" s="1" t="s">
        <v>681</v>
      </c>
      <c r="D682" s="3">
        <f>IFERROR(__xludf.DUMMYFUNCTION("SPLIT(A682, ""|"")"),43040.0)</f>
        <v>43040</v>
      </c>
      <c r="E682" s="2">
        <f>IFERROR(__xludf.DUMMYFUNCTION("""COMPUTED_VALUE"""),1304853.0)</f>
        <v>1304853</v>
      </c>
      <c r="F682" s="2">
        <f>IFERROR(__xludf.DUMMYFUNCTION("""COMPUTED_VALUE"""),3908033.0)</f>
        <v>3908033</v>
      </c>
      <c r="G682" s="2">
        <f>IFERROR(__xludf.DUMMYFUNCTION("""COMPUTED_VALUE"""),68.076)</f>
        <v>68.076</v>
      </c>
    </row>
    <row r="683">
      <c r="A683" s="1" t="s">
        <v>682</v>
      </c>
      <c r="D683" s="3">
        <f>IFERROR(__xludf.DUMMYFUNCTION("SPLIT(A683, ""|"")"),43296.0)</f>
        <v>43296</v>
      </c>
      <c r="E683" s="2">
        <f>IFERROR(__xludf.DUMMYFUNCTION("""COMPUTED_VALUE"""),1197873.0)</f>
        <v>1197873</v>
      </c>
      <c r="F683" s="2">
        <f>IFERROR(__xludf.DUMMYFUNCTION("""COMPUTED_VALUE"""),4611851.0)</f>
        <v>4611851</v>
      </c>
      <c r="G683" s="2">
        <f>IFERROR(__xludf.DUMMYFUNCTION("""COMPUTED_VALUE"""),19.676)</f>
        <v>19.676</v>
      </c>
    </row>
    <row r="684">
      <c r="A684" s="1" t="s">
        <v>683</v>
      </c>
      <c r="D684" s="3">
        <f>IFERROR(__xludf.DUMMYFUNCTION("SPLIT(A684, ""|"")"),43296.0)</f>
        <v>43296</v>
      </c>
      <c r="E684" s="2">
        <f>IFERROR(__xludf.DUMMYFUNCTION("""COMPUTED_VALUE"""),217743.0)</f>
        <v>217743</v>
      </c>
      <c r="F684" s="2">
        <f>IFERROR(__xludf.DUMMYFUNCTION("""COMPUTED_VALUE"""),4611527.0)</f>
        <v>4611527</v>
      </c>
      <c r="G684" s="2">
        <f>IFERROR(__xludf.DUMMYFUNCTION("""COMPUTED_VALUE"""),167.5273)</f>
        <v>167.5273</v>
      </c>
    </row>
    <row r="685">
      <c r="A685" s="1" t="s">
        <v>684</v>
      </c>
      <c r="D685" s="3">
        <f>IFERROR(__xludf.DUMMYFUNCTION("SPLIT(A685, ""|"")"),43296.0)</f>
        <v>43296</v>
      </c>
      <c r="E685" s="2">
        <f>IFERROR(__xludf.DUMMYFUNCTION("""COMPUTED_VALUE"""),1559583.0)</f>
        <v>1559583</v>
      </c>
      <c r="F685" s="2">
        <f>IFERROR(__xludf.DUMMYFUNCTION("""COMPUTED_VALUE"""),4612496.0)</f>
        <v>4612496</v>
      </c>
      <c r="G685" s="2">
        <f>IFERROR(__xludf.DUMMYFUNCTION("""COMPUTED_VALUE"""),69.5947)</f>
        <v>69.5947</v>
      </c>
    </row>
    <row r="686">
      <c r="A686" s="1" t="s">
        <v>685</v>
      </c>
      <c r="D686" s="3">
        <f>IFERROR(__xludf.DUMMYFUNCTION("SPLIT(A686, ""|"")"),43296.0)</f>
        <v>43296</v>
      </c>
      <c r="E686" s="2">
        <f>IFERROR(__xludf.DUMMYFUNCTION("""COMPUTED_VALUE"""),361563.0)</f>
        <v>361563</v>
      </c>
      <c r="F686" s="2">
        <f>IFERROR(__xludf.DUMMYFUNCTION("""COMPUTED_VALUE"""),4611145.0)</f>
        <v>4611145</v>
      </c>
      <c r="G686" s="2">
        <f>IFERROR(__xludf.DUMMYFUNCTION("""COMPUTED_VALUE"""),38.2515)</f>
        <v>38.2515</v>
      </c>
    </row>
    <row r="687">
      <c r="A687" s="1" t="s">
        <v>686</v>
      </c>
      <c r="D687" s="3">
        <f>IFERROR(__xludf.DUMMYFUNCTION("SPLIT(A687, ""|"")"),43296.0)</f>
        <v>43296</v>
      </c>
      <c r="E687" s="2">
        <f>IFERROR(__xludf.DUMMYFUNCTION("""COMPUTED_VALUE"""),1626933.0)</f>
        <v>1626933</v>
      </c>
      <c r="F687" s="2">
        <f>IFERROR(__xludf.DUMMYFUNCTION("""COMPUTED_VALUE"""),4611930.0)</f>
        <v>4611930</v>
      </c>
      <c r="G687" s="2">
        <f>IFERROR(__xludf.DUMMYFUNCTION("""COMPUTED_VALUE"""),43.3243)</f>
        <v>43.3243</v>
      </c>
    </row>
    <row r="688">
      <c r="A688" s="1" t="s">
        <v>687</v>
      </c>
      <c r="D688" s="3">
        <f>IFERROR(__xludf.DUMMYFUNCTION("SPLIT(A688, ""|"")"),43296.0)</f>
        <v>43296</v>
      </c>
      <c r="E688" s="2">
        <f>IFERROR(__xludf.DUMMYFUNCTION("""COMPUTED_VALUE"""),1519623.0)</f>
        <v>1519623</v>
      </c>
      <c r="F688" s="2">
        <f>IFERROR(__xludf.DUMMYFUNCTION("""COMPUTED_VALUE"""),4612444.0)</f>
        <v>4612444</v>
      </c>
      <c r="G688" s="2">
        <f>IFERROR(__xludf.DUMMYFUNCTION("""COMPUTED_VALUE"""),66.4358)</f>
        <v>66.4358</v>
      </c>
    </row>
    <row r="689">
      <c r="A689" s="1" t="s">
        <v>688</v>
      </c>
      <c r="D689" s="3">
        <f>IFERROR(__xludf.DUMMYFUNCTION("SPLIT(A689, ""|"")"),43296.0)</f>
        <v>43296</v>
      </c>
      <c r="E689" s="2">
        <f>IFERROR(__xludf.DUMMYFUNCTION("""COMPUTED_VALUE"""),1432323.0)</f>
        <v>1432323</v>
      </c>
      <c r="F689" s="2">
        <f>IFERROR(__xludf.DUMMYFUNCTION("""COMPUTED_VALUE"""),4610939.0)</f>
        <v>4610939</v>
      </c>
      <c r="G689" s="2">
        <f>IFERROR(__xludf.DUMMYFUNCTION("""COMPUTED_VALUE"""),47.0254)</f>
        <v>47.0254</v>
      </c>
    </row>
    <row r="690">
      <c r="A690" s="1" t="s">
        <v>689</v>
      </c>
      <c r="D690" s="3">
        <f>IFERROR(__xludf.DUMMYFUNCTION("SPLIT(A690, ""|"")"),43296.0)</f>
        <v>43296</v>
      </c>
      <c r="E690" s="2">
        <f>IFERROR(__xludf.DUMMYFUNCTION("""COMPUTED_VALUE"""),1626813.0)</f>
        <v>1626813</v>
      </c>
      <c r="F690" s="2">
        <f>IFERROR(__xludf.DUMMYFUNCTION("""COMPUTED_VALUE"""),4611429.0)</f>
        <v>4611429</v>
      </c>
      <c r="G690" s="2">
        <f>IFERROR(__xludf.DUMMYFUNCTION("""COMPUTED_VALUE"""),61.8246)</f>
        <v>61.8246</v>
      </c>
    </row>
    <row r="691">
      <c r="A691" s="1" t="s">
        <v>690</v>
      </c>
      <c r="D691" s="3">
        <f>IFERROR(__xludf.DUMMYFUNCTION("SPLIT(A691, ""|"")"),43041.0)</f>
        <v>43041</v>
      </c>
      <c r="E691" s="2">
        <f>IFERROR(__xludf.DUMMYFUNCTION("""COMPUTED_VALUE"""),1319373.0)</f>
        <v>1319373</v>
      </c>
      <c r="F691" s="2">
        <f>IFERROR(__xludf.DUMMYFUNCTION("""COMPUTED_VALUE"""),3911130.0)</f>
        <v>3911130</v>
      </c>
      <c r="G691" s="2">
        <f>IFERROR(__xludf.DUMMYFUNCTION("""COMPUTED_VALUE"""),84.422)</f>
        <v>84.422</v>
      </c>
    </row>
    <row r="692">
      <c r="A692" s="1" t="s">
        <v>691</v>
      </c>
      <c r="D692" s="3">
        <f>IFERROR(__xludf.DUMMYFUNCTION("SPLIT(A692, ""|"")"),43041.0)</f>
        <v>43041</v>
      </c>
      <c r="E692" s="2">
        <f>IFERROR(__xludf.DUMMYFUNCTION("""COMPUTED_VALUE"""),1089273.0)</f>
        <v>1089273</v>
      </c>
      <c r="F692" s="2">
        <f>IFERROR(__xludf.DUMMYFUNCTION("""COMPUTED_VALUE"""),3910108.0)</f>
        <v>3910108</v>
      </c>
      <c r="G692" s="2">
        <f>IFERROR(__xludf.DUMMYFUNCTION("""COMPUTED_VALUE"""),67.9033)</f>
        <v>67.9033</v>
      </c>
    </row>
    <row r="693">
      <c r="A693" s="1" t="s">
        <v>692</v>
      </c>
      <c r="D693" s="3">
        <f>IFERROR(__xludf.DUMMYFUNCTION("SPLIT(A693, ""|"")"),43041.0)</f>
        <v>43041</v>
      </c>
      <c r="E693" s="2">
        <f>IFERROR(__xludf.DUMMYFUNCTION("""COMPUTED_VALUE"""),948573.0)</f>
        <v>948573</v>
      </c>
      <c r="F693" s="2">
        <f>IFERROR(__xludf.DUMMYFUNCTION("""COMPUTED_VALUE"""),3911506.0)</f>
        <v>3911506</v>
      </c>
      <c r="G693" s="2">
        <f>IFERROR(__xludf.DUMMYFUNCTION("""COMPUTED_VALUE"""),75.0235)</f>
        <v>75.0235</v>
      </c>
    </row>
    <row r="694">
      <c r="A694" s="1" t="s">
        <v>693</v>
      </c>
      <c r="D694" s="3">
        <f>IFERROR(__xludf.DUMMYFUNCTION("SPLIT(A694, ""|"")"),43041.0)</f>
        <v>43041</v>
      </c>
      <c r="E694" s="2">
        <f>IFERROR(__xludf.DUMMYFUNCTION("""COMPUTED_VALUE"""),1442253.0)</f>
        <v>1442253</v>
      </c>
      <c r="F694" s="2">
        <f>IFERROR(__xludf.DUMMYFUNCTION("""COMPUTED_VALUE"""),3910551.0)</f>
        <v>3910551</v>
      </c>
      <c r="G694" s="2">
        <f>IFERROR(__xludf.DUMMYFUNCTION("""COMPUTED_VALUE"""),67.1455999999999)</f>
        <v>67.1456</v>
      </c>
    </row>
    <row r="695">
      <c r="A695" s="1" t="s">
        <v>694</v>
      </c>
      <c r="D695" s="3">
        <f>IFERROR(__xludf.DUMMYFUNCTION("SPLIT(A695, ""|"")"),43041.0)</f>
        <v>43041</v>
      </c>
      <c r="E695" s="2">
        <f>IFERROR(__xludf.DUMMYFUNCTION("""COMPUTED_VALUE"""),1435293.0)</f>
        <v>1435293</v>
      </c>
      <c r="F695" s="2">
        <f>IFERROR(__xludf.DUMMYFUNCTION("""COMPUTED_VALUE"""),3912184.0)</f>
        <v>3912184</v>
      </c>
      <c r="G695" s="2">
        <f>IFERROR(__xludf.DUMMYFUNCTION("""COMPUTED_VALUE"""),91.9965999999999)</f>
        <v>91.9966</v>
      </c>
    </row>
    <row r="696">
      <c r="A696" s="1" t="s">
        <v>695</v>
      </c>
      <c r="D696" s="3">
        <f>IFERROR(__xludf.DUMMYFUNCTION("SPLIT(A696, ""|"")"),43041.0)</f>
        <v>43041</v>
      </c>
      <c r="E696" s="2">
        <f>IFERROR(__xludf.DUMMYFUNCTION("""COMPUTED_VALUE"""),1061973.0)</f>
        <v>1061973</v>
      </c>
      <c r="F696" s="2">
        <f>IFERROR(__xludf.DUMMYFUNCTION("""COMPUTED_VALUE"""),3912359.0)</f>
        <v>3912359</v>
      </c>
      <c r="G696" s="2">
        <f>IFERROR(__xludf.DUMMYFUNCTION("""COMPUTED_VALUE"""),92.8737)</f>
        <v>92.8737</v>
      </c>
    </row>
    <row r="697">
      <c r="A697" s="1" t="s">
        <v>696</v>
      </c>
      <c r="D697" s="3">
        <f>IFERROR(__xludf.DUMMYFUNCTION("SPLIT(A697, ""|"")"),43297.0)</f>
        <v>43297</v>
      </c>
      <c r="E697" s="2">
        <f>IFERROR(__xludf.DUMMYFUNCTION("""COMPUTED_VALUE"""),1627173.0)</f>
        <v>1627173</v>
      </c>
      <c r="F697" s="2">
        <f>IFERROR(__xludf.DUMMYFUNCTION("""COMPUTED_VALUE"""),4613364.0)</f>
        <v>4613364</v>
      </c>
      <c r="G697" s="2">
        <f>IFERROR(__xludf.DUMMYFUNCTION("""COMPUTED_VALUE"""),39.422)</f>
        <v>39.422</v>
      </c>
    </row>
    <row r="698">
      <c r="A698" s="1" t="s">
        <v>697</v>
      </c>
      <c r="D698" s="3">
        <f>IFERROR(__xludf.DUMMYFUNCTION("SPLIT(A698, ""|"")"),43297.0)</f>
        <v>43297</v>
      </c>
      <c r="E698" s="2">
        <f>IFERROR(__xludf.DUMMYFUNCTION("""COMPUTED_VALUE"""),1549083.0)</f>
        <v>1549083</v>
      </c>
      <c r="F698" s="2">
        <f>IFERROR(__xludf.DUMMYFUNCTION("""COMPUTED_VALUE"""),4614134.0)</f>
        <v>4614134</v>
      </c>
      <c r="G698" s="2">
        <f>IFERROR(__xludf.DUMMYFUNCTION("""COMPUTED_VALUE"""),40.4009999999999)</f>
        <v>40.401</v>
      </c>
    </row>
    <row r="699">
      <c r="A699" s="1" t="s">
        <v>698</v>
      </c>
      <c r="D699" s="3">
        <f>IFERROR(__xludf.DUMMYFUNCTION("SPLIT(A699, ""|"")"),43297.0)</f>
        <v>43297</v>
      </c>
      <c r="E699" s="2">
        <f>IFERROR(__xludf.DUMMYFUNCTION("""COMPUTED_VALUE"""),1627293.0)</f>
        <v>1627293</v>
      </c>
      <c r="F699" s="2">
        <f>IFERROR(__xludf.DUMMYFUNCTION("""COMPUTED_VALUE"""),4614145.0)</f>
        <v>4614145</v>
      </c>
      <c r="G699" s="2">
        <f>IFERROR(__xludf.DUMMYFUNCTION("""COMPUTED_VALUE"""),90.6534)</f>
        <v>90.6534</v>
      </c>
    </row>
    <row r="700">
      <c r="A700" s="1" t="s">
        <v>699</v>
      </c>
      <c r="D700" s="3">
        <f>IFERROR(__xludf.DUMMYFUNCTION("SPLIT(A700, ""|"")"),43297.0)</f>
        <v>43297</v>
      </c>
      <c r="E700" s="2">
        <f>IFERROR(__xludf.DUMMYFUNCTION("""COMPUTED_VALUE"""),1360233.0)</f>
        <v>1360233</v>
      </c>
      <c r="F700" s="2">
        <f>IFERROR(__xludf.DUMMYFUNCTION("""COMPUTED_VALUE"""),4614503.0)</f>
        <v>4614503</v>
      </c>
      <c r="G700" s="2">
        <f>IFERROR(__xludf.DUMMYFUNCTION("""COMPUTED_VALUE"""),64.3358)</f>
        <v>64.3358</v>
      </c>
    </row>
    <row r="701">
      <c r="A701" s="1" t="s">
        <v>700</v>
      </c>
      <c r="D701" s="3">
        <f>IFERROR(__xludf.DUMMYFUNCTION("SPLIT(A701, ""|"")"),43297.0)</f>
        <v>43297</v>
      </c>
      <c r="E701" s="2">
        <f>IFERROR(__xludf.DUMMYFUNCTION("""COMPUTED_VALUE"""),184683.0)</f>
        <v>184683</v>
      </c>
      <c r="F701" s="2">
        <f>IFERROR(__xludf.DUMMYFUNCTION("""COMPUTED_VALUE"""),4613416.0)</f>
        <v>4613416</v>
      </c>
      <c r="G701" s="2">
        <f>IFERROR(__xludf.DUMMYFUNCTION("""COMPUTED_VALUE"""),81.0009)</f>
        <v>81.0009</v>
      </c>
    </row>
    <row r="702">
      <c r="A702" s="1" t="s">
        <v>701</v>
      </c>
      <c r="D702" s="3">
        <f>IFERROR(__xludf.DUMMYFUNCTION("SPLIT(A702, ""|"")"),43297.0)</f>
        <v>43297</v>
      </c>
      <c r="E702" s="2">
        <f>IFERROR(__xludf.DUMMYFUNCTION("""COMPUTED_VALUE"""),1387113.0)</f>
        <v>1387113</v>
      </c>
      <c r="F702" s="2">
        <f>IFERROR(__xludf.DUMMYFUNCTION("""COMPUTED_VALUE"""),4614360.0)</f>
        <v>4614360</v>
      </c>
      <c r="G702" s="2">
        <f>IFERROR(__xludf.DUMMYFUNCTION("""COMPUTED_VALUE"""),131.3587)</f>
        <v>131.3587</v>
      </c>
    </row>
    <row r="703">
      <c r="A703" s="1" t="s">
        <v>702</v>
      </c>
      <c r="D703" s="3">
        <f>IFERROR(__xludf.DUMMYFUNCTION("SPLIT(A703, ""|"")"),43297.0)</f>
        <v>43297</v>
      </c>
      <c r="E703" s="2">
        <f>IFERROR(__xludf.DUMMYFUNCTION("""COMPUTED_VALUE"""),1592163.0)</f>
        <v>1592163</v>
      </c>
      <c r="F703" s="2">
        <f>IFERROR(__xludf.DUMMYFUNCTION("""COMPUTED_VALUE"""),4614780.0)</f>
        <v>4614780</v>
      </c>
      <c r="G703" s="2">
        <f>IFERROR(__xludf.DUMMYFUNCTION("""COMPUTED_VALUE"""),59.9844)</f>
        <v>59.9844</v>
      </c>
    </row>
    <row r="704">
      <c r="A704" s="1" t="s">
        <v>703</v>
      </c>
      <c r="D704" s="3">
        <f>IFERROR(__xludf.DUMMYFUNCTION("SPLIT(A704, ""|"")"),43042.0)</f>
        <v>43042</v>
      </c>
      <c r="E704" s="2">
        <f>IFERROR(__xludf.DUMMYFUNCTION("""COMPUTED_VALUE"""),306753.0)</f>
        <v>306753</v>
      </c>
      <c r="F704" s="2">
        <f>IFERROR(__xludf.DUMMYFUNCTION("""COMPUTED_VALUE"""),3913951.0)</f>
        <v>3913951</v>
      </c>
      <c r="G704" s="2">
        <f>IFERROR(__xludf.DUMMYFUNCTION("""COMPUTED_VALUE"""),71.652)</f>
        <v>71.652</v>
      </c>
    </row>
    <row r="705">
      <c r="A705" s="1" t="s">
        <v>704</v>
      </c>
      <c r="D705" s="3">
        <f>IFERROR(__xludf.DUMMYFUNCTION("SPLIT(A705, ""|"")"),43042.0)</f>
        <v>43042</v>
      </c>
      <c r="E705" s="2">
        <f>IFERROR(__xludf.DUMMYFUNCTION("""COMPUTED_VALUE"""),1296213.0)</f>
        <v>1296213</v>
      </c>
      <c r="F705" s="2">
        <f>IFERROR(__xludf.DUMMYFUNCTION("""COMPUTED_VALUE"""),3913641.0)</f>
        <v>3913641</v>
      </c>
      <c r="G705" s="2">
        <f>IFERROR(__xludf.DUMMYFUNCTION("""COMPUTED_VALUE"""),70.0951)</f>
        <v>70.0951</v>
      </c>
    </row>
    <row r="706">
      <c r="A706" s="1" t="s">
        <v>705</v>
      </c>
      <c r="D706" s="3">
        <f>IFERROR(__xludf.DUMMYFUNCTION("SPLIT(A706, ""|"")"),43298.0)</f>
        <v>43298</v>
      </c>
      <c r="E706" s="2">
        <f>IFERROR(__xludf.DUMMYFUNCTION("""COMPUTED_VALUE"""),1220583.0)</f>
        <v>1220583</v>
      </c>
      <c r="F706" s="2">
        <f>IFERROR(__xludf.DUMMYFUNCTION("""COMPUTED_VALUE"""),4617398.0)</f>
        <v>4617398</v>
      </c>
      <c r="G706" s="2">
        <f>IFERROR(__xludf.DUMMYFUNCTION("""COMPUTED_VALUE"""),65.2774999999999)</f>
        <v>65.2775</v>
      </c>
    </row>
    <row r="707">
      <c r="A707" s="1" t="s">
        <v>706</v>
      </c>
      <c r="D707" s="3">
        <f>IFERROR(__xludf.DUMMYFUNCTION("SPLIT(A707, ""|"")"),43298.0)</f>
        <v>43298</v>
      </c>
      <c r="E707" s="2">
        <f>IFERROR(__xludf.DUMMYFUNCTION("""COMPUTED_VALUE"""),1245363.0)</f>
        <v>1245363</v>
      </c>
      <c r="F707" s="2">
        <f>IFERROR(__xludf.DUMMYFUNCTION("""COMPUTED_VALUE"""),4617287.0)</f>
        <v>4617287</v>
      </c>
      <c r="G707" s="2">
        <f>IFERROR(__xludf.DUMMYFUNCTION("""COMPUTED_VALUE"""),83.8136999999999)</f>
        <v>83.8137</v>
      </c>
    </row>
    <row r="708">
      <c r="A708" s="1" t="s">
        <v>707</v>
      </c>
      <c r="D708" s="3">
        <f>IFERROR(__xludf.DUMMYFUNCTION("SPLIT(A708, ""|"")"),43298.0)</f>
        <v>43298</v>
      </c>
      <c r="E708" s="2">
        <f>IFERROR(__xludf.DUMMYFUNCTION("""COMPUTED_VALUE"""),1627773.0)</f>
        <v>1627773</v>
      </c>
      <c r="F708" s="2">
        <f>IFERROR(__xludf.DUMMYFUNCTION("""COMPUTED_VALUE"""),4616455.0)</f>
        <v>4616455</v>
      </c>
      <c r="G708" s="2">
        <f>IFERROR(__xludf.DUMMYFUNCTION("""COMPUTED_VALUE"""),12.1758)</f>
        <v>12.1758</v>
      </c>
    </row>
    <row r="709">
      <c r="A709" s="1" t="s">
        <v>708</v>
      </c>
      <c r="D709" s="3">
        <f>IFERROR(__xludf.DUMMYFUNCTION("SPLIT(A709, ""|"")"),43298.0)</f>
        <v>43298</v>
      </c>
      <c r="E709" s="2">
        <f>IFERROR(__xludf.DUMMYFUNCTION("""COMPUTED_VALUE"""),1569543.0)</f>
        <v>1569543</v>
      </c>
      <c r="F709" s="2">
        <f>IFERROR(__xludf.DUMMYFUNCTION("""COMPUTED_VALUE"""),4617251.0)</f>
        <v>4617251</v>
      </c>
      <c r="G709" s="2">
        <f>IFERROR(__xludf.DUMMYFUNCTION("""COMPUTED_VALUE"""),75.988)</f>
        <v>75.988</v>
      </c>
    </row>
    <row r="710">
      <c r="A710" s="1" t="s">
        <v>709</v>
      </c>
      <c r="D710" s="3">
        <f>IFERROR(__xludf.DUMMYFUNCTION("SPLIT(A710, ""|"")"),43298.0)</f>
        <v>43298</v>
      </c>
      <c r="E710" s="2">
        <f>IFERROR(__xludf.DUMMYFUNCTION("""COMPUTED_VALUE"""),384483.0)</f>
        <v>384483</v>
      </c>
      <c r="F710" s="2">
        <f>IFERROR(__xludf.DUMMYFUNCTION("""COMPUTED_VALUE"""),4615357.0)</f>
        <v>4615357</v>
      </c>
      <c r="G710" s="2">
        <f>IFERROR(__xludf.DUMMYFUNCTION("""COMPUTED_VALUE"""),154.286799999999)</f>
        <v>154.2868</v>
      </c>
    </row>
    <row r="711">
      <c r="A711" s="1" t="s">
        <v>710</v>
      </c>
      <c r="D711" s="3">
        <f>IFERROR(__xludf.DUMMYFUNCTION("SPLIT(A711, ""|"")"),43043.0)</f>
        <v>43043</v>
      </c>
      <c r="E711" s="2">
        <f>IFERROR(__xludf.DUMMYFUNCTION("""COMPUTED_VALUE"""),1144893.0)</f>
        <v>1144893</v>
      </c>
      <c r="F711" s="2">
        <f>IFERROR(__xludf.DUMMYFUNCTION("""COMPUTED_VALUE"""),3915769.0)</f>
        <v>3915769</v>
      </c>
      <c r="G711" s="2">
        <f>IFERROR(__xludf.DUMMYFUNCTION("""COMPUTED_VALUE"""),101.3501)</f>
        <v>101.3501</v>
      </c>
    </row>
    <row r="712">
      <c r="A712" s="1" t="s">
        <v>711</v>
      </c>
      <c r="D712" s="3">
        <f>IFERROR(__xludf.DUMMYFUNCTION("SPLIT(A712, ""|"")"),43043.0)</f>
        <v>43043</v>
      </c>
      <c r="E712" s="2">
        <f>IFERROR(__xludf.DUMMYFUNCTION("""COMPUTED_VALUE"""),1185843.0)</f>
        <v>1185843</v>
      </c>
      <c r="F712" s="2">
        <f>IFERROR(__xludf.DUMMYFUNCTION("""COMPUTED_VALUE"""),3915811.0)</f>
        <v>3915811</v>
      </c>
      <c r="G712" s="2">
        <f>IFERROR(__xludf.DUMMYFUNCTION("""COMPUTED_VALUE"""),73.8482)</f>
        <v>73.8482</v>
      </c>
    </row>
    <row r="713">
      <c r="A713" s="1" t="s">
        <v>712</v>
      </c>
      <c r="D713" s="3">
        <f>IFERROR(__xludf.DUMMYFUNCTION("SPLIT(A713, ""|"")"),43043.0)</f>
        <v>43043</v>
      </c>
      <c r="E713" s="2">
        <f>IFERROR(__xludf.DUMMYFUNCTION("""COMPUTED_VALUE"""),1444053.0)</f>
        <v>1444053</v>
      </c>
      <c r="F713" s="2">
        <f>IFERROR(__xludf.DUMMYFUNCTION("""COMPUTED_VALUE"""),3914837.0)</f>
        <v>3914837</v>
      </c>
      <c r="G713" s="2">
        <f>IFERROR(__xludf.DUMMYFUNCTION("""COMPUTED_VALUE"""),58.8334)</f>
        <v>58.8334</v>
      </c>
    </row>
    <row r="714">
      <c r="A714" s="1" t="s">
        <v>713</v>
      </c>
      <c r="D714" s="3">
        <f>IFERROR(__xludf.DUMMYFUNCTION("SPLIT(A714, ""|"")"),43043.0)</f>
        <v>43043</v>
      </c>
      <c r="E714" s="2">
        <f>IFERROR(__xludf.DUMMYFUNCTION("""COMPUTED_VALUE"""),1239183.0)</f>
        <v>1239183</v>
      </c>
      <c r="F714" s="2">
        <f>IFERROR(__xludf.DUMMYFUNCTION("""COMPUTED_VALUE"""),3915510.0)</f>
        <v>3915510</v>
      </c>
      <c r="G714" s="2">
        <f>IFERROR(__xludf.DUMMYFUNCTION("""COMPUTED_VALUE"""),55.1467)</f>
        <v>55.1467</v>
      </c>
    </row>
    <row r="715">
      <c r="A715" s="1" t="s">
        <v>714</v>
      </c>
      <c r="D715" s="3">
        <f>IFERROR(__xludf.DUMMYFUNCTION("SPLIT(A715, ""|"")"),43043.0)</f>
        <v>43043</v>
      </c>
      <c r="E715" s="2">
        <f>IFERROR(__xludf.DUMMYFUNCTION("""COMPUTED_VALUE"""),1272693.0)</f>
        <v>1272693</v>
      </c>
      <c r="F715" s="2">
        <f>IFERROR(__xludf.DUMMYFUNCTION("""COMPUTED_VALUE"""),3916383.0)</f>
        <v>3916383</v>
      </c>
      <c r="G715" s="2">
        <f>IFERROR(__xludf.DUMMYFUNCTION("""COMPUTED_VALUE"""),109.8844)</f>
        <v>109.8844</v>
      </c>
    </row>
    <row r="716">
      <c r="A716" s="1" t="s">
        <v>715</v>
      </c>
      <c r="D716" s="3">
        <f>IFERROR(__xludf.DUMMYFUNCTION("SPLIT(A716, ""|"")"),43299.0)</f>
        <v>43299</v>
      </c>
      <c r="E716" s="2">
        <f>IFERROR(__xludf.DUMMYFUNCTION("""COMPUTED_VALUE"""),1269453.0)</f>
        <v>1269453</v>
      </c>
      <c r="F716" s="2">
        <f>IFERROR(__xludf.DUMMYFUNCTION("""COMPUTED_VALUE"""),4618652.0)</f>
        <v>4618652</v>
      </c>
      <c r="G716" s="2">
        <f>IFERROR(__xludf.DUMMYFUNCTION("""COMPUTED_VALUE"""),65.2985)</f>
        <v>65.2985</v>
      </c>
    </row>
    <row r="717">
      <c r="A717" s="1" t="s">
        <v>716</v>
      </c>
      <c r="D717" s="3">
        <f>IFERROR(__xludf.DUMMYFUNCTION("SPLIT(A717, ""|"")"),43299.0)</f>
        <v>43299</v>
      </c>
      <c r="E717" s="2">
        <f>IFERROR(__xludf.DUMMYFUNCTION("""COMPUTED_VALUE"""),1435473.0)</f>
        <v>1435473</v>
      </c>
      <c r="F717" s="2">
        <f>IFERROR(__xludf.DUMMYFUNCTION("""COMPUTED_VALUE"""),4617871.0)</f>
        <v>4617871</v>
      </c>
      <c r="G717" s="2">
        <f>IFERROR(__xludf.DUMMYFUNCTION("""COMPUTED_VALUE"""),215.663399999999)</f>
        <v>215.6634</v>
      </c>
    </row>
    <row r="718">
      <c r="A718" s="1" t="s">
        <v>717</v>
      </c>
      <c r="D718" s="3">
        <f>IFERROR(__xludf.DUMMYFUNCTION("SPLIT(A718, ""|"")"),43299.0)</f>
        <v>43299</v>
      </c>
      <c r="E718" s="2">
        <f>IFERROR(__xludf.DUMMYFUNCTION("""COMPUTED_VALUE"""),1455903.0)</f>
        <v>1455903</v>
      </c>
      <c r="F718" s="2">
        <f>IFERROR(__xludf.DUMMYFUNCTION("""COMPUTED_VALUE"""),4618377.0)</f>
        <v>4618377</v>
      </c>
      <c r="G718" s="2">
        <f>IFERROR(__xludf.DUMMYFUNCTION("""COMPUTED_VALUE"""),74.4624)</f>
        <v>74.4624</v>
      </c>
    </row>
    <row r="719">
      <c r="A719" s="1" t="s">
        <v>718</v>
      </c>
      <c r="D719" s="3">
        <f>IFERROR(__xludf.DUMMYFUNCTION("SPLIT(A719, ""|"")"),43299.0)</f>
        <v>43299</v>
      </c>
      <c r="E719" s="2">
        <f>IFERROR(__xludf.DUMMYFUNCTION("""COMPUTED_VALUE"""),1447083.0)</f>
        <v>1447083</v>
      </c>
      <c r="F719" s="2">
        <f>IFERROR(__xludf.DUMMYFUNCTION("""COMPUTED_VALUE"""),4618882.0)</f>
        <v>4618882</v>
      </c>
      <c r="G719" s="2">
        <f>IFERROR(__xludf.DUMMYFUNCTION("""COMPUTED_VALUE"""),103.222799999999)</f>
        <v>103.2228</v>
      </c>
    </row>
    <row r="720">
      <c r="A720" s="1" t="s">
        <v>719</v>
      </c>
      <c r="D720" s="3">
        <f>IFERROR(__xludf.DUMMYFUNCTION("SPLIT(A720, ""|"")"),43044.0)</f>
        <v>43044</v>
      </c>
      <c r="E720" s="2">
        <f>IFERROR(__xludf.DUMMYFUNCTION("""COMPUTED_VALUE"""),848373.0)</f>
        <v>848373</v>
      </c>
      <c r="F720" s="2">
        <f>IFERROR(__xludf.DUMMYFUNCTION("""COMPUTED_VALUE"""),3917041.0)</f>
        <v>3917041</v>
      </c>
      <c r="G720" s="2">
        <f>IFERROR(__xludf.DUMMYFUNCTION("""COMPUTED_VALUE"""),63.3334)</f>
        <v>63.3334</v>
      </c>
    </row>
    <row r="721">
      <c r="A721" s="1" t="s">
        <v>720</v>
      </c>
      <c r="D721" s="3">
        <f>IFERROR(__xludf.DUMMYFUNCTION("SPLIT(A721, ""|"")"),43044.0)</f>
        <v>43044</v>
      </c>
      <c r="E721" s="2">
        <f>IFERROR(__xludf.DUMMYFUNCTION("""COMPUTED_VALUE"""),1125543.0)</f>
        <v>1125543</v>
      </c>
      <c r="F721" s="2">
        <f>IFERROR(__xludf.DUMMYFUNCTION("""COMPUTED_VALUE"""),3919498.0)</f>
        <v>3919498</v>
      </c>
      <c r="G721" s="2">
        <f>IFERROR(__xludf.DUMMYFUNCTION("""COMPUTED_VALUE"""),29.5404999999999)</f>
        <v>29.5405</v>
      </c>
    </row>
    <row r="722">
      <c r="A722" s="1" t="s">
        <v>721</v>
      </c>
      <c r="D722" s="3">
        <f>IFERROR(__xludf.DUMMYFUNCTION("SPLIT(A722, ""|"")"),43044.0)</f>
        <v>43044</v>
      </c>
      <c r="E722" s="2">
        <f>IFERROR(__xludf.DUMMYFUNCTION("""COMPUTED_VALUE"""),1318413.0)</f>
        <v>1318413</v>
      </c>
      <c r="F722" s="2">
        <f>IFERROR(__xludf.DUMMYFUNCTION("""COMPUTED_VALUE"""),3917785.0)</f>
        <v>3917785</v>
      </c>
      <c r="G722" s="2">
        <f>IFERROR(__xludf.DUMMYFUNCTION("""COMPUTED_VALUE"""),68.0906)</f>
        <v>68.0906</v>
      </c>
    </row>
    <row r="723">
      <c r="A723" s="1" t="s">
        <v>722</v>
      </c>
      <c r="D723" s="3">
        <f>IFERROR(__xludf.DUMMYFUNCTION("SPLIT(A723, ""|"")"),43044.0)</f>
        <v>43044</v>
      </c>
      <c r="E723" s="2">
        <f>IFERROR(__xludf.DUMMYFUNCTION("""COMPUTED_VALUE"""),477903.0)</f>
        <v>477903</v>
      </c>
      <c r="F723" s="2">
        <f>IFERROR(__xludf.DUMMYFUNCTION("""COMPUTED_VALUE"""),3917571.0)</f>
        <v>3917571</v>
      </c>
      <c r="G723" s="2">
        <f>IFERROR(__xludf.DUMMYFUNCTION("""COMPUTED_VALUE"""),33.27)</f>
        <v>33.27</v>
      </c>
    </row>
    <row r="724">
      <c r="A724" s="1" t="s">
        <v>723</v>
      </c>
      <c r="D724" s="3">
        <f>IFERROR(__xludf.DUMMYFUNCTION("SPLIT(A724, ""|"")"),43044.0)</f>
        <v>43044</v>
      </c>
      <c r="E724" s="2">
        <f>IFERROR(__xludf.DUMMYFUNCTION("""COMPUTED_VALUE"""),884403.0)</f>
        <v>884403</v>
      </c>
      <c r="F724" s="2">
        <f>IFERROR(__xludf.DUMMYFUNCTION("""COMPUTED_VALUE"""),3918817.0)</f>
        <v>3918817</v>
      </c>
      <c r="G724" s="2">
        <f>IFERROR(__xludf.DUMMYFUNCTION("""COMPUTED_VALUE"""),58.08)</f>
        <v>58.08</v>
      </c>
    </row>
    <row r="725">
      <c r="A725" s="1" t="s">
        <v>724</v>
      </c>
      <c r="D725" s="3">
        <f>IFERROR(__xludf.DUMMYFUNCTION("SPLIT(A725, ""|"")"),43044.0)</f>
        <v>43044</v>
      </c>
      <c r="E725" s="2">
        <f>IFERROR(__xludf.DUMMYFUNCTION("""COMPUTED_VALUE"""),410973.0)</f>
        <v>410973</v>
      </c>
      <c r="F725" s="2">
        <f>IFERROR(__xludf.DUMMYFUNCTION("""COMPUTED_VALUE"""),3919692.0)</f>
        <v>3919692</v>
      </c>
      <c r="G725" s="2">
        <f>IFERROR(__xludf.DUMMYFUNCTION("""COMPUTED_VALUE"""),59.3968)</f>
        <v>59.3968</v>
      </c>
    </row>
    <row r="726">
      <c r="A726" s="1" t="s">
        <v>725</v>
      </c>
      <c r="D726" s="3">
        <f>IFERROR(__xludf.DUMMYFUNCTION("SPLIT(A726, ""|"")"),43044.0)</f>
        <v>43044</v>
      </c>
      <c r="E726" s="2">
        <f>IFERROR(__xludf.DUMMYFUNCTION("""COMPUTED_VALUE"""),1328943.0)</f>
        <v>1328943</v>
      </c>
      <c r="F726" s="2">
        <f>IFERROR(__xludf.DUMMYFUNCTION("""COMPUTED_VALUE"""),3918094.0)</f>
        <v>3918094</v>
      </c>
      <c r="G726" s="2">
        <f>IFERROR(__xludf.DUMMYFUNCTION("""COMPUTED_VALUE"""),55.4446)</f>
        <v>55.4446</v>
      </c>
    </row>
    <row r="727">
      <c r="A727" s="1" t="s">
        <v>726</v>
      </c>
      <c r="D727" s="3">
        <f>IFERROR(__xludf.DUMMYFUNCTION("SPLIT(A727, ""|"")"),43044.0)</f>
        <v>43044</v>
      </c>
      <c r="E727" s="2">
        <f>IFERROR(__xludf.DUMMYFUNCTION("""COMPUTED_VALUE"""),1444863.0)</f>
        <v>1444863</v>
      </c>
      <c r="F727" s="2">
        <f>IFERROR(__xludf.DUMMYFUNCTION("""COMPUTED_VALUE"""),3917853.0)</f>
        <v>3917853</v>
      </c>
      <c r="G727" s="2">
        <f>IFERROR(__xludf.DUMMYFUNCTION("""COMPUTED_VALUE"""),37.5)</f>
        <v>37.5</v>
      </c>
    </row>
    <row r="728">
      <c r="A728" s="1" t="s">
        <v>727</v>
      </c>
      <c r="D728" s="3">
        <f>IFERROR(__xludf.DUMMYFUNCTION("SPLIT(A728, ""|"")"),43300.0)</f>
        <v>43300</v>
      </c>
      <c r="E728" s="2">
        <f>IFERROR(__xludf.DUMMYFUNCTION("""COMPUTED_VALUE"""),1210233.0)</f>
        <v>1210233</v>
      </c>
      <c r="F728" s="2">
        <f>IFERROR(__xludf.DUMMYFUNCTION("""COMPUTED_VALUE"""),4620788.0)</f>
        <v>4620788</v>
      </c>
      <c r="G728" s="2">
        <f>IFERROR(__xludf.DUMMYFUNCTION("""COMPUTED_VALUE"""),69.1032)</f>
        <v>69.1032</v>
      </c>
    </row>
    <row r="729">
      <c r="A729" s="1" t="s">
        <v>728</v>
      </c>
      <c r="D729" s="3">
        <f>IFERROR(__xludf.DUMMYFUNCTION("SPLIT(A729, ""|"")"),43300.0)</f>
        <v>43300</v>
      </c>
      <c r="E729" s="2">
        <f>IFERROR(__xludf.DUMMYFUNCTION("""COMPUTED_VALUE"""),1546173.0)</f>
        <v>1546173</v>
      </c>
      <c r="F729" s="2">
        <f>IFERROR(__xludf.DUMMYFUNCTION("""COMPUTED_VALUE"""),4621314.0)</f>
        <v>4621314</v>
      </c>
      <c r="G729" s="2">
        <f>IFERROR(__xludf.DUMMYFUNCTION("""COMPUTED_VALUE"""),50.2887)</f>
        <v>50.2887</v>
      </c>
    </row>
    <row r="730">
      <c r="A730" s="1" t="s">
        <v>729</v>
      </c>
      <c r="D730" s="3">
        <f>IFERROR(__xludf.DUMMYFUNCTION("SPLIT(A730, ""|"")"),43300.0)</f>
        <v>43300</v>
      </c>
      <c r="E730" s="2">
        <f>IFERROR(__xludf.DUMMYFUNCTION("""COMPUTED_VALUE"""),1628823.0)</f>
        <v>1628823</v>
      </c>
      <c r="F730" s="2">
        <f>IFERROR(__xludf.DUMMYFUNCTION("""COMPUTED_VALUE"""),4621174.0)</f>
        <v>4621174</v>
      </c>
      <c r="G730" s="2">
        <f>IFERROR(__xludf.DUMMYFUNCTION("""COMPUTED_VALUE"""),44.9368999999999)</f>
        <v>44.9369</v>
      </c>
    </row>
    <row r="731">
      <c r="A731" s="1" t="s">
        <v>730</v>
      </c>
      <c r="D731" s="3">
        <f>IFERROR(__xludf.DUMMYFUNCTION("SPLIT(A731, ""|"")"),43300.0)</f>
        <v>43300</v>
      </c>
      <c r="E731" s="2">
        <f>IFERROR(__xludf.DUMMYFUNCTION("""COMPUTED_VALUE"""),1300023.0)</f>
        <v>1300023</v>
      </c>
      <c r="F731" s="2">
        <f>IFERROR(__xludf.DUMMYFUNCTION("""COMPUTED_VALUE"""),4621535.0)</f>
        <v>4621535</v>
      </c>
      <c r="G731" s="2">
        <f>IFERROR(__xludf.DUMMYFUNCTION("""COMPUTED_VALUE"""),66.1334)</f>
        <v>66.1334</v>
      </c>
    </row>
    <row r="732">
      <c r="A732" s="1" t="s">
        <v>731</v>
      </c>
      <c r="D732" s="3">
        <f>IFERROR(__xludf.DUMMYFUNCTION("SPLIT(A732, ""|"")"),43045.0)</f>
        <v>43045</v>
      </c>
      <c r="E732" s="2">
        <f>IFERROR(__xludf.DUMMYFUNCTION("""COMPUTED_VALUE"""),1247553.0)</f>
        <v>1247553</v>
      </c>
      <c r="F732" s="2">
        <f>IFERROR(__xludf.DUMMYFUNCTION("""COMPUTED_VALUE"""),3921931.0)</f>
        <v>3921931</v>
      </c>
      <c r="G732" s="2">
        <f>IFERROR(__xludf.DUMMYFUNCTION("""COMPUTED_VALUE"""),45.1832999999999)</f>
        <v>45.1833</v>
      </c>
    </row>
    <row r="733">
      <c r="A733" s="1" t="s">
        <v>732</v>
      </c>
      <c r="D733" s="3">
        <f>IFERROR(__xludf.DUMMYFUNCTION("SPLIT(A733, ""|"")"),43045.0)</f>
        <v>43045</v>
      </c>
      <c r="E733" s="2">
        <f>IFERROR(__xludf.DUMMYFUNCTION("""COMPUTED_VALUE"""),1194483.0)</f>
        <v>1194483</v>
      </c>
      <c r="F733" s="2">
        <f>IFERROR(__xludf.DUMMYFUNCTION("""COMPUTED_VALUE"""),3923334.0)</f>
        <v>3923334</v>
      </c>
      <c r="G733" s="2">
        <f>IFERROR(__xludf.DUMMYFUNCTION("""COMPUTED_VALUE"""),122.5394)</f>
        <v>122.5394</v>
      </c>
    </row>
    <row r="734">
      <c r="A734" s="1" t="s">
        <v>733</v>
      </c>
      <c r="D734" s="3">
        <f>IFERROR(__xludf.DUMMYFUNCTION("SPLIT(A734, ""|"")"),43045.0)</f>
        <v>43045</v>
      </c>
      <c r="E734" s="2">
        <f>IFERROR(__xludf.DUMMYFUNCTION("""COMPUTED_VALUE"""),1344573.0)</f>
        <v>1344573</v>
      </c>
      <c r="F734" s="2">
        <f>IFERROR(__xludf.DUMMYFUNCTION("""COMPUTED_VALUE"""),3921247.0)</f>
        <v>3921247</v>
      </c>
      <c r="G734" s="2">
        <f>IFERROR(__xludf.DUMMYFUNCTION("""COMPUTED_VALUE"""),341.8318)</f>
        <v>341.8318</v>
      </c>
    </row>
    <row r="735">
      <c r="A735" s="1" t="s">
        <v>734</v>
      </c>
      <c r="D735" s="3">
        <f>IFERROR(__xludf.DUMMYFUNCTION("SPLIT(A735, ""|"")"),43045.0)</f>
        <v>43045</v>
      </c>
      <c r="E735" s="2">
        <f>IFERROR(__xludf.DUMMYFUNCTION("""COMPUTED_VALUE"""),1446063.0)</f>
        <v>1446063</v>
      </c>
      <c r="F735" s="2">
        <f>IFERROR(__xludf.DUMMYFUNCTION("""COMPUTED_VALUE"""),3923019.0)</f>
        <v>3923019</v>
      </c>
      <c r="G735" s="2">
        <f>IFERROR(__xludf.DUMMYFUNCTION("""COMPUTED_VALUE"""),65.1802)</f>
        <v>65.1802</v>
      </c>
    </row>
    <row r="736">
      <c r="A736" s="1" t="s">
        <v>735</v>
      </c>
      <c r="D736" s="3">
        <f>IFERROR(__xludf.DUMMYFUNCTION("SPLIT(A736, ""|"")"),43045.0)</f>
        <v>43045</v>
      </c>
      <c r="E736" s="2">
        <f>IFERROR(__xludf.DUMMYFUNCTION("""COMPUTED_VALUE"""),1423773.0)</f>
        <v>1423773</v>
      </c>
      <c r="F736" s="2">
        <f>IFERROR(__xludf.DUMMYFUNCTION("""COMPUTED_VALUE"""),3920758.0)</f>
        <v>3920758</v>
      </c>
      <c r="G736" s="2">
        <f>IFERROR(__xludf.DUMMYFUNCTION("""COMPUTED_VALUE"""),46.5605)</f>
        <v>46.5605</v>
      </c>
    </row>
    <row r="737">
      <c r="A737" s="1" t="s">
        <v>736</v>
      </c>
      <c r="D737" s="3">
        <f>IFERROR(__xludf.DUMMYFUNCTION("SPLIT(A737, ""|"")"),43045.0)</f>
        <v>43045</v>
      </c>
      <c r="E737" s="2">
        <f>IFERROR(__xludf.DUMMYFUNCTION("""COMPUTED_VALUE"""),1239273.0)</f>
        <v>1239273</v>
      </c>
      <c r="F737" s="2">
        <f>IFERROR(__xludf.DUMMYFUNCTION("""COMPUTED_VALUE"""),3920722.0)</f>
        <v>3920722</v>
      </c>
      <c r="G737" s="2">
        <f>IFERROR(__xludf.DUMMYFUNCTION("""COMPUTED_VALUE"""),94.6251999999999)</f>
        <v>94.6252</v>
      </c>
    </row>
    <row r="738">
      <c r="A738" s="1" t="s">
        <v>737</v>
      </c>
      <c r="D738" s="3">
        <f>IFERROR(__xludf.DUMMYFUNCTION("SPLIT(A738, ""|"")"),43045.0)</f>
        <v>43045</v>
      </c>
      <c r="E738" s="2">
        <f>IFERROR(__xludf.DUMMYFUNCTION("""COMPUTED_VALUE"""),1433553.0)</f>
        <v>1433553</v>
      </c>
      <c r="F738" s="2">
        <f>IFERROR(__xludf.DUMMYFUNCTION("""COMPUTED_VALUE"""),3921052.0)</f>
        <v>3921052</v>
      </c>
      <c r="G738" s="2">
        <f>IFERROR(__xludf.DUMMYFUNCTION("""COMPUTED_VALUE"""),129.2094)</f>
        <v>129.2094</v>
      </c>
    </row>
    <row r="739">
      <c r="A739" s="1" t="s">
        <v>738</v>
      </c>
      <c r="D739" s="3">
        <f>IFERROR(__xludf.DUMMYFUNCTION("SPLIT(A739, ""|"")"),43301.0)</f>
        <v>43301</v>
      </c>
      <c r="E739" s="2">
        <f>IFERROR(__xludf.DUMMYFUNCTION("""COMPUTED_VALUE"""),1451553.0)</f>
        <v>1451553</v>
      </c>
      <c r="F739" s="2">
        <f>IFERROR(__xludf.DUMMYFUNCTION("""COMPUTED_VALUE"""),4623197.0)</f>
        <v>4623197</v>
      </c>
      <c r="G739" s="2">
        <f>IFERROR(__xludf.DUMMYFUNCTION("""COMPUTED_VALUE"""),89.1144999999999)</f>
        <v>89.1145</v>
      </c>
    </row>
    <row r="740">
      <c r="A740" s="1" t="s">
        <v>739</v>
      </c>
      <c r="D740" s="3">
        <f>IFERROR(__xludf.DUMMYFUNCTION("SPLIT(A740, ""|"")"),43301.0)</f>
        <v>43301</v>
      </c>
      <c r="E740" s="2">
        <f>IFERROR(__xludf.DUMMYFUNCTION("""COMPUTED_VALUE"""),1433223.0)</f>
        <v>1433223</v>
      </c>
      <c r="F740" s="2">
        <f>IFERROR(__xludf.DUMMYFUNCTION("""COMPUTED_VALUE"""),4623028.0)</f>
        <v>4623028</v>
      </c>
      <c r="G740" s="2">
        <f>IFERROR(__xludf.DUMMYFUNCTION("""COMPUTED_VALUE"""),17.7795)</f>
        <v>17.7795</v>
      </c>
    </row>
    <row r="741">
      <c r="A741" s="1" t="s">
        <v>740</v>
      </c>
      <c r="D741" s="3">
        <f>IFERROR(__xludf.DUMMYFUNCTION("SPLIT(A741, ""|"")"),43301.0)</f>
        <v>43301</v>
      </c>
      <c r="E741" s="2">
        <f>IFERROR(__xludf.DUMMYFUNCTION("""COMPUTED_VALUE"""),1428633.0)</f>
        <v>1428633</v>
      </c>
      <c r="F741" s="2">
        <f>IFERROR(__xludf.DUMMYFUNCTION("""COMPUTED_VALUE"""),4622597.0)</f>
        <v>4622597</v>
      </c>
      <c r="G741" s="2">
        <f>IFERROR(__xludf.DUMMYFUNCTION("""COMPUTED_VALUE"""),140.219)</f>
        <v>140.219</v>
      </c>
    </row>
    <row r="742">
      <c r="A742" s="1" t="s">
        <v>741</v>
      </c>
      <c r="D742" s="3">
        <f>IFERROR(__xludf.DUMMYFUNCTION("SPLIT(A742, ""|"")"),43301.0)</f>
        <v>43301</v>
      </c>
      <c r="E742" s="2">
        <f>IFERROR(__xludf.DUMMYFUNCTION("""COMPUTED_VALUE"""),1324833.0)</f>
        <v>1324833</v>
      </c>
      <c r="F742" s="2">
        <f>IFERROR(__xludf.DUMMYFUNCTION("""COMPUTED_VALUE"""),4622351.0)</f>
        <v>4622351</v>
      </c>
      <c r="G742" s="2">
        <f>IFERROR(__xludf.DUMMYFUNCTION("""COMPUTED_VALUE"""),33.1659)</f>
        <v>33.1659</v>
      </c>
    </row>
    <row r="743">
      <c r="A743" s="1" t="s">
        <v>742</v>
      </c>
      <c r="D743" s="3">
        <f>IFERROR(__xludf.DUMMYFUNCTION("SPLIT(A743, ""|"")"),43046.0)</f>
        <v>43046</v>
      </c>
      <c r="E743" s="2">
        <f>IFERROR(__xludf.DUMMYFUNCTION("""COMPUTED_VALUE"""),1446603.0)</f>
        <v>1446603</v>
      </c>
      <c r="F743" s="2">
        <f>IFERROR(__xludf.DUMMYFUNCTION("""COMPUTED_VALUE"""),3925381.0)</f>
        <v>3925381</v>
      </c>
      <c r="G743" s="2">
        <f>IFERROR(__xludf.DUMMYFUNCTION("""COMPUTED_VALUE"""),9.3103)</f>
        <v>9.3103</v>
      </c>
    </row>
    <row r="744">
      <c r="A744" s="1" t="s">
        <v>743</v>
      </c>
      <c r="D744" s="3">
        <f>IFERROR(__xludf.DUMMYFUNCTION("SPLIT(A744, ""|"")"),43046.0)</f>
        <v>43046</v>
      </c>
      <c r="E744" s="2">
        <f>IFERROR(__xludf.DUMMYFUNCTION("""COMPUTED_VALUE"""),1046973.0)</f>
        <v>1046973</v>
      </c>
      <c r="F744" s="2">
        <f>IFERROR(__xludf.DUMMYFUNCTION("""COMPUTED_VALUE"""),3924353.0)</f>
        <v>3924353</v>
      </c>
      <c r="G744" s="2">
        <f>IFERROR(__xludf.DUMMYFUNCTION("""COMPUTED_VALUE"""),7.7652)</f>
        <v>7.7652</v>
      </c>
    </row>
    <row r="745">
      <c r="A745" s="1" t="s">
        <v>744</v>
      </c>
      <c r="D745" s="3">
        <f>IFERROR(__xludf.DUMMYFUNCTION("SPLIT(A745, ""|"")"),43046.0)</f>
        <v>43046</v>
      </c>
      <c r="E745" s="2">
        <f>IFERROR(__xludf.DUMMYFUNCTION("""COMPUTED_VALUE"""),1238583.0)</f>
        <v>1238583</v>
      </c>
      <c r="F745" s="2">
        <f>IFERROR(__xludf.DUMMYFUNCTION("""COMPUTED_VALUE"""),3924503.0)</f>
        <v>3924503</v>
      </c>
      <c r="G745" s="2">
        <f>IFERROR(__xludf.DUMMYFUNCTION("""COMPUTED_VALUE"""),62.3226)</f>
        <v>62.3226</v>
      </c>
    </row>
    <row r="746">
      <c r="A746" s="1" t="s">
        <v>745</v>
      </c>
      <c r="D746" s="3">
        <f>IFERROR(__xludf.DUMMYFUNCTION("SPLIT(A746, ""|"")"),43046.0)</f>
        <v>43046</v>
      </c>
      <c r="E746" s="2">
        <f>IFERROR(__xludf.DUMMYFUNCTION("""COMPUTED_VALUE"""),1344243.0)</f>
        <v>1344243</v>
      </c>
      <c r="F746" s="2">
        <f>IFERROR(__xludf.DUMMYFUNCTION("""COMPUTED_VALUE"""),3924264.0)</f>
        <v>3924264</v>
      </c>
      <c r="G746" s="2">
        <f>IFERROR(__xludf.DUMMYFUNCTION("""COMPUTED_VALUE"""),36.1245)</f>
        <v>36.1245</v>
      </c>
    </row>
    <row r="747">
      <c r="A747" s="1" t="s">
        <v>746</v>
      </c>
      <c r="D747" s="3">
        <f>IFERROR(__xludf.DUMMYFUNCTION("SPLIT(A747, ""|"")"),43302.0)</f>
        <v>43302</v>
      </c>
      <c r="E747" s="2">
        <f>IFERROR(__xludf.DUMMYFUNCTION("""COMPUTED_VALUE"""),1427553.0)</f>
        <v>1427553</v>
      </c>
      <c r="F747" s="2">
        <f>IFERROR(__xludf.DUMMYFUNCTION("""COMPUTED_VALUE"""),4625143.0)</f>
        <v>4625143</v>
      </c>
      <c r="G747" s="2">
        <f>IFERROR(__xludf.DUMMYFUNCTION("""COMPUTED_VALUE"""),43.4036)</f>
        <v>43.4036</v>
      </c>
    </row>
    <row r="748">
      <c r="A748" s="1" t="s">
        <v>747</v>
      </c>
      <c r="D748" s="3">
        <f>IFERROR(__xludf.DUMMYFUNCTION("SPLIT(A748, ""|"")"),43302.0)</f>
        <v>43302</v>
      </c>
      <c r="E748" s="2">
        <f>IFERROR(__xludf.DUMMYFUNCTION("""COMPUTED_VALUE"""),152853.0)</f>
        <v>152853</v>
      </c>
      <c r="F748" s="2">
        <f>IFERROR(__xludf.DUMMYFUNCTION("""COMPUTED_VALUE"""),4625563.0)</f>
        <v>4625563</v>
      </c>
      <c r="G748" s="2">
        <f>IFERROR(__xludf.DUMMYFUNCTION("""COMPUTED_VALUE"""),83.8926)</f>
        <v>83.8926</v>
      </c>
    </row>
    <row r="749">
      <c r="A749" s="1" t="s">
        <v>748</v>
      </c>
      <c r="D749" s="3">
        <f>IFERROR(__xludf.DUMMYFUNCTION("SPLIT(A749, ""|"")"),43302.0)</f>
        <v>43302</v>
      </c>
      <c r="E749" s="2">
        <f>IFERROR(__xludf.DUMMYFUNCTION("""COMPUTED_VALUE"""),1376643.0)</f>
        <v>1376643</v>
      </c>
      <c r="F749" s="2">
        <f>IFERROR(__xludf.DUMMYFUNCTION("""COMPUTED_VALUE"""),4624263.0)</f>
        <v>4624263</v>
      </c>
      <c r="G749" s="2">
        <f>IFERROR(__xludf.DUMMYFUNCTION("""COMPUTED_VALUE"""),61.1245)</f>
        <v>61.1245</v>
      </c>
    </row>
    <row r="750">
      <c r="A750" s="1" t="s">
        <v>749</v>
      </c>
      <c r="D750" s="3">
        <f>IFERROR(__xludf.DUMMYFUNCTION("SPLIT(A750, ""|"")"),43047.0)</f>
        <v>43047</v>
      </c>
      <c r="E750" s="2">
        <f>IFERROR(__xludf.DUMMYFUNCTION("""COMPUTED_VALUE"""),1447083.0)</f>
        <v>1447083</v>
      </c>
      <c r="F750" s="2">
        <f>IFERROR(__xludf.DUMMYFUNCTION("""COMPUTED_VALUE"""),3927235.0)</f>
        <v>3927235</v>
      </c>
      <c r="G750" s="2">
        <f>IFERROR(__xludf.DUMMYFUNCTION("""COMPUTED_VALUE"""),143.491599999999)</f>
        <v>143.4916</v>
      </c>
    </row>
    <row r="751">
      <c r="A751" s="1" t="s">
        <v>750</v>
      </c>
      <c r="D751" s="3">
        <f>IFERROR(__xludf.DUMMYFUNCTION("SPLIT(A751, ""|"")"),43047.0)</f>
        <v>43047</v>
      </c>
      <c r="E751" s="2">
        <f>IFERROR(__xludf.DUMMYFUNCTION("""COMPUTED_VALUE"""),1237893.0)</f>
        <v>1237893</v>
      </c>
      <c r="F751" s="2">
        <f>IFERROR(__xludf.DUMMYFUNCTION("""COMPUTED_VALUE"""),3928077.0)</f>
        <v>3928077</v>
      </c>
      <c r="G751" s="2">
        <f>IFERROR(__xludf.DUMMYFUNCTION("""COMPUTED_VALUE"""),72.711)</f>
        <v>72.711</v>
      </c>
    </row>
    <row r="752">
      <c r="A752" s="1" t="s">
        <v>751</v>
      </c>
      <c r="D752" s="3">
        <f>IFERROR(__xludf.DUMMYFUNCTION("SPLIT(A752, ""|"")"),43047.0)</f>
        <v>43047</v>
      </c>
      <c r="E752" s="2">
        <f>IFERROR(__xludf.DUMMYFUNCTION("""COMPUTED_VALUE"""),1278843.0)</f>
        <v>1278843</v>
      </c>
      <c r="F752" s="2">
        <f>IFERROR(__xludf.DUMMYFUNCTION("""COMPUTED_VALUE"""),3927712.0)</f>
        <v>3927712</v>
      </c>
      <c r="G752" s="2">
        <f>IFERROR(__xludf.DUMMYFUNCTION("""COMPUTED_VALUE"""),22.1582999999999)</f>
        <v>22.1583</v>
      </c>
    </row>
    <row r="753">
      <c r="A753" s="1" t="s">
        <v>752</v>
      </c>
      <c r="D753" s="3">
        <f>IFERROR(__xludf.DUMMYFUNCTION("SPLIT(A753, ""|"")"),43047.0)</f>
        <v>43047</v>
      </c>
      <c r="E753" s="2">
        <f>IFERROR(__xludf.DUMMYFUNCTION("""COMPUTED_VALUE"""),1291233.0)</f>
        <v>1291233</v>
      </c>
      <c r="F753" s="2">
        <f>IFERROR(__xludf.DUMMYFUNCTION("""COMPUTED_VALUE"""),3926911.0)</f>
        <v>3926911</v>
      </c>
      <c r="G753" s="2">
        <f>IFERROR(__xludf.DUMMYFUNCTION("""COMPUTED_VALUE"""),114.1033)</f>
        <v>114.1033</v>
      </c>
    </row>
    <row r="754">
      <c r="A754" s="1" t="s">
        <v>753</v>
      </c>
      <c r="D754" s="3">
        <f>IFERROR(__xludf.DUMMYFUNCTION("SPLIT(A754, ""|"")"),43303.0)</f>
        <v>43303</v>
      </c>
      <c r="E754" s="2">
        <f>IFERROR(__xludf.DUMMYFUNCTION("""COMPUTED_VALUE"""),1630293.0)</f>
        <v>1630293</v>
      </c>
      <c r="F754" s="2">
        <f>IFERROR(__xludf.DUMMYFUNCTION("""COMPUTED_VALUE"""),4626820.0)</f>
        <v>4626820</v>
      </c>
      <c r="G754" s="2">
        <f>IFERROR(__xludf.DUMMYFUNCTION("""COMPUTED_VALUE"""),10.2771)</f>
        <v>10.2771</v>
      </c>
    </row>
    <row r="755">
      <c r="A755" s="1" t="s">
        <v>754</v>
      </c>
      <c r="D755" s="3">
        <f>IFERROR(__xludf.DUMMYFUNCTION("SPLIT(A755, ""|"")"),43303.0)</f>
        <v>43303</v>
      </c>
      <c r="E755" s="2">
        <f>IFERROR(__xludf.DUMMYFUNCTION("""COMPUTED_VALUE"""),1251393.0)</f>
        <v>1251393</v>
      </c>
      <c r="F755" s="2">
        <f>IFERROR(__xludf.DUMMYFUNCTION("""COMPUTED_VALUE"""),4625846.0)</f>
        <v>4625846</v>
      </c>
      <c r="G755" s="2">
        <f>IFERROR(__xludf.DUMMYFUNCTION("""COMPUTED_VALUE"""),52.2485999999999)</f>
        <v>52.2486</v>
      </c>
    </row>
    <row r="756">
      <c r="A756" s="1" t="s">
        <v>755</v>
      </c>
      <c r="D756" s="3">
        <f>IFERROR(__xludf.DUMMYFUNCTION("SPLIT(A756, ""|"")"),43303.0)</f>
        <v>43303</v>
      </c>
      <c r="E756" s="2">
        <f>IFERROR(__xludf.DUMMYFUNCTION("""COMPUTED_VALUE"""),1478673.0)</f>
        <v>1478673</v>
      </c>
      <c r="F756" s="2">
        <f>IFERROR(__xludf.DUMMYFUNCTION("""COMPUTED_VALUE"""),4627909.0)</f>
        <v>4627909</v>
      </c>
      <c r="G756" s="2">
        <f>IFERROR(__xludf.DUMMYFUNCTION("""COMPUTED_VALUE"""),194.8039)</f>
        <v>194.8039</v>
      </c>
    </row>
    <row r="757">
      <c r="A757" s="1" t="s">
        <v>756</v>
      </c>
      <c r="D757" s="3">
        <f>IFERROR(__xludf.DUMMYFUNCTION("SPLIT(A757, ""|"")"),43303.0)</f>
        <v>43303</v>
      </c>
      <c r="E757" s="2">
        <f>IFERROR(__xludf.DUMMYFUNCTION("""COMPUTED_VALUE"""),1030023.0)</f>
        <v>1030023</v>
      </c>
      <c r="F757" s="2">
        <f>IFERROR(__xludf.DUMMYFUNCTION("""COMPUTED_VALUE"""),4626045.0)</f>
        <v>4626045</v>
      </c>
      <c r="G757" s="2">
        <f>IFERROR(__xludf.DUMMYFUNCTION("""COMPUTED_VALUE"""),113.334299999999)</f>
        <v>113.3343</v>
      </c>
    </row>
    <row r="758">
      <c r="A758" s="1" t="s">
        <v>757</v>
      </c>
      <c r="D758" s="3">
        <f>IFERROR(__xludf.DUMMYFUNCTION("SPLIT(A758, ""|"")"),43303.0)</f>
        <v>43303</v>
      </c>
      <c r="E758" s="2">
        <f>IFERROR(__xludf.DUMMYFUNCTION("""COMPUTED_VALUE"""),1630083.0)</f>
        <v>1630083</v>
      </c>
      <c r="F758" s="2">
        <f>IFERROR(__xludf.DUMMYFUNCTION("""COMPUTED_VALUE"""),4626084.0)</f>
        <v>4626084</v>
      </c>
      <c r="G758" s="2">
        <f>IFERROR(__xludf.DUMMYFUNCTION("""COMPUTED_VALUE"""),146.6593)</f>
        <v>146.6593</v>
      </c>
    </row>
    <row r="759">
      <c r="A759" s="1" t="s">
        <v>758</v>
      </c>
      <c r="D759" s="3">
        <f>IFERROR(__xludf.DUMMYFUNCTION("SPLIT(A759, ""|"")"),43303.0)</f>
        <v>43303</v>
      </c>
      <c r="E759" s="2">
        <f>IFERROR(__xludf.DUMMYFUNCTION("""COMPUTED_VALUE"""),1426383.0)</f>
        <v>1426383</v>
      </c>
      <c r="F759" s="2">
        <f>IFERROR(__xludf.DUMMYFUNCTION("""COMPUTED_VALUE"""),4627473.0)</f>
        <v>4627473</v>
      </c>
      <c r="G759" s="2">
        <f>IFERROR(__xludf.DUMMYFUNCTION("""COMPUTED_VALUE"""),73.4802)</f>
        <v>73.4802</v>
      </c>
    </row>
    <row r="760">
      <c r="A760" s="1" t="s">
        <v>759</v>
      </c>
      <c r="D760" s="3">
        <f>IFERROR(__xludf.DUMMYFUNCTION("SPLIT(A760, ""|"")"),43303.0)</f>
        <v>43303</v>
      </c>
      <c r="E760" s="2">
        <f>IFERROR(__xludf.DUMMYFUNCTION("""COMPUTED_VALUE"""),1630473.0)</f>
        <v>1630473</v>
      </c>
      <c r="F760" s="2">
        <f>IFERROR(__xludf.DUMMYFUNCTION("""COMPUTED_VALUE"""),4627613.0)</f>
        <v>4627613</v>
      </c>
      <c r="G760" s="2">
        <f>IFERROR(__xludf.DUMMYFUNCTION("""COMPUTED_VALUE"""),13.7482)</f>
        <v>13.7482</v>
      </c>
    </row>
    <row r="761">
      <c r="A761" s="1" t="s">
        <v>760</v>
      </c>
      <c r="D761" s="3">
        <f>IFERROR(__xludf.DUMMYFUNCTION("SPLIT(A761, ""|"")"),43303.0)</f>
        <v>43303</v>
      </c>
      <c r="E761" s="2">
        <f>IFERROR(__xludf.DUMMYFUNCTION("""COMPUTED_VALUE"""),1441833.0)</f>
        <v>1441833</v>
      </c>
      <c r="F761" s="2">
        <f>IFERROR(__xludf.DUMMYFUNCTION("""COMPUTED_VALUE"""),4627701.0)</f>
        <v>4627701</v>
      </c>
      <c r="G761" s="2">
        <f>IFERROR(__xludf.DUMMYFUNCTION("""COMPUTED_VALUE"""),54.7469)</f>
        <v>54.7469</v>
      </c>
    </row>
    <row r="762">
      <c r="A762" s="1" t="s">
        <v>761</v>
      </c>
      <c r="D762" s="3">
        <f>IFERROR(__xludf.DUMMYFUNCTION("SPLIT(A762, ""|"")"),43303.0)</f>
        <v>43303</v>
      </c>
      <c r="E762" s="2">
        <f>IFERROR(__xludf.DUMMYFUNCTION("""COMPUTED_VALUE"""),1381683.0)</f>
        <v>1381683</v>
      </c>
      <c r="F762" s="2">
        <f>IFERROR(__xludf.DUMMYFUNCTION("""COMPUTED_VALUE"""),4626619.0)</f>
        <v>4626619</v>
      </c>
      <c r="G762" s="2">
        <f>IFERROR(__xludf.DUMMYFUNCTION("""COMPUTED_VALUE"""),16.6074)</f>
        <v>16.6074</v>
      </c>
    </row>
    <row r="763">
      <c r="A763" s="1" t="s">
        <v>762</v>
      </c>
      <c r="D763" s="3">
        <f>IFERROR(__xludf.DUMMYFUNCTION("SPLIT(A763, ""|"")"),43303.0)</f>
        <v>43303</v>
      </c>
      <c r="E763" s="2">
        <f>IFERROR(__xludf.DUMMYFUNCTION("""COMPUTED_VALUE"""),1630143.0)</f>
        <v>1630143</v>
      </c>
      <c r="F763" s="2">
        <f>IFERROR(__xludf.DUMMYFUNCTION("""COMPUTED_VALUE"""),4626304.0)</f>
        <v>4626304</v>
      </c>
      <c r="G763" s="2">
        <f>IFERROR(__xludf.DUMMYFUNCTION("""COMPUTED_VALUE"""),18.282)</f>
        <v>18.282</v>
      </c>
    </row>
    <row r="764">
      <c r="A764" s="1" t="s">
        <v>763</v>
      </c>
      <c r="D764" s="3">
        <f>IFERROR(__xludf.DUMMYFUNCTION("SPLIT(A764, ""|"")"),43303.0)</f>
        <v>43303</v>
      </c>
      <c r="E764" s="2">
        <f>IFERROR(__xludf.DUMMYFUNCTION("""COMPUTED_VALUE"""),1612473.0)</f>
        <v>1612473</v>
      </c>
      <c r="F764" s="2">
        <f>IFERROR(__xludf.DUMMYFUNCTION("""COMPUTED_VALUE"""),4626314.0)</f>
        <v>4626314</v>
      </c>
      <c r="G764" s="2">
        <f>IFERROR(__xludf.DUMMYFUNCTION("""COMPUTED_VALUE"""),25.0069999999999)</f>
        <v>25.007</v>
      </c>
    </row>
    <row r="765">
      <c r="A765" s="1" t="s">
        <v>764</v>
      </c>
      <c r="D765" s="3">
        <f>IFERROR(__xludf.DUMMYFUNCTION("SPLIT(A765, ""|"")"),43303.0)</f>
        <v>43303</v>
      </c>
      <c r="E765" s="2">
        <f>IFERROR(__xludf.DUMMYFUNCTION("""COMPUTED_VALUE"""),1195233.0)</f>
        <v>1195233</v>
      </c>
      <c r="F765" s="2">
        <f>IFERROR(__xludf.DUMMYFUNCTION("""COMPUTED_VALUE"""),4626222.0)</f>
        <v>4626222</v>
      </c>
      <c r="G765" s="2">
        <f>IFERROR(__xludf.DUMMYFUNCTION("""COMPUTED_VALUE"""),60.1779)</f>
        <v>60.1779</v>
      </c>
    </row>
    <row r="766">
      <c r="A766" s="1" t="s">
        <v>765</v>
      </c>
      <c r="D766" s="3">
        <f>IFERROR(__xludf.DUMMYFUNCTION("SPLIT(A766, ""|"")"),43048.0)</f>
        <v>43048</v>
      </c>
      <c r="E766" s="2">
        <f>IFERROR(__xludf.DUMMYFUNCTION("""COMPUTED_VALUE"""),1244073.0)</f>
        <v>1244073</v>
      </c>
      <c r="F766" s="2">
        <f>IFERROR(__xludf.DUMMYFUNCTION("""COMPUTED_VALUE"""),3929850.0)</f>
        <v>3929850</v>
      </c>
      <c r="G766" s="2">
        <f>IFERROR(__xludf.DUMMYFUNCTION("""COMPUTED_VALUE"""),76.5213)</f>
        <v>76.5213</v>
      </c>
    </row>
    <row r="767">
      <c r="A767" s="1" t="s">
        <v>766</v>
      </c>
      <c r="D767" s="3">
        <f>IFERROR(__xludf.DUMMYFUNCTION("SPLIT(A767, ""|"")"),43048.0)</f>
        <v>43048</v>
      </c>
      <c r="E767" s="2">
        <f>IFERROR(__xludf.DUMMYFUNCTION("""COMPUTED_VALUE"""),1447983.0)</f>
        <v>1447983</v>
      </c>
      <c r="F767" s="2">
        <f>IFERROR(__xludf.DUMMYFUNCTION("""COMPUTED_VALUE"""),3930851.0)</f>
        <v>3930851</v>
      </c>
      <c r="G767" s="2">
        <f>IFERROR(__xludf.DUMMYFUNCTION("""COMPUTED_VALUE"""),69.4036)</f>
        <v>69.4036</v>
      </c>
    </row>
    <row r="768">
      <c r="A768" s="1" t="s">
        <v>767</v>
      </c>
      <c r="D768" s="3">
        <f>IFERROR(__xludf.DUMMYFUNCTION("SPLIT(A768, ""|"")"),43048.0)</f>
        <v>43048</v>
      </c>
      <c r="E768" s="2">
        <f>IFERROR(__xludf.DUMMYFUNCTION("""COMPUTED_VALUE"""),1345623.0)</f>
        <v>1345623</v>
      </c>
      <c r="F768" s="2">
        <f>IFERROR(__xludf.DUMMYFUNCTION("""COMPUTED_VALUE"""),3931499.0)</f>
        <v>3931499</v>
      </c>
      <c r="G768" s="2">
        <f>IFERROR(__xludf.DUMMYFUNCTION("""COMPUTED_VALUE"""),19.9166)</f>
        <v>19.9166</v>
      </c>
    </row>
    <row r="769">
      <c r="A769" s="1" t="s">
        <v>768</v>
      </c>
      <c r="D769" s="3">
        <f>IFERROR(__xludf.DUMMYFUNCTION("SPLIT(A769, ""|"")"),43048.0)</f>
        <v>43048</v>
      </c>
      <c r="E769" s="2">
        <f>IFERROR(__xludf.DUMMYFUNCTION("""COMPUTED_VALUE"""),1170063.0)</f>
        <v>1170063</v>
      </c>
      <c r="F769" s="2">
        <f>IFERROR(__xludf.DUMMYFUNCTION("""COMPUTED_VALUE"""),3931255.0)</f>
        <v>3931255</v>
      </c>
      <c r="G769" s="2">
        <f>IFERROR(__xludf.DUMMYFUNCTION("""COMPUTED_VALUE"""),67.65)</f>
        <v>67.65</v>
      </c>
    </row>
    <row r="770">
      <c r="A770" s="1" t="s">
        <v>769</v>
      </c>
      <c r="D770" s="3">
        <f>IFERROR(__xludf.DUMMYFUNCTION("SPLIT(A770, ""|"")"),43304.0)</f>
        <v>43304</v>
      </c>
      <c r="E770" s="2">
        <f>IFERROR(__xludf.DUMMYFUNCTION("""COMPUTED_VALUE"""),1630743.0)</f>
        <v>1630743</v>
      </c>
      <c r="F770" s="2">
        <f>IFERROR(__xludf.DUMMYFUNCTION("""COMPUTED_VALUE"""),4628882.0)</f>
        <v>4628882</v>
      </c>
      <c r="G770" s="2">
        <f>IFERROR(__xludf.DUMMYFUNCTION("""COMPUTED_VALUE"""),53.5333)</f>
        <v>53.5333</v>
      </c>
    </row>
    <row r="771">
      <c r="A771" s="1" t="s">
        <v>770</v>
      </c>
      <c r="D771" s="3">
        <f>IFERROR(__xludf.DUMMYFUNCTION("SPLIT(A771, ""|"")"),43304.0)</f>
        <v>43304</v>
      </c>
      <c r="E771" s="2">
        <f>IFERROR(__xludf.DUMMYFUNCTION("""COMPUTED_VALUE"""),1204983.0)</f>
        <v>1204983</v>
      </c>
      <c r="F771" s="2">
        <f>IFERROR(__xludf.DUMMYFUNCTION("""COMPUTED_VALUE"""),4630820.0)</f>
        <v>4630820</v>
      </c>
      <c r="G771" s="2">
        <f>IFERROR(__xludf.DUMMYFUNCTION("""COMPUTED_VALUE"""),65.6536)</f>
        <v>65.6536</v>
      </c>
    </row>
    <row r="772">
      <c r="A772" s="1" t="s">
        <v>771</v>
      </c>
      <c r="D772" s="3">
        <f>IFERROR(__xludf.DUMMYFUNCTION("SPLIT(A772, ""|"")"),43304.0)</f>
        <v>43304</v>
      </c>
      <c r="E772" s="2">
        <f>IFERROR(__xludf.DUMMYFUNCTION("""COMPUTED_VALUE"""),1368123.0)</f>
        <v>1368123</v>
      </c>
      <c r="F772" s="2">
        <f>IFERROR(__xludf.DUMMYFUNCTION("""COMPUTED_VALUE"""),4630128.0)</f>
        <v>4630128</v>
      </c>
      <c r="G772" s="2">
        <f>IFERROR(__xludf.DUMMYFUNCTION("""COMPUTED_VALUE"""),50.7429)</f>
        <v>50.7429</v>
      </c>
    </row>
    <row r="773">
      <c r="A773" s="1" t="s">
        <v>772</v>
      </c>
      <c r="D773" s="3">
        <f>IFERROR(__xludf.DUMMYFUNCTION("SPLIT(A773, ""|"")"),43304.0)</f>
        <v>43304</v>
      </c>
      <c r="E773" s="2">
        <f>IFERROR(__xludf.DUMMYFUNCTION("""COMPUTED_VALUE"""),358443.0)</f>
        <v>358443</v>
      </c>
      <c r="F773" s="2">
        <f>IFERROR(__xludf.DUMMYFUNCTION("""COMPUTED_VALUE"""),4630596.0)</f>
        <v>4630596</v>
      </c>
      <c r="G773" s="2">
        <f>IFERROR(__xludf.DUMMYFUNCTION("""COMPUTED_VALUE"""),163.0961)</f>
        <v>163.0961</v>
      </c>
    </row>
    <row r="774">
      <c r="A774" s="1" t="s">
        <v>773</v>
      </c>
      <c r="D774" s="3">
        <f>IFERROR(__xludf.DUMMYFUNCTION("SPLIT(A774, ""|"")"),43304.0)</f>
        <v>43304</v>
      </c>
      <c r="E774" s="2">
        <f>IFERROR(__xludf.DUMMYFUNCTION("""COMPUTED_VALUE"""),1505163.0)</f>
        <v>1505163</v>
      </c>
      <c r="F774" s="2">
        <f>IFERROR(__xludf.DUMMYFUNCTION("""COMPUTED_VALUE"""),4629481.0)</f>
        <v>4629481</v>
      </c>
      <c r="G774" s="2">
        <f>IFERROR(__xludf.DUMMYFUNCTION("""COMPUTED_VALUE"""),93.4596)</f>
        <v>93.4596</v>
      </c>
    </row>
    <row r="775">
      <c r="A775" s="1" t="s">
        <v>774</v>
      </c>
      <c r="D775" s="3">
        <f>IFERROR(__xludf.DUMMYFUNCTION("SPLIT(A775, ""|"")"),43049.0)</f>
        <v>43049</v>
      </c>
      <c r="E775" s="2">
        <f>IFERROR(__xludf.DUMMYFUNCTION("""COMPUTED_VALUE"""),1174743.0)</f>
        <v>1174743</v>
      </c>
      <c r="F775" s="2">
        <f>IFERROR(__xludf.DUMMYFUNCTION("""COMPUTED_VALUE"""),3932039.0)</f>
        <v>3932039</v>
      </c>
      <c r="G775" s="2">
        <f>IFERROR(__xludf.DUMMYFUNCTION("""COMPUTED_VALUE"""),67.4371999999999)</f>
        <v>67.4372</v>
      </c>
    </row>
    <row r="776">
      <c r="A776" s="1" t="s">
        <v>775</v>
      </c>
      <c r="D776" s="3">
        <f>IFERROR(__xludf.DUMMYFUNCTION("SPLIT(A776, ""|"")"),43049.0)</f>
        <v>43049</v>
      </c>
      <c r="E776" s="2">
        <f>IFERROR(__xludf.DUMMYFUNCTION("""COMPUTED_VALUE"""),1162143.0)</f>
        <v>1162143</v>
      </c>
      <c r="F776" s="2">
        <f>IFERROR(__xludf.DUMMYFUNCTION("""COMPUTED_VALUE"""),3931979.0)</f>
        <v>3931979</v>
      </c>
      <c r="G776" s="2">
        <f>IFERROR(__xludf.DUMMYFUNCTION("""COMPUTED_VALUE"""),129.9778)</f>
        <v>129.9778</v>
      </c>
    </row>
    <row r="777">
      <c r="A777" s="1" t="s">
        <v>776</v>
      </c>
      <c r="D777" s="3">
        <f>IFERROR(__xludf.DUMMYFUNCTION("SPLIT(A777, ""|"")"),43049.0)</f>
        <v>43049</v>
      </c>
      <c r="E777" s="2">
        <f>IFERROR(__xludf.DUMMYFUNCTION("""COMPUTED_VALUE"""),1236333.0)</f>
        <v>1236333</v>
      </c>
      <c r="F777" s="2">
        <f>IFERROR(__xludf.DUMMYFUNCTION("""COMPUTED_VALUE"""),3932140.0)</f>
        <v>3932140</v>
      </c>
      <c r="G777" s="2">
        <f>IFERROR(__xludf.DUMMYFUNCTION("""COMPUTED_VALUE"""),81.6552)</f>
        <v>81.6552</v>
      </c>
    </row>
    <row r="778">
      <c r="A778" s="1" t="s">
        <v>777</v>
      </c>
      <c r="D778" s="3">
        <f>IFERROR(__xludf.DUMMYFUNCTION("SPLIT(A778, ""|"")"),43049.0)</f>
        <v>43049</v>
      </c>
      <c r="E778" s="2">
        <f>IFERROR(__xludf.DUMMYFUNCTION("""COMPUTED_VALUE"""),1448643.0)</f>
        <v>1448643</v>
      </c>
      <c r="F778" s="2">
        <f>IFERROR(__xludf.DUMMYFUNCTION("""COMPUTED_VALUE"""),3933229.0)</f>
        <v>3933229</v>
      </c>
      <c r="G778" s="2">
        <f>IFERROR(__xludf.DUMMYFUNCTION("""COMPUTED_VALUE"""),72.5123)</f>
        <v>72.5123</v>
      </c>
    </row>
    <row r="779">
      <c r="A779" s="1" t="s">
        <v>778</v>
      </c>
      <c r="D779" s="3">
        <f>IFERROR(__xludf.DUMMYFUNCTION("SPLIT(A779, ""|"")"),43049.0)</f>
        <v>43049</v>
      </c>
      <c r="E779" s="2">
        <f>IFERROR(__xludf.DUMMYFUNCTION("""COMPUTED_VALUE"""),1127043.0)</f>
        <v>1127043</v>
      </c>
      <c r="F779" s="2">
        <f>IFERROR(__xludf.DUMMYFUNCTION("""COMPUTED_VALUE"""),3932373.0)</f>
        <v>3932373</v>
      </c>
      <c r="G779" s="2">
        <f>IFERROR(__xludf.DUMMYFUNCTION("""COMPUTED_VALUE"""),64.0311)</f>
        <v>64.0311</v>
      </c>
    </row>
    <row r="780">
      <c r="A780" s="1" t="s">
        <v>779</v>
      </c>
      <c r="D780" s="3">
        <f>IFERROR(__xludf.DUMMYFUNCTION("SPLIT(A780, ""|"")"),43305.0)</f>
        <v>43305</v>
      </c>
      <c r="E780" s="2">
        <f>IFERROR(__xludf.DUMMYFUNCTION("""COMPUTED_VALUE"""),1478823.0)</f>
        <v>1478823</v>
      </c>
      <c r="F780" s="2">
        <f>IFERROR(__xludf.DUMMYFUNCTION("""COMPUTED_VALUE"""),4633177.0)</f>
        <v>4633177</v>
      </c>
      <c r="G780" s="2">
        <f>IFERROR(__xludf.DUMMYFUNCTION("""COMPUTED_VALUE"""),71.2666)</f>
        <v>71.2666</v>
      </c>
    </row>
    <row r="781">
      <c r="A781" s="1" t="s">
        <v>780</v>
      </c>
      <c r="D781" s="3">
        <f>IFERROR(__xludf.DUMMYFUNCTION("SPLIT(A781, ""|"")"),43305.0)</f>
        <v>43305</v>
      </c>
      <c r="E781" s="2">
        <f>IFERROR(__xludf.DUMMYFUNCTION("""COMPUTED_VALUE"""),1624143.0)</f>
        <v>1624143</v>
      </c>
      <c r="F781" s="2">
        <f>IFERROR(__xludf.DUMMYFUNCTION("""COMPUTED_VALUE"""),4632411.0)</f>
        <v>4632411</v>
      </c>
      <c r="G781" s="2">
        <f>IFERROR(__xludf.DUMMYFUNCTION("""COMPUTED_VALUE"""),574.375)</f>
        <v>574.375</v>
      </c>
    </row>
    <row r="782">
      <c r="A782" s="1" t="s">
        <v>781</v>
      </c>
      <c r="D782" s="3">
        <f>IFERROR(__xludf.DUMMYFUNCTION("SPLIT(A782, ""|"")"),43305.0)</f>
        <v>43305</v>
      </c>
      <c r="E782" s="2">
        <f>IFERROR(__xludf.DUMMYFUNCTION("""COMPUTED_VALUE"""),1629573.0)</f>
        <v>1629573</v>
      </c>
      <c r="F782" s="2">
        <f>IFERROR(__xludf.DUMMYFUNCTION("""COMPUTED_VALUE"""),4632684.0)</f>
        <v>4632684</v>
      </c>
      <c r="G782" s="2">
        <f>IFERROR(__xludf.DUMMYFUNCTION("""COMPUTED_VALUE"""),199.6083)</f>
        <v>199.6083</v>
      </c>
    </row>
    <row r="783">
      <c r="A783" s="1" t="s">
        <v>782</v>
      </c>
      <c r="D783" s="3">
        <f>IFERROR(__xludf.DUMMYFUNCTION("SPLIT(A783, ""|"")"),43305.0)</f>
        <v>43305</v>
      </c>
      <c r="E783" s="2">
        <f>IFERROR(__xludf.DUMMYFUNCTION("""COMPUTED_VALUE"""),1345623.0)</f>
        <v>1345623</v>
      </c>
      <c r="F783" s="2">
        <f>IFERROR(__xludf.DUMMYFUNCTION("""COMPUTED_VALUE"""),4633107.0)</f>
        <v>4633107</v>
      </c>
      <c r="G783" s="2">
        <f>IFERROR(__xludf.DUMMYFUNCTION("""COMPUTED_VALUE"""),71.126)</f>
        <v>71.126</v>
      </c>
    </row>
    <row r="784">
      <c r="A784" s="1" t="s">
        <v>783</v>
      </c>
      <c r="D784" s="3">
        <f>IFERROR(__xludf.DUMMYFUNCTION("SPLIT(A784, ""|"")"),43305.0)</f>
        <v>43305</v>
      </c>
      <c r="E784" s="2">
        <f>IFERROR(__xludf.DUMMYFUNCTION("""COMPUTED_VALUE"""),1592163.0)</f>
        <v>1592163</v>
      </c>
      <c r="F784" s="2">
        <f>IFERROR(__xludf.DUMMYFUNCTION("""COMPUTED_VALUE"""),4632588.0)</f>
        <v>4632588</v>
      </c>
      <c r="G784" s="2">
        <f>IFERROR(__xludf.DUMMYFUNCTION("""COMPUTED_VALUE"""),60.1097999999999)</f>
        <v>60.1098</v>
      </c>
    </row>
    <row r="785">
      <c r="A785" s="1" t="s">
        <v>784</v>
      </c>
      <c r="D785" s="3">
        <f>IFERROR(__xludf.DUMMYFUNCTION("SPLIT(A785, ""|"")"),43305.0)</f>
        <v>43305</v>
      </c>
      <c r="E785" s="2">
        <f>IFERROR(__xludf.DUMMYFUNCTION("""COMPUTED_VALUE"""),221733.0)</f>
        <v>221733</v>
      </c>
      <c r="F785" s="2">
        <f>IFERROR(__xludf.DUMMYFUNCTION("""COMPUTED_VALUE"""),4631817.0)</f>
        <v>4631817</v>
      </c>
      <c r="G785" s="2">
        <f>IFERROR(__xludf.DUMMYFUNCTION("""COMPUTED_VALUE"""),88.2702999999999)</f>
        <v>88.2703</v>
      </c>
    </row>
    <row r="786">
      <c r="A786" s="1" t="s">
        <v>785</v>
      </c>
      <c r="D786" s="3">
        <f>IFERROR(__xludf.DUMMYFUNCTION("SPLIT(A786, ""|"")"),43305.0)</f>
        <v>43305</v>
      </c>
      <c r="E786" s="2">
        <f>IFERROR(__xludf.DUMMYFUNCTION("""COMPUTED_VALUE"""),1607913.0)</f>
        <v>1607913</v>
      </c>
      <c r="F786" s="2">
        <f>IFERROR(__xludf.DUMMYFUNCTION("""COMPUTED_VALUE"""),4633482.0)</f>
        <v>4633482</v>
      </c>
      <c r="G786" s="2">
        <f>IFERROR(__xludf.DUMMYFUNCTION("""COMPUTED_VALUE"""),99.7245)</f>
        <v>99.7245</v>
      </c>
    </row>
    <row r="787">
      <c r="A787" s="1" t="s">
        <v>786</v>
      </c>
      <c r="D787" s="3">
        <f>IFERROR(__xludf.DUMMYFUNCTION("SPLIT(A787, ""|"")"),43050.0)</f>
        <v>43050</v>
      </c>
      <c r="E787" s="2">
        <f>IFERROR(__xludf.DUMMYFUNCTION("""COMPUTED_VALUE"""),257913.0)</f>
        <v>257913</v>
      </c>
      <c r="F787" s="2">
        <f>IFERROR(__xludf.DUMMYFUNCTION("""COMPUTED_VALUE"""),3934957.0)</f>
        <v>3934957</v>
      </c>
      <c r="G787" s="2">
        <f>IFERROR(__xludf.DUMMYFUNCTION("""COMPUTED_VALUE"""),80.8978999999999)</f>
        <v>80.8979</v>
      </c>
    </row>
    <row r="788">
      <c r="A788" s="1" t="s">
        <v>787</v>
      </c>
      <c r="D788" s="3">
        <f>IFERROR(__xludf.DUMMYFUNCTION("SPLIT(A788, ""|"")"),43050.0)</f>
        <v>43050</v>
      </c>
      <c r="E788" s="2">
        <f>IFERROR(__xludf.DUMMYFUNCTION("""COMPUTED_VALUE"""),1167393.0)</f>
        <v>1167393</v>
      </c>
      <c r="F788" s="2">
        <f>IFERROR(__xludf.DUMMYFUNCTION("""COMPUTED_VALUE"""),3934391.0)</f>
        <v>3934391</v>
      </c>
      <c r="G788" s="2">
        <f>IFERROR(__xludf.DUMMYFUNCTION("""COMPUTED_VALUE"""),32.6579)</f>
        <v>32.6579</v>
      </c>
    </row>
    <row r="789">
      <c r="A789" s="1" t="s">
        <v>788</v>
      </c>
      <c r="D789" s="3">
        <f>IFERROR(__xludf.DUMMYFUNCTION("SPLIT(A789, ""|"")"),43050.0)</f>
        <v>43050</v>
      </c>
      <c r="E789" s="2">
        <f>IFERROR(__xludf.DUMMYFUNCTION("""COMPUTED_VALUE"""),1448823.0)</f>
        <v>1448823</v>
      </c>
      <c r="F789" s="2">
        <f>IFERROR(__xludf.DUMMYFUNCTION("""COMPUTED_VALUE"""),3933745.0)</f>
        <v>3933745</v>
      </c>
      <c r="G789" s="2">
        <f>IFERROR(__xludf.DUMMYFUNCTION("""COMPUTED_VALUE"""),39.4417)</f>
        <v>39.4417</v>
      </c>
    </row>
    <row r="790">
      <c r="A790" s="1" t="s">
        <v>789</v>
      </c>
      <c r="D790" s="3">
        <f>IFERROR(__xludf.DUMMYFUNCTION("SPLIT(A790, ""|"")"),43050.0)</f>
        <v>43050</v>
      </c>
      <c r="E790" s="2">
        <f>IFERROR(__xludf.DUMMYFUNCTION("""COMPUTED_VALUE"""),1165353.0)</f>
        <v>1165353</v>
      </c>
      <c r="F790" s="2">
        <f>IFERROR(__xludf.DUMMYFUNCTION("""COMPUTED_VALUE"""),3934837.0)</f>
        <v>3934837</v>
      </c>
      <c r="G790" s="2">
        <f>IFERROR(__xludf.DUMMYFUNCTION("""COMPUTED_VALUE"""),85.1386)</f>
        <v>85.1386</v>
      </c>
    </row>
    <row r="791">
      <c r="A791" s="1" t="s">
        <v>790</v>
      </c>
      <c r="D791" s="3">
        <f>IFERROR(__xludf.DUMMYFUNCTION("SPLIT(A791, ""|"")"),43050.0)</f>
        <v>43050</v>
      </c>
      <c r="E791" s="2">
        <f>IFERROR(__xludf.DUMMYFUNCTION("""COMPUTED_VALUE"""),1184643.0)</f>
        <v>1184643</v>
      </c>
      <c r="F791" s="2">
        <f>IFERROR(__xludf.DUMMYFUNCTION("""COMPUTED_VALUE"""),3935926.0)</f>
        <v>3935926</v>
      </c>
      <c r="G791" s="2">
        <f>IFERROR(__xludf.DUMMYFUNCTION("""COMPUTED_VALUE"""),192.8574)</f>
        <v>192.8574</v>
      </c>
    </row>
    <row r="792">
      <c r="A792" s="1" t="s">
        <v>791</v>
      </c>
      <c r="D792" s="3">
        <f>IFERROR(__xludf.DUMMYFUNCTION("SPLIT(A792, ""|"")"),43306.0)</f>
        <v>43306</v>
      </c>
      <c r="E792" s="2">
        <f>IFERROR(__xludf.DUMMYFUNCTION("""COMPUTED_VALUE"""),1184643.0)</f>
        <v>1184643</v>
      </c>
      <c r="F792" s="2">
        <f>IFERROR(__xludf.DUMMYFUNCTION("""COMPUTED_VALUE"""),4636324.0)</f>
        <v>4636324</v>
      </c>
      <c r="G792" s="2">
        <f>IFERROR(__xludf.DUMMYFUNCTION("""COMPUTED_VALUE"""),149.4685)</f>
        <v>149.4685</v>
      </c>
    </row>
    <row r="793">
      <c r="A793" s="1" t="s">
        <v>792</v>
      </c>
      <c r="D793" s="3">
        <f>IFERROR(__xludf.DUMMYFUNCTION("SPLIT(A793, ""|"")"),43306.0)</f>
        <v>43306</v>
      </c>
      <c r="E793" s="2">
        <f>IFERROR(__xludf.DUMMYFUNCTION("""COMPUTED_VALUE"""),1632033.0)</f>
        <v>1632033</v>
      </c>
      <c r="F793" s="2">
        <f>IFERROR(__xludf.DUMMYFUNCTION("""COMPUTED_VALUE"""),4634441.0)</f>
        <v>4634441</v>
      </c>
      <c r="G793" s="2">
        <f>IFERROR(__xludf.DUMMYFUNCTION("""COMPUTED_VALUE"""),49.335)</f>
        <v>49.335</v>
      </c>
    </row>
    <row r="794">
      <c r="A794" s="1" t="s">
        <v>793</v>
      </c>
      <c r="D794" s="3">
        <f>IFERROR(__xludf.DUMMYFUNCTION("SPLIT(A794, ""|"")"),43306.0)</f>
        <v>43306</v>
      </c>
      <c r="E794" s="2">
        <f>IFERROR(__xludf.DUMMYFUNCTION("""COMPUTED_VALUE"""),1632333.0)</f>
        <v>1632333</v>
      </c>
      <c r="F794" s="2">
        <f>IFERROR(__xludf.DUMMYFUNCTION("""COMPUTED_VALUE"""),4635761.0)</f>
        <v>4635761</v>
      </c>
      <c r="G794" s="2">
        <f>IFERROR(__xludf.DUMMYFUNCTION("""COMPUTED_VALUE"""),62.2333)</f>
        <v>62.2333</v>
      </c>
    </row>
    <row r="795">
      <c r="A795" s="1" t="s">
        <v>794</v>
      </c>
      <c r="D795" s="3">
        <f>IFERROR(__xludf.DUMMYFUNCTION("SPLIT(A795, ""|"")"),43051.0)</f>
        <v>43051</v>
      </c>
      <c r="E795" s="2">
        <f>IFERROR(__xludf.DUMMYFUNCTION("""COMPUTED_VALUE"""),1449633.0)</f>
        <v>1449633</v>
      </c>
      <c r="F795" s="2">
        <f>IFERROR(__xludf.DUMMYFUNCTION("""COMPUTED_VALUE"""),3936376.0)</f>
        <v>3936376</v>
      </c>
      <c r="G795" s="2">
        <f>IFERROR(__xludf.DUMMYFUNCTION("""COMPUTED_VALUE"""),63.275)</f>
        <v>63.275</v>
      </c>
    </row>
    <row r="796">
      <c r="A796" s="1" t="s">
        <v>795</v>
      </c>
      <c r="D796" s="3">
        <f>IFERROR(__xludf.DUMMYFUNCTION("SPLIT(A796, ""|"")"),43051.0)</f>
        <v>43051</v>
      </c>
      <c r="E796" s="2">
        <f>IFERROR(__xludf.DUMMYFUNCTION("""COMPUTED_VALUE"""),1238253.0)</f>
        <v>1238253</v>
      </c>
      <c r="F796" s="2">
        <f>IFERROR(__xludf.DUMMYFUNCTION("""COMPUTED_VALUE"""),3936175.0)</f>
        <v>3936175</v>
      </c>
      <c r="G796" s="2">
        <f>IFERROR(__xludf.DUMMYFUNCTION("""COMPUTED_VALUE"""),16.4076)</f>
        <v>16.4076</v>
      </c>
    </row>
    <row r="797">
      <c r="A797" s="1" t="s">
        <v>796</v>
      </c>
      <c r="D797" s="3">
        <f>IFERROR(__xludf.DUMMYFUNCTION("SPLIT(A797, ""|"")"),43051.0)</f>
        <v>43051</v>
      </c>
      <c r="E797" s="2">
        <f>IFERROR(__xludf.DUMMYFUNCTION("""COMPUTED_VALUE"""),1450413.0)</f>
        <v>1450413</v>
      </c>
      <c r="F797" s="2">
        <f>IFERROR(__xludf.DUMMYFUNCTION("""COMPUTED_VALUE"""),3939290.0)</f>
        <v>3939290</v>
      </c>
      <c r="G797" s="2">
        <f>IFERROR(__xludf.DUMMYFUNCTION("""COMPUTED_VALUE"""),34.5029)</f>
        <v>34.5029</v>
      </c>
    </row>
    <row r="798">
      <c r="A798" s="1" t="s">
        <v>797</v>
      </c>
      <c r="D798" s="3">
        <f>IFERROR(__xludf.DUMMYFUNCTION("SPLIT(A798, ""|"")"),43051.0)</f>
        <v>43051</v>
      </c>
      <c r="E798" s="2">
        <f>IFERROR(__xludf.DUMMYFUNCTION("""COMPUTED_VALUE"""),1159653.0)</f>
        <v>1159653</v>
      </c>
      <c r="F798" s="2">
        <f>IFERROR(__xludf.DUMMYFUNCTION("""COMPUTED_VALUE"""),3938531.0)</f>
        <v>3938531</v>
      </c>
      <c r="G798" s="2">
        <f>IFERROR(__xludf.DUMMYFUNCTION("""COMPUTED_VALUE"""),97.0322)</f>
        <v>97.0322</v>
      </c>
    </row>
    <row r="799">
      <c r="A799" s="1" t="s">
        <v>798</v>
      </c>
      <c r="D799" s="3">
        <f>IFERROR(__xludf.DUMMYFUNCTION("SPLIT(A799, ""|"")"),43051.0)</f>
        <v>43051</v>
      </c>
      <c r="E799" s="2">
        <f>IFERROR(__xludf.DUMMYFUNCTION("""COMPUTED_VALUE"""),1358253.0)</f>
        <v>1358253</v>
      </c>
      <c r="F799" s="2">
        <f>IFERROR(__xludf.DUMMYFUNCTION("""COMPUTED_VALUE"""),3939314.0)</f>
        <v>3939314</v>
      </c>
      <c r="G799" s="2">
        <f>IFERROR(__xludf.DUMMYFUNCTION("""COMPUTED_VALUE"""),16.8083)</f>
        <v>16.8083</v>
      </c>
    </row>
    <row r="800">
      <c r="A800" s="1" t="s">
        <v>799</v>
      </c>
      <c r="D800" s="3">
        <f>IFERROR(__xludf.DUMMYFUNCTION("SPLIT(A800, ""|"")"),43051.0)</f>
        <v>43051</v>
      </c>
      <c r="E800" s="2">
        <f>IFERROR(__xludf.DUMMYFUNCTION("""COMPUTED_VALUE"""),1128333.0)</f>
        <v>1128333</v>
      </c>
      <c r="F800" s="2">
        <f>IFERROR(__xludf.DUMMYFUNCTION("""COMPUTED_VALUE"""),3939047.0)</f>
        <v>3939047</v>
      </c>
      <c r="G800" s="2">
        <f>IFERROR(__xludf.DUMMYFUNCTION("""COMPUTED_VALUE"""),49.6833)</f>
        <v>49.6833</v>
      </c>
    </row>
    <row r="801">
      <c r="A801" s="1" t="s">
        <v>800</v>
      </c>
      <c r="D801" s="3">
        <f>IFERROR(__xludf.DUMMYFUNCTION("SPLIT(A801, ""|"")"),43307.0)</f>
        <v>43307</v>
      </c>
      <c r="E801" s="2">
        <f>IFERROR(__xludf.DUMMYFUNCTION("""COMPUTED_VALUE"""),1404303.0)</f>
        <v>1404303</v>
      </c>
      <c r="F801" s="2">
        <f>IFERROR(__xludf.DUMMYFUNCTION("""COMPUTED_VALUE"""),4638752.0)</f>
        <v>4638752</v>
      </c>
      <c r="G801" s="2">
        <f>IFERROR(__xludf.DUMMYFUNCTION("""COMPUTED_VALUE"""),11.349)</f>
        <v>11.349</v>
      </c>
    </row>
    <row r="802">
      <c r="A802" s="1" t="s">
        <v>801</v>
      </c>
      <c r="D802" s="3">
        <f>IFERROR(__xludf.DUMMYFUNCTION("SPLIT(A802, ""|"")"),43307.0)</f>
        <v>43307</v>
      </c>
      <c r="E802" s="2">
        <f>IFERROR(__xludf.DUMMYFUNCTION("""COMPUTED_VALUE"""),1513473.0)</f>
        <v>1513473</v>
      </c>
      <c r="F802" s="2">
        <f>IFERROR(__xludf.DUMMYFUNCTION("""COMPUTED_VALUE"""),4637647.0)</f>
        <v>4637647</v>
      </c>
      <c r="G802" s="2">
        <f>IFERROR(__xludf.DUMMYFUNCTION("""COMPUTED_VALUE"""),95.3627)</f>
        <v>95.3627</v>
      </c>
    </row>
    <row r="803">
      <c r="A803" s="1" t="s">
        <v>802</v>
      </c>
      <c r="D803" s="3">
        <f>IFERROR(__xludf.DUMMYFUNCTION("SPLIT(A803, ""|"")"),43307.0)</f>
        <v>43307</v>
      </c>
      <c r="E803" s="2">
        <f>IFERROR(__xludf.DUMMYFUNCTION("""COMPUTED_VALUE"""),1349433.0)</f>
        <v>1349433</v>
      </c>
      <c r="F803" s="2">
        <f>IFERROR(__xludf.DUMMYFUNCTION("""COMPUTED_VALUE"""),4637953.0)</f>
        <v>4637953</v>
      </c>
      <c r="G803" s="2">
        <f>IFERROR(__xludf.DUMMYFUNCTION("""COMPUTED_VALUE"""),77.4003)</f>
        <v>77.4003</v>
      </c>
    </row>
    <row r="804">
      <c r="A804" s="1" t="s">
        <v>803</v>
      </c>
      <c r="D804" s="3">
        <f>IFERROR(__xludf.DUMMYFUNCTION("SPLIT(A804, ""|"")"),43307.0)</f>
        <v>43307</v>
      </c>
      <c r="E804" s="2">
        <f>IFERROR(__xludf.DUMMYFUNCTION("""COMPUTED_VALUE"""),1533183.0)</f>
        <v>1533183</v>
      </c>
      <c r="F804" s="2">
        <f>IFERROR(__xludf.DUMMYFUNCTION("""COMPUTED_VALUE"""),4638263.0)</f>
        <v>4638263</v>
      </c>
      <c r="G804" s="2">
        <f>IFERROR(__xludf.DUMMYFUNCTION("""COMPUTED_VALUE"""),45.7228)</f>
        <v>45.7228</v>
      </c>
    </row>
    <row r="805">
      <c r="A805" s="1" t="s">
        <v>804</v>
      </c>
      <c r="D805" s="3">
        <f>IFERROR(__xludf.DUMMYFUNCTION("SPLIT(A805, ""|"")"),43307.0)</f>
        <v>43307</v>
      </c>
      <c r="E805" s="2">
        <f>IFERROR(__xludf.DUMMYFUNCTION("""COMPUTED_VALUE"""),1332093.0)</f>
        <v>1332093</v>
      </c>
      <c r="F805" s="2">
        <f>IFERROR(__xludf.DUMMYFUNCTION("""COMPUTED_VALUE"""),4638923.0)</f>
        <v>4638923</v>
      </c>
      <c r="G805" s="2">
        <f>IFERROR(__xludf.DUMMYFUNCTION("""COMPUTED_VALUE"""),37.422)</f>
        <v>37.422</v>
      </c>
    </row>
    <row r="806">
      <c r="A806" s="1" t="s">
        <v>805</v>
      </c>
      <c r="D806" s="3">
        <f>IFERROR(__xludf.DUMMYFUNCTION("SPLIT(A806, ""|"")"),43307.0)</f>
        <v>43307</v>
      </c>
      <c r="E806" s="2">
        <f>IFERROR(__xludf.DUMMYFUNCTION("""COMPUTED_VALUE"""),1262733.0)</f>
        <v>1262733</v>
      </c>
      <c r="F806" s="2">
        <f>IFERROR(__xludf.DUMMYFUNCTION("""COMPUTED_VALUE"""),4636545.0)</f>
        <v>4636545</v>
      </c>
      <c r="G806" s="2">
        <f>IFERROR(__xludf.DUMMYFUNCTION("""COMPUTED_VALUE"""),183.5677)</f>
        <v>183.5677</v>
      </c>
    </row>
    <row r="807">
      <c r="A807" s="1" t="s">
        <v>806</v>
      </c>
      <c r="D807" s="3">
        <f>IFERROR(__xludf.DUMMYFUNCTION("SPLIT(A807, ""|"")"),43052.0)</f>
        <v>43052</v>
      </c>
      <c r="E807" s="2">
        <f>IFERROR(__xludf.DUMMYFUNCTION("""COMPUTED_VALUE"""),1450893.0)</f>
        <v>1450893</v>
      </c>
      <c r="F807" s="2">
        <f>IFERROR(__xludf.DUMMYFUNCTION("""COMPUTED_VALUE"""),3941318.0)</f>
        <v>3941318</v>
      </c>
      <c r="G807" s="2">
        <f>IFERROR(__xludf.DUMMYFUNCTION("""COMPUTED_VALUE"""),21.6399)</f>
        <v>21.6399</v>
      </c>
    </row>
    <row r="808">
      <c r="A808" s="1" t="s">
        <v>807</v>
      </c>
      <c r="D808" s="3">
        <f>IFERROR(__xludf.DUMMYFUNCTION("SPLIT(A808, ""|"")"),43052.0)</f>
        <v>43052</v>
      </c>
      <c r="E808" s="2">
        <f>IFERROR(__xludf.DUMMYFUNCTION("""COMPUTED_VALUE"""),1450263.0)</f>
        <v>1450263</v>
      </c>
      <c r="F808" s="2">
        <f>IFERROR(__xludf.DUMMYFUNCTION("""COMPUTED_VALUE"""),3940809.0)</f>
        <v>3940809</v>
      </c>
      <c r="G808" s="2">
        <f>IFERROR(__xludf.DUMMYFUNCTION("""COMPUTED_VALUE"""),84.6388)</f>
        <v>84.6388</v>
      </c>
    </row>
    <row r="809">
      <c r="A809" s="1" t="s">
        <v>808</v>
      </c>
      <c r="D809" s="3">
        <f>IFERROR(__xludf.DUMMYFUNCTION("SPLIT(A809, ""|"")"),43052.0)</f>
        <v>43052</v>
      </c>
      <c r="E809" s="2">
        <f>IFERROR(__xludf.DUMMYFUNCTION("""COMPUTED_VALUE"""),1450893.0)</f>
        <v>1450893</v>
      </c>
      <c r="F809" s="2">
        <f>IFERROR(__xludf.DUMMYFUNCTION("""COMPUTED_VALUE"""),3941277.0)</f>
        <v>3941277</v>
      </c>
      <c r="G809" s="2">
        <f>IFERROR(__xludf.DUMMYFUNCTION("""COMPUTED_VALUE"""),75.042)</f>
        <v>75.042</v>
      </c>
    </row>
    <row r="810">
      <c r="A810" s="1" t="s">
        <v>809</v>
      </c>
      <c r="D810" s="3">
        <f>IFERROR(__xludf.DUMMYFUNCTION("SPLIT(A810, ""|"")"),43052.0)</f>
        <v>43052</v>
      </c>
      <c r="E810" s="2">
        <f>IFERROR(__xludf.DUMMYFUNCTION("""COMPUTED_VALUE"""),1404093.0)</f>
        <v>1404093</v>
      </c>
      <c r="F810" s="2">
        <f>IFERROR(__xludf.DUMMYFUNCTION("""COMPUTED_VALUE"""),3942550.0)</f>
        <v>3942550</v>
      </c>
      <c r="G810" s="2">
        <f>IFERROR(__xludf.DUMMYFUNCTION("""COMPUTED_VALUE"""),75.5393)</f>
        <v>75.5393</v>
      </c>
    </row>
    <row r="811">
      <c r="A811" s="1" t="s">
        <v>810</v>
      </c>
      <c r="D811" s="3">
        <f>IFERROR(__xludf.DUMMYFUNCTION("SPLIT(A811, ""|"")"),43052.0)</f>
        <v>43052</v>
      </c>
      <c r="E811" s="2">
        <f>IFERROR(__xludf.DUMMYFUNCTION("""COMPUTED_VALUE"""),1407333.0)</f>
        <v>1407333</v>
      </c>
      <c r="F811" s="2">
        <f>IFERROR(__xludf.DUMMYFUNCTION("""COMPUTED_VALUE"""),3941062.0)</f>
        <v>3941062</v>
      </c>
      <c r="G811" s="2">
        <f>IFERROR(__xludf.DUMMYFUNCTION("""COMPUTED_VALUE"""),120.1525)</f>
        <v>120.1525</v>
      </c>
    </row>
    <row r="812">
      <c r="A812" s="1" t="s">
        <v>811</v>
      </c>
      <c r="D812" s="3">
        <f>IFERROR(__xludf.DUMMYFUNCTION("SPLIT(A812, ""|"")"),43052.0)</f>
        <v>43052</v>
      </c>
      <c r="E812" s="2">
        <f>IFERROR(__xludf.DUMMYFUNCTION("""COMPUTED_VALUE"""),1450683.0)</f>
        <v>1450683</v>
      </c>
      <c r="F812" s="2">
        <f>IFERROR(__xludf.DUMMYFUNCTION("""COMPUTED_VALUE"""),3940360.0)</f>
        <v>3940360</v>
      </c>
      <c r="G812" s="2">
        <f>IFERROR(__xludf.DUMMYFUNCTION("""COMPUTED_VALUE"""),16.6425)</f>
        <v>16.6425</v>
      </c>
    </row>
    <row r="813">
      <c r="A813" s="1" t="s">
        <v>812</v>
      </c>
      <c r="D813" s="3">
        <f>IFERROR(__xludf.DUMMYFUNCTION("SPLIT(A813, ""|"")"),43052.0)</f>
        <v>43052</v>
      </c>
      <c r="E813" s="2">
        <f>IFERROR(__xludf.DUMMYFUNCTION("""COMPUTED_VALUE"""),1040313.0)</f>
        <v>1040313</v>
      </c>
      <c r="F813" s="2">
        <f>IFERROR(__xludf.DUMMYFUNCTION("""COMPUTED_VALUE"""),3940758.0)</f>
        <v>3940758</v>
      </c>
      <c r="G813" s="2">
        <f>IFERROR(__xludf.DUMMYFUNCTION("""COMPUTED_VALUE"""),139.083299999999)</f>
        <v>139.0833</v>
      </c>
    </row>
    <row r="814">
      <c r="A814" s="1" t="s">
        <v>813</v>
      </c>
      <c r="D814" s="3">
        <f>IFERROR(__xludf.DUMMYFUNCTION("SPLIT(A814, ""|"")"),43052.0)</f>
        <v>43052</v>
      </c>
      <c r="E814" s="2">
        <f>IFERROR(__xludf.DUMMYFUNCTION("""COMPUTED_VALUE"""),1416303.0)</f>
        <v>1416303</v>
      </c>
      <c r="F814" s="2">
        <f>IFERROR(__xludf.DUMMYFUNCTION("""COMPUTED_VALUE"""),3939403.0)</f>
        <v>3939403</v>
      </c>
      <c r="G814" s="2">
        <f>IFERROR(__xludf.DUMMYFUNCTION("""COMPUTED_VALUE"""),42.537)</f>
        <v>42.537</v>
      </c>
    </row>
    <row r="815">
      <c r="A815" s="1" t="s">
        <v>814</v>
      </c>
      <c r="D815" s="3">
        <f>IFERROR(__xludf.DUMMYFUNCTION("SPLIT(A815, ""|"")"),43052.0)</f>
        <v>43052</v>
      </c>
      <c r="E815" s="2">
        <f>IFERROR(__xludf.DUMMYFUNCTION("""COMPUTED_VALUE"""),1321473.0)</f>
        <v>1321473</v>
      </c>
      <c r="F815" s="2">
        <f>IFERROR(__xludf.DUMMYFUNCTION("""COMPUTED_VALUE"""),3942422.0)</f>
        <v>3942422</v>
      </c>
      <c r="G815" s="2">
        <f>IFERROR(__xludf.DUMMYFUNCTION("""COMPUTED_VALUE"""),9.384)</f>
        <v>9.384</v>
      </c>
    </row>
    <row r="816">
      <c r="A816" s="1" t="s">
        <v>815</v>
      </c>
      <c r="D816" s="3">
        <f>IFERROR(__xludf.DUMMYFUNCTION("SPLIT(A816, ""|"")"),43052.0)</f>
        <v>43052</v>
      </c>
      <c r="E816" s="2">
        <f>IFERROR(__xludf.DUMMYFUNCTION("""COMPUTED_VALUE"""),1450503.0)</f>
        <v>1450503</v>
      </c>
      <c r="F816" s="2">
        <f>IFERROR(__xludf.DUMMYFUNCTION("""COMPUTED_VALUE"""),3939677.0)</f>
        <v>3939677</v>
      </c>
      <c r="G816" s="2">
        <f>IFERROR(__xludf.DUMMYFUNCTION("""COMPUTED_VALUE"""),96.6791)</f>
        <v>96.6791</v>
      </c>
    </row>
    <row r="817">
      <c r="A817" s="1" t="s">
        <v>816</v>
      </c>
      <c r="D817" s="3">
        <f>IFERROR(__xludf.DUMMYFUNCTION("SPLIT(A817, ""|"")"),43052.0)</f>
        <v>43052</v>
      </c>
      <c r="E817" s="2">
        <f>IFERROR(__xludf.DUMMYFUNCTION("""COMPUTED_VALUE"""),1450953.0)</f>
        <v>1450953</v>
      </c>
      <c r="F817" s="2">
        <f>IFERROR(__xludf.DUMMYFUNCTION("""COMPUTED_VALUE"""),3941345.0)</f>
        <v>3941345</v>
      </c>
      <c r="G817" s="2">
        <f>IFERROR(__xludf.DUMMYFUNCTION("""COMPUTED_VALUE"""),33.5209)</f>
        <v>33.5209</v>
      </c>
    </row>
    <row r="818">
      <c r="A818" s="1" t="s">
        <v>817</v>
      </c>
      <c r="D818" s="3">
        <f>IFERROR(__xludf.DUMMYFUNCTION("SPLIT(A818, ""|"")"),43052.0)</f>
        <v>43052</v>
      </c>
      <c r="E818" s="2">
        <f>IFERROR(__xludf.DUMMYFUNCTION("""COMPUTED_VALUE"""),1450713.0)</f>
        <v>1450713</v>
      </c>
      <c r="F818" s="2">
        <f>IFERROR(__xludf.DUMMYFUNCTION("""COMPUTED_VALUE"""),3940449.0)</f>
        <v>3940449</v>
      </c>
      <c r="G818" s="2">
        <f>IFERROR(__xludf.DUMMYFUNCTION("""COMPUTED_VALUE"""),20.825)</f>
        <v>20.825</v>
      </c>
    </row>
    <row r="819">
      <c r="A819" s="1" t="s">
        <v>818</v>
      </c>
      <c r="D819" s="3">
        <f>IFERROR(__xludf.DUMMYFUNCTION("SPLIT(A819, ""|"")"),43052.0)</f>
        <v>43052</v>
      </c>
      <c r="E819" s="2">
        <f>IFERROR(__xludf.DUMMYFUNCTION("""COMPUTED_VALUE"""),1151013.0)</f>
        <v>1151013</v>
      </c>
      <c r="F819" s="2">
        <f>IFERROR(__xludf.DUMMYFUNCTION("""COMPUTED_VALUE"""),3939918.0)</f>
        <v>3939918</v>
      </c>
      <c r="G819" s="2">
        <f>IFERROR(__xludf.DUMMYFUNCTION("""COMPUTED_VALUE"""),141.214099999999)</f>
        <v>141.2141</v>
      </c>
    </row>
    <row r="820">
      <c r="A820" s="1" t="s">
        <v>819</v>
      </c>
      <c r="D820" s="3">
        <f>IFERROR(__xludf.DUMMYFUNCTION("SPLIT(A820, ""|"")"),43308.0)</f>
        <v>43308</v>
      </c>
      <c r="E820" s="2">
        <f>IFERROR(__xludf.DUMMYFUNCTION("""COMPUTED_VALUE"""),1179843.0)</f>
        <v>1179843</v>
      </c>
      <c r="F820" s="2">
        <f>IFERROR(__xludf.DUMMYFUNCTION("""COMPUTED_VALUE"""),4640346.0)</f>
        <v>4640346</v>
      </c>
      <c r="G820" s="2">
        <f>IFERROR(__xludf.DUMMYFUNCTION("""COMPUTED_VALUE"""),30.7853)</f>
        <v>30.7853</v>
      </c>
    </row>
    <row r="821">
      <c r="A821" s="1" t="s">
        <v>820</v>
      </c>
      <c r="D821" s="3">
        <f>IFERROR(__xludf.DUMMYFUNCTION("SPLIT(A821, ""|"")"),43308.0)</f>
        <v>43308</v>
      </c>
      <c r="E821" s="2">
        <f>IFERROR(__xludf.DUMMYFUNCTION("""COMPUTED_VALUE"""),1631193.0)</f>
        <v>1631193</v>
      </c>
      <c r="F821" s="2">
        <f>IFERROR(__xludf.DUMMYFUNCTION("""COMPUTED_VALUE"""),4640838.0)</f>
        <v>4640838</v>
      </c>
      <c r="G821" s="2">
        <f>IFERROR(__xludf.DUMMYFUNCTION("""COMPUTED_VALUE"""),143.9825)</f>
        <v>143.9825</v>
      </c>
    </row>
    <row r="822">
      <c r="A822" s="1" t="s">
        <v>821</v>
      </c>
      <c r="D822" s="3">
        <f>IFERROR(__xludf.DUMMYFUNCTION("SPLIT(A822, ""|"")"),43053.0)</f>
        <v>43053</v>
      </c>
      <c r="E822" s="2">
        <f>IFERROR(__xludf.DUMMYFUNCTION("""COMPUTED_VALUE"""),231843.0)</f>
        <v>231843</v>
      </c>
      <c r="F822" s="2">
        <f>IFERROR(__xludf.DUMMYFUNCTION("""COMPUTED_VALUE"""),3943505.0)</f>
        <v>3943505</v>
      </c>
      <c r="G822" s="2">
        <f>IFERROR(__xludf.DUMMYFUNCTION("""COMPUTED_VALUE"""),55.7078)</f>
        <v>55.7078</v>
      </c>
    </row>
    <row r="823">
      <c r="A823" s="1" t="s">
        <v>822</v>
      </c>
      <c r="D823" s="3">
        <f>IFERROR(__xludf.DUMMYFUNCTION("SPLIT(A823, ""|"")"),43053.0)</f>
        <v>43053</v>
      </c>
      <c r="E823" s="2">
        <f>IFERROR(__xludf.DUMMYFUNCTION("""COMPUTED_VALUE"""),1312893.0)</f>
        <v>1312893</v>
      </c>
      <c r="F823" s="2">
        <f>IFERROR(__xludf.DUMMYFUNCTION("""COMPUTED_VALUE"""),3942875.0)</f>
        <v>3942875</v>
      </c>
      <c r="G823" s="2">
        <f>IFERROR(__xludf.DUMMYFUNCTION("""COMPUTED_VALUE"""),86.3066)</f>
        <v>86.3066</v>
      </c>
    </row>
    <row r="824">
      <c r="A824" s="1" t="s">
        <v>823</v>
      </c>
      <c r="D824" s="3">
        <f>IFERROR(__xludf.DUMMYFUNCTION("SPLIT(A824, ""|"")"),43053.0)</f>
        <v>43053</v>
      </c>
      <c r="E824" s="2">
        <f>IFERROR(__xludf.DUMMYFUNCTION("""COMPUTED_VALUE"""),1238283.0)</f>
        <v>1238283</v>
      </c>
      <c r="F824" s="2">
        <f>IFERROR(__xludf.DUMMYFUNCTION("""COMPUTED_VALUE"""),3943609.0)</f>
        <v>3943609</v>
      </c>
      <c r="G824" s="2">
        <f>IFERROR(__xludf.DUMMYFUNCTION("""COMPUTED_VALUE"""),17.4167)</f>
        <v>17.4167</v>
      </c>
    </row>
    <row r="825">
      <c r="A825" s="1" t="s">
        <v>824</v>
      </c>
      <c r="D825" s="3">
        <f>IFERROR(__xludf.DUMMYFUNCTION("SPLIT(A825, ""|"")"),43053.0)</f>
        <v>43053</v>
      </c>
      <c r="E825" s="2">
        <f>IFERROR(__xludf.DUMMYFUNCTION("""COMPUTED_VALUE"""),1451553.0)</f>
        <v>1451553</v>
      </c>
      <c r="F825" s="2">
        <f>IFERROR(__xludf.DUMMYFUNCTION("""COMPUTED_VALUE"""),3943849.0)</f>
        <v>3943849</v>
      </c>
      <c r="G825" s="2">
        <f>IFERROR(__xludf.DUMMYFUNCTION("""COMPUTED_VALUE"""),43.6764)</f>
        <v>43.6764</v>
      </c>
    </row>
    <row r="826">
      <c r="A826" s="1" t="s">
        <v>825</v>
      </c>
      <c r="D826" s="3">
        <f>IFERROR(__xludf.DUMMYFUNCTION("SPLIT(A826, ""|"")"),43053.0)</f>
        <v>43053</v>
      </c>
      <c r="E826" s="2">
        <f>IFERROR(__xludf.DUMMYFUNCTION("""COMPUTED_VALUE"""),1451793.0)</f>
        <v>1451793</v>
      </c>
      <c r="F826" s="2">
        <f>IFERROR(__xludf.DUMMYFUNCTION("""COMPUTED_VALUE"""),3944656.0)</f>
        <v>3944656</v>
      </c>
      <c r="G826" s="2">
        <f>IFERROR(__xludf.DUMMYFUNCTION("""COMPUTED_VALUE"""),20.6666)</f>
        <v>20.6666</v>
      </c>
    </row>
    <row r="827">
      <c r="A827" s="1" t="s">
        <v>826</v>
      </c>
      <c r="D827" s="3">
        <f>IFERROR(__xludf.DUMMYFUNCTION("SPLIT(A827, ""|"")"),43053.0)</f>
        <v>43053</v>
      </c>
      <c r="E827" s="2">
        <f>IFERROR(__xludf.DUMMYFUNCTION("""COMPUTED_VALUE"""),1438953.0)</f>
        <v>1438953</v>
      </c>
      <c r="F827" s="2">
        <f>IFERROR(__xludf.DUMMYFUNCTION("""COMPUTED_VALUE"""),3945210.0)</f>
        <v>3945210</v>
      </c>
      <c r="G827" s="2">
        <f>IFERROR(__xludf.DUMMYFUNCTION("""COMPUTED_VALUE"""),41.1333999999999)</f>
        <v>41.1334</v>
      </c>
    </row>
    <row r="828">
      <c r="A828" s="1" t="s">
        <v>827</v>
      </c>
      <c r="D828" s="3">
        <f>IFERROR(__xludf.DUMMYFUNCTION("SPLIT(A828, ""|"")"),43309.0)</f>
        <v>43309</v>
      </c>
      <c r="E828" s="2">
        <f>IFERROR(__xludf.DUMMYFUNCTION("""COMPUTED_VALUE"""),1578423.0)</f>
        <v>1578423</v>
      </c>
      <c r="F828" s="2">
        <f>IFERROR(__xludf.DUMMYFUNCTION("""COMPUTED_VALUE"""),4642619.0)</f>
        <v>4642619</v>
      </c>
      <c r="G828" s="2">
        <f>IFERROR(__xludf.DUMMYFUNCTION("""COMPUTED_VALUE"""),87.4668)</f>
        <v>87.4668</v>
      </c>
    </row>
    <row r="829">
      <c r="A829" s="1" t="s">
        <v>828</v>
      </c>
      <c r="D829" s="3">
        <f>IFERROR(__xludf.DUMMYFUNCTION("SPLIT(A829, ""|"")"),43309.0)</f>
        <v>43309</v>
      </c>
      <c r="E829" s="2">
        <f>IFERROR(__xludf.DUMMYFUNCTION("""COMPUTED_VALUE"""),1344573.0)</f>
        <v>1344573</v>
      </c>
      <c r="F829" s="2">
        <f>IFERROR(__xludf.DUMMYFUNCTION("""COMPUTED_VALUE"""),4643030.0)</f>
        <v>4643030</v>
      </c>
      <c r="G829" s="2">
        <f>IFERROR(__xludf.DUMMYFUNCTION("""COMPUTED_VALUE"""),99.042)</f>
        <v>99.042</v>
      </c>
    </row>
    <row r="830">
      <c r="A830" s="1" t="s">
        <v>829</v>
      </c>
      <c r="D830" s="3">
        <f>IFERROR(__xludf.DUMMYFUNCTION("SPLIT(A830, ""|"")"),43054.0)</f>
        <v>43054</v>
      </c>
      <c r="E830" s="2">
        <f>IFERROR(__xludf.DUMMYFUNCTION("""COMPUTED_VALUE"""),1452273.0)</f>
        <v>1452273</v>
      </c>
      <c r="F830" s="2">
        <f>IFERROR(__xludf.DUMMYFUNCTION("""COMPUTED_VALUE"""),3946479.0)</f>
        <v>3946479</v>
      </c>
      <c r="G830" s="2">
        <f>IFERROR(__xludf.DUMMYFUNCTION("""COMPUTED_VALUE"""),41.3336)</f>
        <v>41.3336</v>
      </c>
    </row>
    <row r="831">
      <c r="A831" s="1" t="s">
        <v>830</v>
      </c>
      <c r="D831" s="3">
        <f>IFERROR(__xludf.DUMMYFUNCTION("SPLIT(A831, ""|"")"),43054.0)</f>
        <v>43054</v>
      </c>
      <c r="E831" s="2">
        <f>IFERROR(__xludf.DUMMYFUNCTION("""COMPUTED_VALUE"""),1039983.0)</f>
        <v>1039983</v>
      </c>
      <c r="F831" s="2">
        <f>IFERROR(__xludf.DUMMYFUNCTION("""COMPUTED_VALUE"""),3946319.0)</f>
        <v>3946319</v>
      </c>
      <c r="G831" s="2">
        <f>IFERROR(__xludf.DUMMYFUNCTION("""COMPUTED_VALUE"""),18.8091)</f>
        <v>18.8091</v>
      </c>
    </row>
    <row r="832">
      <c r="A832" s="1" t="s">
        <v>831</v>
      </c>
      <c r="D832" s="3">
        <f>IFERROR(__xludf.DUMMYFUNCTION("SPLIT(A832, ""|"")"),43054.0)</f>
        <v>43054</v>
      </c>
      <c r="E832" s="2">
        <f>IFERROR(__xludf.DUMMYFUNCTION("""COMPUTED_VALUE"""),221733.0)</f>
        <v>221733</v>
      </c>
      <c r="F832" s="2">
        <f>IFERROR(__xludf.DUMMYFUNCTION("""COMPUTED_VALUE"""),3945668.0)</f>
        <v>3945668</v>
      </c>
      <c r="G832" s="2">
        <f>IFERROR(__xludf.DUMMYFUNCTION("""COMPUTED_VALUE"""),516.2565)</f>
        <v>516.2565</v>
      </c>
    </row>
    <row r="833">
      <c r="A833" s="1" t="s">
        <v>832</v>
      </c>
      <c r="D833" s="3">
        <f>IFERROR(__xludf.DUMMYFUNCTION("SPLIT(A833, ""|"")"),43054.0)</f>
        <v>43054</v>
      </c>
      <c r="E833" s="2">
        <f>IFERROR(__xludf.DUMMYFUNCTION("""COMPUTED_VALUE"""),1452153.0)</f>
        <v>1452153</v>
      </c>
      <c r="F833" s="2">
        <f>IFERROR(__xludf.DUMMYFUNCTION("""COMPUTED_VALUE"""),3946039.0)</f>
        <v>3946039</v>
      </c>
      <c r="G833" s="2">
        <f>IFERROR(__xludf.DUMMYFUNCTION("""COMPUTED_VALUE"""),31.1666)</f>
        <v>31.1666</v>
      </c>
    </row>
    <row r="834">
      <c r="A834" s="1" t="s">
        <v>833</v>
      </c>
      <c r="D834" s="3">
        <f>IFERROR(__xludf.DUMMYFUNCTION("SPLIT(A834, ""|"")"),43054.0)</f>
        <v>43054</v>
      </c>
      <c r="E834" s="2">
        <f>IFERROR(__xludf.DUMMYFUNCTION("""COMPUTED_VALUE"""),1287393.0)</f>
        <v>1287393</v>
      </c>
      <c r="F834" s="2">
        <f>IFERROR(__xludf.DUMMYFUNCTION("""COMPUTED_VALUE"""),3947535.0)</f>
        <v>3947535</v>
      </c>
      <c r="G834" s="2">
        <f>IFERROR(__xludf.DUMMYFUNCTION("""COMPUTED_VALUE"""),74.679)</f>
        <v>74.679</v>
      </c>
    </row>
    <row r="835">
      <c r="A835" s="1" t="s">
        <v>834</v>
      </c>
      <c r="D835" s="3">
        <f>IFERROR(__xludf.DUMMYFUNCTION("SPLIT(A835, ""|"")"),43054.0)</f>
        <v>43054</v>
      </c>
      <c r="E835" s="2">
        <f>IFERROR(__xludf.DUMMYFUNCTION("""COMPUTED_VALUE"""),217743.0)</f>
        <v>217743</v>
      </c>
      <c r="F835" s="2">
        <f>IFERROR(__xludf.DUMMYFUNCTION("""COMPUTED_VALUE"""),3947239.0)</f>
        <v>3947239</v>
      </c>
      <c r="G835" s="2">
        <f>IFERROR(__xludf.DUMMYFUNCTION("""COMPUTED_VALUE"""),141.9655)</f>
        <v>141.9655</v>
      </c>
    </row>
    <row r="836">
      <c r="A836" s="1" t="s">
        <v>835</v>
      </c>
      <c r="D836" s="3">
        <f>IFERROR(__xludf.DUMMYFUNCTION("SPLIT(A836, ""|"")"),43054.0)</f>
        <v>43054</v>
      </c>
      <c r="E836" s="2">
        <f>IFERROR(__xludf.DUMMYFUNCTION("""COMPUTED_VALUE"""),186663.0)</f>
        <v>186663</v>
      </c>
      <c r="F836" s="2">
        <f>IFERROR(__xludf.DUMMYFUNCTION("""COMPUTED_VALUE"""),3946564.0)</f>
        <v>3946564</v>
      </c>
      <c r="G836" s="2">
        <f>IFERROR(__xludf.DUMMYFUNCTION("""COMPUTED_VALUE"""),90.0663)</f>
        <v>90.0663</v>
      </c>
    </row>
    <row r="837">
      <c r="A837" s="1" t="s">
        <v>836</v>
      </c>
      <c r="D837" s="3">
        <f>IFERROR(__xludf.DUMMYFUNCTION("SPLIT(A837, ""|"")"),43054.0)</f>
        <v>43054</v>
      </c>
      <c r="E837" s="2">
        <f>IFERROR(__xludf.DUMMYFUNCTION("""COMPUTED_VALUE"""),1452693.0)</f>
        <v>1452693</v>
      </c>
      <c r="F837" s="2">
        <f>IFERROR(__xludf.DUMMYFUNCTION("""COMPUTED_VALUE"""),3947827.0)</f>
        <v>3947827</v>
      </c>
      <c r="G837" s="2">
        <f>IFERROR(__xludf.DUMMYFUNCTION("""COMPUTED_VALUE"""),51.225)</f>
        <v>51.225</v>
      </c>
    </row>
    <row r="838">
      <c r="A838" s="1" t="s">
        <v>837</v>
      </c>
      <c r="D838" s="3">
        <f>IFERROR(__xludf.DUMMYFUNCTION("SPLIT(A838, ""|"")"),43054.0)</f>
        <v>43054</v>
      </c>
      <c r="E838" s="2">
        <f>IFERROR(__xludf.DUMMYFUNCTION("""COMPUTED_VALUE"""),1063383.0)</f>
        <v>1063383</v>
      </c>
      <c r="F838" s="2">
        <f>IFERROR(__xludf.DUMMYFUNCTION("""COMPUTED_VALUE"""),3946210.0)</f>
        <v>3946210</v>
      </c>
      <c r="G838" s="2">
        <f>IFERROR(__xludf.DUMMYFUNCTION("""COMPUTED_VALUE"""),48.3767)</f>
        <v>48.3767</v>
      </c>
    </row>
    <row r="839">
      <c r="A839" s="1" t="s">
        <v>838</v>
      </c>
      <c r="D839" s="3">
        <f>IFERROR(__xludf.DUMMYFUNCTION("SPLIT(A839, ""|"")"),43054.0)</f>
        <v>43054</v>
      </c>
      <c r="E839" s="2">
        <f>IFERROR(__xludf.DUMMYFUNCTION("""COMPUTED_VALUE"""),91623.0)</f>
        <v>91623</v>
      </c>
      <c r="F839" s="2">
        <f>IFERROR(__xludf.DUMMYFUNCTION("""COMPUTED_VALUE"""),3945611.0)</f>
        <v>3945611</v>
      </c>
      <c r="G839" s="2">
        <f>IFERROR(__xludf.DUMMYFUNCTION("""COMPUTED_VALUE"""),38.9832)</f>
        <v>38.9832</v>
      </c>
    </row>
    <row r="840">
      <c r="A840" s="1" t="s">
        <v>839</v>
      </c>
      <c r="D840" s="3">
        <f>IFERROR(__xludf.DUMMYFUNCTION("SPLIT(A840, ""|"")"),43054.0)</f>
        <v>43054</v>
      </c>
      <c r="E840" s="2">
        <f>IFERROR(__xludf.DUMMYFUNCTION("""COMPUTED_VALUE"""),474633.0)</f>
        <v>474633</v>
      </c>
      <c r="F840" s="2">
        <f>IFERROR(__xludf.DUMMYFUNCTION("""COMPUTED_VALUE"""),3947384.0)</f>
        <v>3947384</v>
      </c>
      <c r="G840" s="2">
        <f>IFERROR(__xludf.DUMMYFUNCTION("""COMPUTED_VALUE"""),70.8438)</f>
        <v>70.8438</v>
      </c>
    </row>
    <row r="841">
      <c r="A841" s="1" t="s">
        <v>840</v>
      </c>
      <c r="D841" s="3">
        <f>IFERROR(__xludf.DUMMYFUNCTION("SPLIT(A841, ""|"")"),43054.0)</f>
        <v>43054</v>
      </c>
      <c r="E841" s="2">
        <f>IFERROR(__xludf.DUMMYFUNCTION("""COMPUTED_VALUE"""),1452093.0)</f>
        <v>1452093</v>
      </c>
      <c r="F841" s="2">
        <f>IFERROR(__xludf.DUMMYFUNCTION("""COMPUTED_VALUE"""),3945831.0)</f>
        <v>3945831</v>
      </c>
      <c r="G841" s="2">
        <f>IFERROR(__xludf.DUMMYFUNCTION("""COMPUTED_VALUE"""),10.35)</f>
        <v>10.35</v>
      </c>
    </row>
    <row r="842">
      <c r="A842" s="1" t="s">
        <v>841</v>
      </c>
      <c r="D842" s="3">
        <f>IFERROR(__xludf.DUMMYFUNCTION("SPLIT(A842, ""|"")"),43054.0)</f>
        <v>43054</v>
      </c>
      <c r="E842" s="2">
        <f>IFERROR(__xludf.DUMMYFUNCTION("""COMPUTED_VALUE"""),1452573.0)</f>
        <v>1452573</v>
      </c>
      <c r="F842" s="2">
        <f>IFERROR(__xludf.DUMMYFUNCTION("""COMPUTED_VALUE"""),3947444.0)</f>
        <v>3947444</v>
      </c>
      <c r="G842" s="2">
        <f>IFERROR(__xludf.DUMMYFUNCTION("""COMPUTED_VALUE"""),36.52)</f>
        <v>36.52</v>
      </c>
    </row>
    <row r="843">
      <c r="A843" s="1" t="s">
        <v>842</v>
      </c>
      <c r="D843" s="3">
        <f>IFERROR(__xludf.DUMMYFUNCTION("SPLIT(A843, ""|"")"),43310.0)</f>
        <v>43310</v>
      </c>
      <c r="E843" s="2">
        <f>IFERROR(__xludf.DUMMYFUNCTION("""COMPUTED_VALUE"""),1089273.0)</f>
        <v>1089273</v>
      </c>
      <c r="F843" s="2">
        <f>IFERROR(__xludf.DUMMYFUNCTION("""COMPUTED_VALUE"""),4643620.0)</f>
        <v>4643620</v>
      </c>
      <c r="G843" s="2">
        <f>IFERROR(__xludf.DUMMYFUNCTION("""COMPUTED_VALUE"""),47.3204999999999)</f>
        <v>47.3205</v>
      </c>
    </row>
    <row r="844">
      <c r="A844" s="1" t="s">
        <v>843</v>
      </c>
      <c r="D844" s="3">
        <f>IFERROR(__xludf.DUMMYFUNCTION("SPLIT(A844, ""|"")"),43310.0)</f>
        <v>43310</v>
      </c>
      <c r="E844" s="2">
        <f>IFERROR(__xludf.DUMMYFUNCTION("""COMPUTED_VALUE"""),228423.0)</f>
        <v>228423</v>
      </c>
      <c r="F844" s="2">
        <f>IFERROR(__xludf.DUMMYFUNCTION("""COMPUTED_VALUE"""),4644082.0)</f>
        <v>4644082</v>
      </c>
      <c r="G844" s="2">
        <f>IFERROR(__xludf.DUMMYFUNCTION("""COMPUTED_VALUE"""),12.4167)</f>
        <v>12.4167</v>
      </c>
    </row>
    <row r="845">
      <c r="A845" s="1" t="s">
        <v>844</v>
      </c>
      <c r="D845" s="3">
        <f>IFERROR(__xludf.DUMMYFUNCTION("SPLIT(A845, ""|"")"),43310.0)</f>
        <v>43310</v>
      </c>
      <c r="E845" s="2">
        <f>IFERROR(__xludf.DUMMYFUNCTION("""COMPUTED_VALUE"""),1223523.0)</f>
        <v>1223523</v>
      </c>
      <c r="F845" s="2">
        <f>IFERROR(__xludf.DUMMYFUNCTION("""COMPUTED_VALUE"""),4645657.0)</f>
        <v>4645657</v>
      </c>
      <c r="G845" s="2">
        <f>IFERROR(__xludf.DUMMYFUNCTION("""COMPUTED_VALUE"""),132.1654)</f>
        <v>132.1654</v>
      </c>
    </row>
    <row r="846">
      <c r="A846" s="1" t="s">
        <v>845</v>
      </c>
      <c r="D846" s="3">
        <f>IFERROR(__xludf.DUMMYFUNCTION("SPLIT(A846, ""|"")"),43310.0)</f>
        <v>43310</v>
      </c>
      <c r="E846" s="2">
        <f>IFERROR(__xludf.DUMMYFUNCTION("""COMPUTED_VALUE"""),1634223.0)</f>
        <v>1634223</v>
      </c>
      <c r="F846" s="2">
        <f>IFERROR(__xludf.DUMMYFUNCTION("""COMPUTED_VALUE"""),4643629.0)</f>
        <v>4643629</v>
      </c>
      <c r="G846" s="2">
        <f>IFERROR(__xludf.DUMMYFUNCTION("""COMPUTED_VALUE"""),22.8528)</f>
        <v>22.8528</v>
      </c>
    </row>
    <row r="847">
      <c r="A847" s="1" t="s">
        <v>846</v>
      </c>
      <c r="D847" s="3">
        <f>IFERROR(__xludf.DUMMYFUNCTION("SPLIT(A847, ""|"")"),43310.0)</f>
        <v>43310</v>
      </c>
      <c r="E847" s="2">
        <f>IFERROR(__xludf.DUMMYFUNCTION("""COMPUTED_VALUE"""),1528353.0)</f>
        <v>1528353</v>
      </c>
      <c r="F847" s="2">
        <f>IFERROR(__xludf.DUMMYFUNCTION("""COMPUTED_VALUE"""),4643407.0)</f>
        <v>4643407</v>
      </c>
      <c r="G847" s="2">
        <f>IFERROR(__xludf.DUMMYFUNCTION("""COMPUTED_VALUE"""),175.5208)</f>
        <v>175.5208</v>
      </c>
    </row>
    <row r="848">
      <c r="A848" s="1" t="s">
        <v>847</v>
      </c>
      <c r="D848" s="3">
        <f>IFERROR(__xludf.DUMMYFUNCTION("SPLIT(A848, ""|"")"),43310.0)</f>
        <v>43310</v>
      </c>
      <c r="E848" s="2">
        <f>IFERROR(__xludf.DUMMYFUNCTION("""COMPUTED_VALUE"""),120693.0)</f>
        <v>120693</v>
      </c>
      <c r="F848" s="2">
        <f>IFERROR(__xludf.DUMMYFUNCTION("""COMPUTED_VALUE"""),4645653.0)</f>
        <v>4645653</v>
      </c>
      <c r="G848" s="2">
        <f>IFERROR(__xludf.DUMMYFUNCTION("""COMPUTED_VALUE"""),18.9479)</f>
        <v>18.9479</v>
      </c>
    </row>
    <row r="849">
      <c r="A849" s="1" t="s">
        <v>848</v>
      </c>
      <c r="D849" s="3">
        <f>IFERROR(__xludf.DUMMYFUNCTION("SPLIT(A849, ""|"")"),43310.0)</f>
        <v>43310</v>
      </c>
      <c r="E849" s="2">
        <f>IFERROR(__xludf.DUMMYFUNCTION("""COMPUTED_VALUE"""),1440333.0)</f>
        <v>1440333</v>
      </c>
      <c r="F849" s="2">
        <f>IFERROR(__xludf.DUMMYFUNCTION("""COMPUTED_VALUE"""),4643338.0)</f>
        <v>4643338</v>
      </c>
      <c r="G849" s="2">
        <f>IFERROR(__xludf.DUMMYFUNCTION("""COMPUTED_VALUE"""),68.1517)</f>
        <v>68.1517</v>
      </c>
    </row>
    <row r="850">
      <c r="A850" s="1" t="s">
        <v>849</v>
      </c>
      <c r="D850" s="3">
        <f>IFERROR(__xludf.DUMMYFUNCTION("SPLIT(A850, ""|"")"),43310.0)</f>
        <v>43310</v>
      </c>
      <c r="E850" s="2">
        <f>IFERROR(__xludf.DUMMYFUNCTION("""COMPUTED_VALUE"""),1496013.0)</f>
        <v>1496013</v>
      </c>
      <c r="F850" s="2">
        <f>IFERROR(__xludf.DUMMYFUNCTION("""COMPUTED_VALUE"""),4643539.0)</f>
        <v>4643539</v>
      </c>
      <c r="G850" s="2">
        <f>IFERROR(__xludf.DUMMYFUNCTION("""COMPUTED_VALUE"""),87.2363999999999)</f>
        <v>87.2364</v>
      </c>
    </row>
    <row r="851">
      <c r="A851" s="1" t="s">
        <v>850</v>
      </c>
      <c r="D851" s="3">
        <f>IFERROR(__xludf.DUMMYFUNCTION("SPLIT(A851, ""|"")"),43310.0)</f>
        <v>43310</v>
      </c>
      <c r="E851" s="2">
        <f>IFERROR(__xludf.DUMMYFUNCTION("""COMPUTED_VALUE"""),1604373.0)</f>
        <v>1604373</v>
      </c>
      <c r="F851" s="2">
        <f>IFERROR(__xludf.DUMMYFUNCTION("""COMPUTED_VALUE"""),4645078.0)</f>
        <v>4645078</v>
      </c>
      <c r="G851" s="2">
        <f>IFERROR(__xludf.DUMMYFUNCTION("""COMPUTED_VALUE"""),57.3161999999999)</f>
        <v>57.3162</v>
      </c>
    </row>
    <row r="852">
      <c r="A852" s="1" t="s">
        <v>851</v>
      </c>
      <c r="D852" s="3">
        <f>IFERROR(__xludf.DUMMYFUNCTION("SPLIT(A852, ""|"")"),43055.0)</f>
        <v>43055</v>
      </c>
      <c r="E852" s="2">
        <f>IFERROR(__xludf.DUMMYFUNCTION("""COMPUTED_VALUE"""),1183563.0)</f>
        <v>1183563</v>
      </c>
      <c r="F852" s="2">
        <f>IFERROR(__xludf.DUMMYFUNCTION("""COMPUTED_VALUE"""),3950306.0)</f>
        <v>3950306</v>
      </c>
      <c r="G852" s="2">
        <f>IFERROR(__xludf.DUMMYFUNCTION("""COMPUTED_VALUE"""),67.1943)</f>
        <v>67.1943</v>
      </c>
    </row>
    <row r="853">
      <c r="A853" s="1" t="s">
        <v>852</v>
      </c>
      <c r="D853" s="3">
        <f>IFERROR(__xludf.DUMMYFUNCTION("SPLIT(A853, ""|"")"),43055.0)</f>
        <v>43055</v>
      </c>
      <c r="E853" s="2">
        <f>IFERROR(__xludf.DUMMYFUNCTION("""COMPUTED_VALUE"""),231213.0)</f>
        <v>231213</v>
      </c>
      <c r="F853" s="2">
        <f>IFERROR(__xludf.DUMMYFUNCTION("""COMPUTED_VALUE"""),3948223.0)</f>
        <v>3948223</v>
      </c>
      <c r="G853" s="2">
        <f>IFERROR(__xludf.DUMMYFUNCTION("""COMPUTED_VALUE"""),152.8229)</f>
        <v>152.8229</v>
      </c>
    </row>
    <row r="854">
      <c r="A854" s="1" t="s">
        <v>853</v>
      </c>
      <c r="D854" s="3">
        <f>IFERROR(__xludf.DUMMYFUNCTION("SPLIT(A854, ""|"")"),43055.0)</f>
        <v>43055</v>
      </c>
      <c r="E854" s="2">
        <f>IFERROR(__xludf.DUMMYFUNCTION("""COMPUTED_VALUE"""),1452873.0)</f>
        <v>1452873</v>
      </c>
      <c r="F854" s="2">
        <f>IFERROR(__xludf.DUMMYFUNCTION("""COMPUTED_VALUE"""),3948614.0)</f>
        <v>3948614</v>
      </c>
      <c r="G854" s="2">
        <f>IFERROR(__xludf.DUMMYFUNCTION("""COMPUTED_VALUE"""),119.25)</f>
        <v>119.25</v>
      </c>
    </row>
    <row r="855">
      <c r="A855" s="1" t="s">
        <v>854</v>
      </c>
      <c r="D855" s="3">
        <f>IFERROR(__xludf.DUMMYFUNCTION("SPLIT(A855, ""|"")"),43311.0)</f>
        <v>43311</v>
      </c>
      <c r="E855" s="2">
        <f>IFERROR(__xludf.DUMMYFUNCTION("""COMPUTED_VALUE"""),1533513.0)</f>
        <v>1533513</v>
      </c>
      <c r="F855" s="2">
        <f>IFERROR(__xludf.DUMMYFUNCTION("""COMPUTED_VALUE"""),4648256.0)</f>
        <v>4648256</v>
      </c>
      <c r="G855" s="2">
        <f>IFERROR(__xludf.DUMMYFUNCTION("""COMPUTED_VALUE"""),89.9096)</f>
        <v>89.9096</v>
      </c>
    </row>
    <row r="856">
      <c r="A856" s="1" t="s">
        <v>855</v>
      </c>
      <c r="D856" s="3">
        <f>IFERROR(__xludf.DUMMYFUNCTION("SPLIT(A856, ""|"")"),43311.0)</f>
        <v>43311</v>
      </c>
      <c r="E856" s="2">
        <f>IFERROR(__xludf.DUMMYFUNCTION("""COMPUTED_VALUE"""),228423.0)</f>
        <v>228423</v>
      </c>
      <c r="F856" s="2">
        <f>IFERROR(__xludf.DUMMYFUNCTION("""COMPUTED_VALUE"""),4647365.0)</f>
        <v>4647365</v>
      </c>
      <c r="G856" s="2">
        <f>IFERROR(__xludf.DUMMYFUNCTION("""COMPUTED_VALUE"""),181.7397)</f>
        <v>181.7397</v>
      </c>
    </row>
    <row r="857">
      <c r="A857" s="1" t="s">
        <v>856</v>
      </c>
      <c r="D857" s="3">
        <f>IFERROR(__xludf.DUMMYFUNCTION("SPLIT(A857, ""|"")"),43311.0)</f>
        <v>43311</v>
      </c>
      <c r="E857" s="2">
        <f>IFERROR(__xludf.DUMMYFUNCTION("""COMPUTED_VALUE"""),1635123.0)</f>
        <v>1635123</v>
      </c>
      <c r="F857" s="2">
        <f>IFERROR(__xludf.DUMMYFUNCTION("""COMPUTED_VALUE"""),4647633.0)</f>
        <v>4647633</v>
      </c>
      <c r="G857" s="2">
        <f>IFERROR(__xludf.DUMMYFUNCTION("""COMPUTED_VALUE"""),7.92)</f>
        <v>7.92</v>
      </c>
    </row>
    <row r="858">
      <c r="A858" s="1" t="s">
        <v>857</v>
      </c>
      <c r="D858" s="3">
        <f>IFERROR(__xludf.DUMMYFUNCTION("SPLIT(A858, ""|"")"),43311.0)</f>
        <v>43311</v>
      </c>
      <c r="E858" s="2">
        <f>IFERROR(__xludf.DUMMYFUNCTION("""COMPUTED_VALUE"""),1041153.0)</f>
        <v>1041153</v>
      </c>
      <c r="F858" s="2">
        <f>IFERROR(__xludf.DUMMYFUNCTION("""COMPUTED_VALUE"""),4645929.0)</f>
        <v>4645929</v>
      </c>
      <c r="G858" s="2">
        <f>IFERROR(__xludf.DUMMYFUNCTION("""COMPUTED_VALUE"""),59.2523)</f>
        <v>59.2523</v>
      </c>
    </row>
    <row r="859">
      <c r="A859" s="1" t="s">
        <v>858</v>
      </c>
      <c r="D859" s="3">
        <f>IFERROR(__xludf.DUMMYFUNCTION("SPLIT(A859, ""|"")"),43311.0)</f>
        <v>43311</v>
      </c>
      <c r="E859" s="2">
        <f>IFERROR(__xludf.DUMMYFUNCTION("""COMPUTED_VALUE"""),1382673.0)</f>
        <v>1382673</v>
      </c>
      <c r="F859" s="2">
        <f>IFERROR(__xludf.DUMMYFUNCTION("""COMPUTED_VALUE"""),4648243.0)</f>
        <v>4648243</v>
      </c>
      <c r="G859" s="2">
        <f>IFERROR(__xludf.DUMMYFUNCTION("""COMPUTED_VALUE"""),235.8061)</f>
        <v>235.8061</v>
      </c>
    </row>
    <row r="860">
      <c r="A860" s="1" t="s">
        <v>859</v>
      </c>
      <c r="D860" s="3">
        <f>IFERROR(__xludf.DUMMYFUNCTION("SPLIT(A860, ""|"")"),43311.0)</f>
        <v>43311</v>
      </c>
      <c r="E860" s="2">
        <f>IFERROR(__xludf.DUMMYFUNCTION("""COMPUTED_VALUE"""),1455873.0)</f>
        <v>1455873</v>
      </c>
      <c r="F860" s="2">
        <f>IFERROR(__xludf.DUMMYFUNCTION("""COMPUTED_VALUE"""),4647438.0)</f>
        <v>4647438</v>
      </c>
      <c r="G860" s="2">
        <f>IFERROR(__xludf.DUMMYFUNCTION("""COMPUTED_VALUE"""),70.52)</f>
        <v>70.52</v>
      </c>
    </row>
    <row r="861">
      <c r="A861" s="1" t="s">
        <v>860</v>
      </c>
      <c r="D861" s="3">
        <f>IFERROR(__xludf.DUMMYFUNCTION("SPLIT(A861, ""|"")"),43311.0)</f>
        <v>43311</v>
      </c>
      <c r="E861" s="2">
        <f>IFERROR(__xludf.DUMMYFUNCTION("""COMPUTED_VALUE"""),1387113.0)</f>
        <v>1387113</v>
      </c>
      <c r="F861" s="2">
        <f>IFERROR(__xludf.DUMMYFUNCTION("""COMPUTED_VALUE"""),4648550.0)</f>
        <v>4648550</v>
      </c>
      <c r="G861" s="2">
        <f>IFERROR(__xludf.DUMMYFUNCTION("""COMPUTED_VALUE"""),305.3477)</f>
        <v>305.3477</v>
      </c>
    </row>
    <row r="862">
      <c r="A862" s="1" t="s">
        <v>861</v>
      </c>
      <c r="D862" s="3">
        <f>IFERROR(__xludf.DUMMYFUNCTION("SPLIT(A862, ""|"")"),43311.0)</f>
        <v>43311</v>
      </c>
      <c r="E862" s="2">
        <f>IFERROR(__xludf.DUMMYFUNCTION("""COMPUTED_VALUE"""),423153.0)</f>
        <v>423153</v>
      </c>
      <c r="F862" s="2">
        <f>IFERROR(__xludf.DUMMYFUNCTION("""COMPUTED_VALUE"""),4646151.0)</f>
        <v>4646151</v>
      </c>
      <c r="G862" s="2">
        <f>IFERROR(__xludf.DUMMYFUNCTION("""COMPUTED_VALUE"""),100.9951)</f>
        <v>100.9951</v>
      </c>
    </row>
    <row r="863">
      <c r="A863" s="1" t="s">
        <v>862</v>
      </c>
      <c r="D863" s="3">
        <f>IFERROR(__xludf.DUMMYFUNCTION("SPLIT(A863, ""|"")"),43311.0)</f>
        <v>43311</v>
      </c>
      <c r="E863" s="2">
        <f>IFERROR(__xludf.DUMMYFUNCTION("""COMPUTED_VALUE"""),1149063.0)</f>
        <v>1149063</v>
      </c>
      <c r="F863" s="2">
        <f>IFERROR(__xludf.DUMMYFUNCTION("""COMPUTED_VALUE"""),4647479.0)</f>
        <v>4647479</v>
      </c>
      <c r="G863" s="2">
        <f>IFERROR(__xludf.DUMMYFUNCTION("""COMPUTED_VALUE"""),105.7982)</f>
        <v>105.7982</v>
      </c>
    </row>
    <row r="864">
      <c r="A864" s="1" t="s">
        <v>863</v>
      </c>
      <c r="D864" s="3">
        <f>IFERROR(__xludf.DUMMYFUNCTION("SPLIT(A864, ""|"")"),43311.0)</f>
        <v>43311</v>
      </c>
      <c r="E864" s="2">
        <f>IFERROR(__xludf.DUMMYFUNCTION("""COMPUTED_VALUE"""),1407573.0)</f>
        <v>1407573</v>
      </c>
      <c r="F864" s="2">
        <f>IFERROR(__xludf.DUMMYFUNCTION("""COMPUTED_VALUE"""),4648215.0)</f>
        <v>4648215</v>
      </c>
      <c r="G864" s="2">
        <f>IFERROR(__xludf.DUMMYFUNCTION("""COMPUTED_VALUE"""),41.6843)</f>
        <v>41.6843</v>
      </c>
    </row>
    <row r="865">
      <c r="A865" s="1" t="s">
        <v>864</v>
      </c>
      <c r="D865" s="3">
        <f>IFERROR(__xludf.DUMMYFUNCTION("SPLIT(A865, ""|"")"),43311.0)</f>
        <v>43311</v>
      </c>
      <c r="E865" s="2">
        <f>IFERROR(__xludf.DUMMYFUNCTION("""COMPUTED_VALUE"""),1627473.0)</f>
        <v>1627473</v>
      </c>
      <c r="F865" s="2">
        <f>IFERROR(__xludf.DUMMYFUNCTION("""COMPUTED_VALUE"""),4647257.0)</f>
        <v>4647257</v>
      </c>
      <c r="G865" s="2">
        <f>IFERROR(__xludf.DUMMYFUNCTION("""COMPUTED_VALUE"""),70.8372)</f>
        <v>70.8372</v>
      </c>
    </row>
    <row r="866">
      <c r="A866" s="1" t="s">
        <v>865</v>
      </c>
      <c r="D866" s="3">
        <f>IFERROR(__xludf.DUMMYFUNCTION("SPLIT(A866, ""|"")"),43311.0)</f>
        <v>43311</v>
      </c>
      <c r="E866" s="2">
        <f>IFERROR(__xludf.DUMMYFUNCTION("""COMPUTED_VALUE"""),1635153.0)</f>
        <v>1635153</v>
      </c>
      <c r="F866" s="2">
        <f>IFERROR(__xludf.DUMMYFUNCTION("""COMPUTED_VALUE"""),4647731.0)</f>
        <v>4647731</v>
      </c>
      <c r="G866" s="2">
        <f>IFERROR(__xludf.DUMMYFUNCTION("""COMPUTED_VALUE"""),29.902)</f>
        <v>29.902</v>
      </c>
    </row>
    <row r="867">
      <c r="A867" s="1" t="s">
        <v>866</v>
      </c>
      <c r="D867" s="3">
        <f>IFERROR(__xludf.DUMMYFUNCTION("SPLIT(A867, ""|"")"),43311.0)</f>
        <v>43311</v>
      </c>
      <c r="E867" s="2">
        <f>IFERROR(__xludf.DUMMYFUNCTION("""COMPUTED_VALUE"""),1351803.0)</f>
        <v>1351803</v>
      </c>
      <c r="F867" s="2">
        <f>IFERROR(__xludf.DUMMYFUNCTION("""COMPUTED_VALUE"""),4645940.0)</f>
        <v>4645940</v>
      </c>
      <c r="G867" s="2">
        <f>IFERROR(__xludf.DUMMYFUNCTION("""COMPUTED_VALUE"""),42.5922)</f>
        <v>42.5922</v>
      </c>
    </row>
    <row r="868">
      <c r="A868" s="1" t="s">
        <v>867</v>
      </c>
      <c r="D868" s="3">
        <f>IFERROR(__xludf.DUMMYFUNCTION("SPLIT(A868, ""|"")"),43311.0)</f>
        <v>43311</v>
      </c>
      <c r="E868" s="2">
        <f>IFERROR(__xludf.DUMMYFUNCTION("""COMPUTED_VALUE"""),1635003.0)</f>
        <v>1635003</v>
      </c>
      <c r="F868" s="2">
        <f>IFERROR(__xludf.DUMMYFUNCTION("""COMPUTED_VALUE"""),4647114.0)</f>
        <v>4647114</v>
      </c>
      <c r="G868" s="2">
        <f>IFERROR(__xludf.DUMMYFUNCTION("""COMPUTED_VALUE"""),56.8443)</f>
        <v>56.8443</v>
      </c>
    </row>
    <row r="869">
      <c r="A869" s="1" t="s">
        <v>868</v>
      </c>
      <c r="D869" s="3">
        <f>IFERROR(__xludf.DUMMYFUNCTION("SPLIT(A869, ""|"")"),43311.0)</f>
        <v>43311</v>
      </c>
      <c r="E869" s="2">
        <f>IFERROR(__xludf.DUMMYFUNCTION("""COMPUTED_VALUE"""),1634943.0)</f>
        <v>1634943</v>
      </c>
      <c r="F869" s="2">
        <f>IFERROR(__xludf.DUMMYFUNCTION("""COMPUTED_VALUE"""),4646799.0)</f>
        <v>4646799</v>
      </c>
      <c r="G869" s="2">
        <f>IFERROR(__xludf.DUMMYFUNCTION("""COMPUTED_VALUE"""),44.1239)</f>
        <v>44.1239</v>
      </c>
    </row>
    <row r="870">
      <c r="A870" s="1" t="s">
        <v>869</v>
      </c>
      <c r="D870" s="3">
        <f>IFERROR(__xludf.DUMMYFUNCTION("SPLIT(A870, ""|"")"),43056.0)</f>
        <v>43056</v>
      </c>
      <c r="E870" s="2">
        <f>IFERROR(__xludf.DUMMYFUNCTION("""COMPUTED_VALUE"""),1453833.0)</f>
        <v>1453833</v>
      </c>
      <c r="F870" s="2">
        <f>IFERROR(__xludf.DUMMYFUNCTION("""COMPUTED_VALUE"""),3952126.0)</f>
        <v>3952126</v>
      </c>
      <c r="G870" s="2">
        <f>IFERROR(__xludf.DUMMYFUNCTION("""COMPUTED_VALUE"""),22.9388)</f>
        <v>22.9388</v>
      </c>
    </row>
    <row r="871">
      <c r="A871" s="1" t="s">
        <v>870</v>
      </c>
      <c r="D871" s="3">
        <f>IFERROR(__xludf.DUMMYFUNCTION("SPLIT(A871, ""|"")"),43056.0)</f>
        <v>43056</v>
      </c>
      <c r="E871" s="2">
        <f>IFERROR(__xludf.DUMMYFUNCTION("""COMPUTED_VALUE"""),1261383.0)</f>
        <v>1261383</v>
      </c>
      <c r="F871" s="2">
        <f>IFERROR(__xludf.DUMMYFUNCTION("""COMPUTED_VALUE"""),3952300.0)</f>
        <v>3952300</v>
      </c>
      <c r="G871" s="2">
        <f>IFERROR(__xludf.DUMMYFUNCTION("""COMPUTED_VALUE"""),118.066499999999)</f>
        <v>118.0665</v>
      </c>
    </row>
    <row r="872">
      <c r="A872" s="1" t="s">
        <v>871</v>
      </c>
      <c r="D872" s="3">
        <f>IFERROR(__xludf.DUMMYFUNCTION("SPLIT(A872, ""|"")"),43056.0)</f>
        <v>43056</v>
      </c>
      <c r="E872" s="2">
        <f>IFERROR(__xludf.DUMMYFUNCTION("""COMPUTED_VALUE"""),1410633.0)</f>
        <v>1410633</v>
      </c>
      <c r="F872" s="2">
        <f>IFERROR(__xludf.DUMMYFUNCTION("""COMPUTED_VALUE"""),3952067.0)</f>
        <v>3952067</v>
      </c>
      <c r="G872" s="2">
        <f>IFERROR(__xludf.DUMMYFUNCTION("""COMPUTED_VALUE"""),59.6977)</f>
        <v>59.6977</v>
      </c>
    </row>
    <row r="873">
      <c r="A873" s="1" t="s">
        <v>872</v>
      </c>
      <c r="D873" s="3">
        <f>IFERROR(__xludf.DUMMYFUNCTION("SPLIT(A873, ""|"")"),43056.0)</f>
        <v>43056</v>
      </c>
      <c r="E873" s="2">
        <f>IFERROR(__xludf.DUMMYFUNCTION("""COMPUTED_VALUE"""),1454043.0)</f>
        <v>1454043</v>
      </c>
      <c r="F873" s="2">
        <f>IFERROR(__xludf.DUMMYFUNCTION("""COMPUTED_VALUE"""),3952748.0)</f>
        <v>3952748</v>
      </c>
      <c r="G873" s="2">
        <f>IFERROR(__xludf.DUMMYFUNCTION("""COMPUTED_VALUE"""),23.3042)</f>
        <v>23.3042</v>
      </c>
    </row>
    <row r="874">
      <c r="A874" s="1" t="s">
        <v>873</v>
      </c>
      <c r="D874" s="3">
        <f>IFERROR(__xludf.DUMMYFUNCTION("SPLIT(A874, ""|"")"),43056.0)</f>
        <v>43056</v>
      </c>
      <c r="E874" s="2">
        <f>IFERROR(__xludf.DUMMYFUNCTION("""COMPUTED_VALUE"""),1146963.0)</f>
        <v>1146963</v>
      </c>
      <c r="F874" s="2">
        <f>IFERROR(__xludf.DUMMYFUNCTION("""COMPUTED_VALUE"""),3952537.0)</f>
        <v>3952537</v>
      </c>
      <c r="G874" s="2">
        <f>IFERROR(__xludf.DUMMYFUNCTION("""COMPUTED_VALUE"""),37.9639)</f>
        <v>37.9639</v>
      </c>
    </row>
    <row r="875">
      <c r="A875" s="1" t="s">
        <v>874</v>
      </c>
      <c r="D875" s="3">
        <f>IFERROR(__xludf.DUMMYFUNCTION("SPLIT(A875, ""|"")"),43056.0)</f>
        <v>43056</v>
      </c>
      <c r="E875" s="2">
        <f>IFERROR(__xludf.DUMMYFUNCTION("""COMPUTED_VALUE"""),1262733.0)</f>
        <v>1262733</v>
      </c>
      <c r="F875" s="2">
        <f>IFERROR(__xludf.DUMMYFUNCTION("""COMPUTED_VALUE"""),3952194.0)</f>
        <v>3952194</v>
      </c>
      <c r="G875" s="2">
        <f>IFERROR(__xludf.DUMMYFUNCTION("""COMPUTED_VALUE"""),246.717)</f>
        <v>246.717</v>
      </c>
    </row>
    <row r="876">
      <c r="A876" s="1" t="s">
        <v>875</v>
      </c>
      <c r="D876" s="3">
        <f>IFERROR(__xludf.DUMMYFUNCTION("SPLIT(A876, ""|"")"),43056.0)</f>
        <v>43056</v>
      </c>
      <c r="E876" s="2">
        <f>IFERROR(__xludf.DUMMYFUNCTION("""COMPUTED_VALUE"""),1262733.0)</f>
        <v>1262733</v>
      </c>
      <c r="F876" s="2">
        <f>IFERROR(__xludf.DUMMYFUNCTION("""COMPUTED_VALUE"""),3952235.0)</f>
        <v>3952235</v>
      </c>
      <c r="G876" s="2">
        <f>IFERROR(__xludf.DUMMYFUNCTION("""COMPUTED_VALUE"""),201.7577)</f>
        <v>201.7577</v>
      </c>
    </row>
    <row r="877">
      <c r="A877" s="1" t="s">
        <v>876</v>
      </c>
      <c r="D877" s="3">
        <f>IFERROR(__xludf.DUMMYFUNCTION("SPLIT(A877, ""|"")"),43312.0)</f>
        <v>43312</v>
      </c>
      <c r="E877" s="2">
        <f>IFERROR(__xludf.DUMMYFUNCTION("""COMPUTED_VALUE"""),1606743.0)</f>
        <v>1606743</v>
      </c>
      <c r="F877" s="2">
        <f>IFERROR(__xludf.DUMMYFUNCTION("""COMPUTED_VALUE"""),4649497.0)</f>
        <v>4649497</v>
      </c>
      <c r="G877" s="2">
        <f>IFERROR(__xludf.DUMMYFUNCTION("""COMPUTED_VALUE"""),35.1466999999999)</f>
        <v>35.1467</v>
      </c>
    </row>
    <row r="878">
      <c r="A878" s="1" t="s">
        <v>877</v>
      </c>
      <c r="D878" s="3">
        <f>IFERROR(__xludf.DUMMYFUNCTION("SPLIT(A878, ""|"")"),43312.0)</f>
        <v>43312</v>
      </c>
      <c r="E878" s="2">
        <f>IFERROR(__xludf.DUMMYFUNCTION("""COMPUTED_VALUE"""),948573.0)</f>
        <v>948573</v>
      </c>
      <c r="F878" s="2">
        <f>IFERROR(__xludf.DUMMYFUNCTION("""COMPUTED_VALUE"""),4649114.0)</f>
        <v>4649114</v>
      </c>
      <c r="G878" s="2">
        <f>IFERROR(__xludf.DUMMYFUNCTION("""COMPUTED_VALUE"""),53.3589999999999)</f>
        <v>53.359</v>
      </c>
    </row>
    <row r="879">
      <c r="A879" s="1" t="s">
        <v>878</v>
      </c>
      <c r="D879" s="3">
        <f>IFERROR(__xludf.DUMMYFUNCTION("SPLIT(A879, ""|"")"),43312.0)</f>
        <v>43312</v>
      </c>
      <c r="E879" s="2">
        <f>IFERROR(__xludf.DUMMYFUNCTION("""COMPUTED_VALUE"""),1587693.0)</f>
        <v>1587693</v>
      </c>
      <c r="F879" s="2">
        <f>IFERROR(__xludf.DUMMYFUNCTION("""COMPUTED_VALUE"""),4650529.0)</f>
        <v>4650529</v>
      </c>
      <c r="G879" s="2">
        <f>IFERROR(__xludf.DUMMYFUNCTION("""COMPUTED_VALUE"""),38.7744999999999)</f>
        <v>38.7745</v>
      </c>
    </row>
    <row r="880">
      <c r="A880" s="1" t="s">
        <v>879</v>
      </c>
      <c r="D880" s="3">
        <f>IFERROR(__xludf.DUMMYFUNCTION("SPLIT(A880, ""|"")"),43312.0)</f>
        <v>43312</v>
      </c>
      <c r="E880" s="2">
        <f>IFERROR(__xludf.DUMMYFUNCTION("""COMPUTED_VALUE"""),1435293.0)</f>
        <v>1435293</v>
      </c>
      <c r="F880" s="2">
        <f>IFERROR(__xludf.DUMMYFUNCTION("""COMPUTED_VALUE"""),4650737.0)</f>
        <v>4650737</v>
      </c>
      <c r="G880" s="2">
        <f>IFERROR(__xludf.DUMMYFUNCTION("""COMPUTED_VALUE"""),145.4235)</f>
        <v>145.4235</v>
      </c>
    </row>
    <row r="881">
      <c r="A881" s="1" t="s">
        <v>880</v>
      </c>
      <c r="D881" s="3">
        <f>IFERROR(__xludf.DUMMYFUNCTION("SPLIT(A881, ""|"")"),43312.0)</f>
        <v>43312</v>
      </c>
      <c r="E881" s="2">
        <f>IFERROR(__xludf.DUMMYFUNCTION("""COMPUTED_VALUE"""),309093.0)</f>
        <v>309093</v>
      </c>
      <c r="F881" s="2">
        <f>IFERROR(__xludf.DUMMYFUNCTION("""COMPUTED_VALUE"""),4650286.0)</f>
        <v>4650286</v>
      </c>
      <c r="G881" s="2">
        <f>IFERROR(__xludf.DUMMYFUNCTION("""COMPUTED_VALUE"""),73.1055)</f>
        <v>73.1055</v>
      </c>
    </row>
    <row r="882">
      <c r="A882" s="1" t="s">
        <v>881</v>
      </c>
      <c r="D882" s="3">
        <f>IFERROR(__xludf.DUMMYFUNCTION("SPLIT(A882, ""|"")"),43312.0)</f>
        <v>43312</v>
      </c>
      <c r="E882" s="2">
        <f>IFERROR(__xludf.DUMMYFUNCTION("""COMPUTED_VALUE"""),1635453.0)</f>
        <v>1635453</v>
      </c>
      <c r="F882" s="2">
        <f>IFERROR(__xludf.DUMMYFUNCTION("""COMPUTED_VALUE"""),4649194.0)</f>
        <v>4649194</v>
      </c>
      <c r="G882" s="2">
        <f>IFERROR(__xludf.DUMMYFUNCTION("""COMPUTED_VALUE"""),12.8798)</f>
        <v>12.8798</v>
      </c>
    </row>
    <row r="883">
      <c r="A883" s="1" t="s">
        <v>882</v>
      </c>
      <c r="D883" s="3">
        <f>IFERROR(__xludf.DUMMYFUNCTION("SPLIT(A883, ""|"")"),43057.0)</f>
        <v>43057</v>
      </c>
      <c r="E883" s="2">
        <f>IFERROR(__xludf.DUMMYFUNCTION("""COMPUTED_VALUE"""),1454583.0)</f>
        <v>1454583</v>
      </c>
      <c r="F883" s="2">
        <f>IFERROR(__xludf.DUMMYFUNCTION("""COMPUTED_VALUE"""),3954287.0)</f>
        <v>3954287</v>
      </c>
      <c r="G883" s="2">
        <f>IFERROR(__xludf.DUMMYFUNCTION("""COMPUTED_VALUE"""),35.6171)</f>
        <v>35.6171</v>
      </c>
    </row>
    <row r="884">
      <c r="A884" s="1" t="s">
        <v>883</v>
      </c>
      <c r="D884" s="3">
        <f>IFERROR(__xludf.DUMMYFUNCTION("SPLIT(A884, ""|"")"),43057.0)</f>
        <v>43057</v>
      </c>
      <c r="E884" s="2">
        <f>IFERROR(__xludf.DUMMYFUNCTION("""COMPUTED_VALUE"""),1454223.0)</f>
        <v>1454223</v>
      </c>
      <c r="F884" s="2">
        <f>IFERROR(__xludf.DUMMYFUNCTION("""COMPUTED_VALUE"""),3953321.0)</f>
        <v>3953321</v>
      </c>
      <c r="G884" s="2">
        <f>IFERROR(__xludf.DUMMYFUNCTION("""COMPUTED_VALUE"""),39.2)</f>
        <v>39.2</v>
      </c>
    </row>
    <row r="885">
      <c r="A885" s="1" t="s">
        <v>884</v>
      </c>
      <c r="D885" s="3">
        <f>IFERROR(__xludf.DUMMYFUNCTION("SPLIT(A885, ""|"")"),43057.0)</f>
        <v>43057</v>
      </c>
      <c r="E885" s="2">
        <f>IFERROR(__xludf.DUMMYFUNCTION("""COMPUTED_VALUE"""),1454373.0)</f>
        <v>1454373</v>
      </c>
      <c r="F885" s="2">
        <f>IFERROR(__xludf.DUMMYFUNCTION("""COMPUTED_VALUE"""),3953728.0)</f>
        <v>3953728</v>
      </c>
      <c r="G885" s="2">
        <f>IFERROR(__xludf.DUMMYFUNCTION("""COMPUTED_VALUE"""),12.66)</f>
        <v>12.66</v>
      </c>
    </row>
    <row r="886">
      <c r="A886" s="1" t="s">
        <v>885</v>
      </c>
      <c r="D886" s="3">
        <f>IFERROR(__xludf.DUMMYFUNCTION("SPLIT(A886, ""|"")"),43057.0)</f>
        <v>43057</v>
      </c>
      <c r="E886" s="2">
        <f>IFERROR(__xludf.DUMMYFUNCTION("""COMPUTED_VALUE"""),1454433.0)</f>
        <v>1454433</v>
      </c>
      <c r="F886" s="2">
        <f>IFERROR(__xludf.DUMMYFUNCTION("""COMPUTED_VALUE"""),3953879.0)</f>
        <v>3953879</v>
      </c>
      <c r="G886" s="2">
        <f>IFERROR(__xludf.DUMMYFUNCTION("""COMPUTED_VALUE"""),20.8267)</f>
        <v>20.8267</v>
      </c>
    </row>
    <row r="887">
      <c r="A887" s="1" t="s">
        <v>886</v>
      </c>
      <c r="D887" s="3">
        <f>IFERROR(__xludf.DUMMYFUNCTION("SPLIT(A887, ""|"")"),43057.0)</f>
        <v>43057</v>
      </c>
      <c r="E887" s="2">
        <f>IFERROR(__xludf.DUMMYFUNCTION("""COMPUTED_VALUE"""),1454403.0)</f>
        <v>1454403</v>
      </c>
      <c r="F887" s="2">
        <f>IFERROR(__xludf.DUMMYFUNCTION("""COMPUTED_VALUE"""),3953965.0)</f>
        <v>3953965</v>
      </c>
      <c r="G887" s="2">
        <f>IFERROR(__xludf.DUMMYFUNCTION("""COMPUTED_VALUE"""),60.8088)</f>
        <v>60.8088</v>
      </c>
    </row>
    <row r="888">
      <c r="A888" s="1" t="s">
        <v>887</v>
      </c>
      <c r="D888" s="3">
        <f>IFERROR(__xludf.DUMMYFUNCTION("SPLIT(A888, ""|"")"),43313.0)</f>
        <v>43313</v>
      </c>
      <c r="E888" s="2">
        <f>IFERROR(__xludf.DUMMYFUNCTION("""COMPUTED_VALUE"""),1636413.0)</f>
        <v>1636413</v>
      </c>
      <c r="F888" s="2">
        <f>IFERROR(__xludf.DUMMYFUNCTION("""COMPUTED_VALUE"""),4653204.0)</f>
        <v>4653204</v>
      </c>
      <c r="G888" s="2">
        <f>IFERROR(__xludf.DUMMYFUNCTION("""COMPUTED_VALUE"""),39.152)</f>
        <v>39.152</v>
      </c>
    </row>
    <row r="889">
      <c r="A889" s="1" t="s">
        <v>888</v>
      </c>
      <c r="D889" s="3">
        <f>IFERROR(__xludf.DUMMYFUNCTION("SPLIT(A889, ""|"")"),43313.0)</f>
        <v>43313</v>
      </c>
      <c r="E889" s="2">
        <f>IFERROR(__xludf.DUMMYFUNCTION("""COMPUTED_VALUE"""),1077273.0)</f>
        <v>1077273</v>
      </c>
      <c r="F889" s="2">
        <f>IFERROR(__xludf.DUMMYFUNCTION("""COMPUTED_VALUE"""),4654270.0)</f>
        <v>4654270</v>
      </c>
      <c r="G889" s="2">
        <f>IFERROR(__xludf.DUMMYFUNCTION("""COMPUTED_VALUE"""),72.0415)</f>
        <v>72.0415</v>
      </c>
    </row>
    <row r="890">
      <c r="A890" s="1" t="s">
        <v>889</v>
      </c>
      <c r="D890" s="3">
        <f>IFERROR(__xludf.DUMMYFUNCTION("SPLIT(A890, ""|"")"),43313.0)</f>
        <v>43313</v>
      </c>
      <c r="E890" s="2">
        <f>IFERROR(__xludf.DUMMYFUNCTION("""COMPUTED_VALUE"""),1528503.0)</f>
        <v>1528503</v>
      </c>
      <c r="F890" s="2">
        <f>IFERROR(__xludf.DUMMYFUNCTION("""COMPUTED_VALUE"""),4653103.0)</f>
        <v>4653103</v>
      </c>
      <c r="G890" s="2">
        <f>IFERROR(__xludf.DUMMYFUNCTION("""COMPUTED_VALUE"""),74.4842)</f>
        <v>74.4842</v>
      </c>
    </row>
    <row r="891">
      <c r="A891" s="1" t="s">
        <v>890</v>
      </c>
      <c r="D891" s="3">
        <f>IFERROR(__xludf.DUMMYFUNCTION("SPLIT(A891, ""|"")"),43313.0)</f>
        <v>43313</v>
      </c>
      <c r="E891" s="2">
        <f>IFERROR(__xludf.DUMMYFUNCTION("""COMPUTED_VALUE"""),1376643.0)</f>
        <v>1376643</v>
      </c>
      <c r="F891" s="2">
        <f>IFERROR(__xludf.DUMMYFUNCTION("""COMPUTED_VALUE"""),4653721.0)</f>
        <v>4653721</v>
      </c>
      <c r="G891" s="2">
        <f>IFERROR(__xludf.DUMMYFUNCTION("""COMPUTED_VALUE"""),18.6698)</f>
        <v>18.6698</v>
      </c>
    </row>
    <row r="892">
      <c r="A892" s="1" t="s">
        <v>891</v>
      </c>
      <c r="D892" s="3">
        <f>IFERROR(__xludf.DUMMYFUNCTION("SPLIT(A892, ""|"")"),43058.0)</f>
        <v>43058</v>
      </c>
      <c r="E892" s="2">
        <f>IFERROR(__xludf.DUMMYFUNCTION("""COMPUTED_VALUE"""),1455873.0)</f>
        <v>1455873</v>
      </c>
      <c r="F892" s="2">
        <f>IFERROR(__xludf.DUMMYFUNCTION("""COMPUTED_VALUE"""),3958306.0)</f>
        <v>3958306</v>
      </c>
      <c r="G892" s="2">
        <f>IFERROR(__xludf.DUMMYFUNCTION("""COMPUTED_VALUE"""),66.583)</f>
        <v>66.583</v>
      </c>
    </row>
    <row r="893">
      <c r="A893" s="1" t="s">
        <v>892</v>
      </c>
      <c r="D893" s="3">
        <f>IFERROR(__xludf.DUMMYFUNCTION("SPLIT(A893, ""|"")"),43058.0)</f>
        <v>43058</v>
      </c>
      <c r="E893" s="2">
        <f>IFERROR(__xludf.DUMMYFUNCTION("""COMPUTED_VALUE"""),278733.0)</f>
        <v>278733</v>
      </c>
      <c r="F893" s="2">
        <f>IFERROR(__xludf.DUMMYFUNCTION("""COMPUTED_VALUE"""),3955423.0)</f>
        <v>3955423</v>
      </c>
      <c r="G893" s="2">
        <f>IFERROR(__xludf.DUMMYFUNCTION("""COMPUTED_VALUE"""),75.4546)</f>
        <v>75.4546</v>
      </c>
    </row>
    <row r="894">
      <c r="A894" s="1" t="s">
        <v>893</v>
      </c>
      <c r="D894" s="3">
        <f>IFERROR(__xludf.DUMMYFUNCTION("SPLIT(A894, ""|"")"),43058.0)</f>
        <v>43058</v>
      </c>
      <c r="E894" s="2">
        <f>IFERROR(__xludf.DUMMYFUNCTION("""COMPUTED_VALUE"""),1082913.0)</f>
        <v>1082913</v>
      </c>
      <c r="F894" s="2">
        <f>IFERROR(__xludf.DUMMYFUNCTION("""COMPUTED_VALUE"""),3958017.0)</f>
        <v>3958017</v>
      </c>
      <c r="G894" s="2">
        <f>IFERROR(__xludf.DUMMYFUNCTION("""COMPUTED_VALUE"""),123.3585)</f>
        <v>123.3585</v>
      </c>
    </row>
    <row r="895">
      <c r="A895" s="1" t="s">
        <v>894</v>
      </c>
      <c r="D895" s="3">
        <f>IFERROR(__xludf.DUMMYFUNCTION("SPLIT(A895, ""|"")"),43058.0)</f>
        <v>43058</v>
      </c>
      <c r="E895" s="2">
        <f>IFERROR(__xludf.DUMMYFUNCTION("""COMPUTED_VALUE"""),1455903.0)</f>
        <v>1455903</v>
      </c>
      <c r="F895" s="2">
        <f>IFERROR(__xludf.DUMMYFUNCTION("""COMPUTED_VALUE"""),3958449.0)</f>
        <v>3958449</v>
      </c>
      <c r="G895" s="2">
        <f>IFERROR(__xludf.DUMMYFUNCTION("""COMPUTED_VALUE"""),53.5763)</f>
        <v>53.5763</v>
      </c>
    </row>
    <row r="896">
      <c r="A896" s="1" t="s">
        <v>895</v>
      </c>
      <c r="D896" s="3">
        <f>IFERROR(__xludf.DUMMYFUNCTION("SPLIT(A896, ""|"")"),43058.0)</f>
        <v>43058</v>
      </c>
      <c r="E896" s="2">
        <f>IFERROR(__xludf.DUMMYFUNCTION("""COMPUTED_VALUE"""),367683.0)</f>
        <v>367683</v>
      </c>
      <c r="F896" s="2">
        <f>IFERROR(__xludf.DUMMYFUNCTION("""COMPUTED_VALUE"""),3957860.0)</f>
        <v>3957860</v>
      </c>
      <c r="G896" s="2">
        <f>IFERROR(__xludf.DUMMYFUNCTION("""COMPUTED_VALUE"""),36.4139)</f>
        <v>36.4139</v>
      </c>
    </row>
    <row r="897">
      <c r="A897" s="1" t="s">
        <v>896</v>
      </c>
      <c r="D897" s="3">
        <f>IFERROR(__xludf.DUMMYFUNCTION("SPLIT(A897, ""|"")"),43314.0)</f>
        <v>43314</v>
      </c>
      <c r="E897" s="2">
        <f>IFERROR(__xludf.DUMMYFUNCTION("""COMPUTED_VALUE"""),1637013.0)</f>
        <v>1637013</v>
      </c>
      <c r="F897" s="2">
        <f>IFERROR(__xludf.DUMMYFUNCTION("""COMPUTED_VALUE"""),4655614.0)</f>
        <v>4655614</v>
      </c>
      <c r="G897" s="2">
        <f>IFERROR(__xludf.DUMMYFUNCTION("""COMPUTED_VALUE"""),43.436)</f>
        <v>43.436</v>
      </c>
    </row>
    <row r="898">
      <c r="A898" s="1" t="s">
        <v>897</v>
      </c>
      <c r="D898" s="3">
        <f>IFERROR(__xludf.DUMMYFUNCTION("SPLIT(A898, ""|"")"),43314.0)</f>
        <v>43314</v>
      </c>
      <c r="E898" s="2">
        <f>IFERROR(__xludf.DUMMYFUNCTION("""COMPUTED_VALUE"""),1542183.0)</f>
        <v>1542183</v>
      </c>
      <c r="F898" s="2">
        <f>IFERROR(__xludf.DUMMYFUNCTION("""COMPUTED_VALUE"""),4654904.0)</f>
        <v>4654904</v>
      </c>
      <c r="G898" s="2">
        <f>IFERROR(__xludf.DUMMYFUNCTION("""COMPUTED_VALUE"""),132.5118)</f>
        <v>132.5118</v>
      </c>
    </row>
    <row r="899">
      <c r="A899" s="1" t="s">
        <v>898</v>
      </c>
      <c r="D899" s="3">
        <f>IFERROR(__xludf.DUMMYFUNCTION("SPLIT(A899, ""|"")"),43314.0)</f>
        <v>43314</v>
      </c>
      <c r="E899" s="2">
        <f>IFERROR(__xludf.DUMMYFUNCTION("""COMPUTED_VALUE"""),1284513.0)</f>
        <v>1284513</v>
      </c>
      <c r="F899" s="2">
        <f>IFERROR(__xludf.DUMMYFUNCTION("""COMPUTED_VALUE"""),4655071.0)</f>
        <v>4655071</v>
      </c>
      <c r="G899" s="2">
        <f>IFERROR(__xludf.DUMMYFUNCTION("""COMPUTED_VALUE"""),65.4408)</f>
        <v>65.4408</v>
      </c>
    </row>
    <row r="900">
      <c r="A900" s="1" t="s">
        <v>899</v>
      </c>
      <c r="D900" s="3">
        <f>IFERROR(__xludf.DUMMYFUNCTION("SPLIT(A900, ""|"")"),43314.0)</f>
        <v>43314</v>
      </c>
      <c r="E900" s="2">
        <f>IFERROR(__xludf.DUMMYFUNCTION("""COMPUTED_VALUE"""),1168623.0)</f>
        <v>1168623</v>
      </c>
      <c r="F900" s="2">
        <f>IFERROR(__xludf.DUMMYFUNCTION("""COMPUTED_VALUE"""),4654569.0)</f>
        <v>4654569</v>
      </c>
      <c r="G900" s="2">
        <f>IFERROR(__xludf.DUMMYFUNCTION("""COMPUTED_VALUE"""),92.186)</f>
        <v>92.186</v>
      </c>
    </row>
    <row r="901">
      <c r="A901" s="1" t="s">
        <v>900</v>
      </c>
      <c r="D901" s="3">
        <f>IFERROR(__xludf.DUMMYFUNCTION("SPLIT(A901, ""|"")"),43314.0)</f>
        <v>43314</v>
      </c>
      <c r="E901" s="2">
        <f>IFERROR(__xludf.DUMMYFUNCTION("""COMPUTED_VALUE"""),184683.0)</f>
        <v>184683</v>
      </c>
      <c r="F901" s="2">
        <f>IFERROR(__xludf.DUMMYFUNCTION("""COMPUTED_VALUE"""),4656097.0)</f>
        <v>4656097</v>
      </c>
      <c r="G901" s="2">
        <f>IFERROR(__xludf.DUMMYFUNCTION("""COMPUTED_VALUE"""),82.3158)</f>
        <v>82.3158</v>
      </c>
    </row>
    <row r="902">
      <c r="A902" s="1" t="s">
        <v>901</v>
      </c>
      <c r="D902" s="3">
        <f>IFERROR(__xludf.DUMMYFUNCTION("SPLIT(A902, ""|"")"),43314.0)</f>
        <v>43314</v>
      </c>
      <c r="E902" s="2">
        <f>IFERROR(__xludf.DUMMYFUNCTION("""COMPUTED_VALUE"""),228423.0)</f>
        <v>228423</v>
      </c>
      <c r="F902" s="2">
        <f>IFERROR(__xludf.DUMMYFUNCTION("""COMPUTED_VALUE"""),4654460.0)</f>
        <v>4654460</v>
      </c>
      <c r="G902" s="2">
        <f>IFERROR(__xludf.DUMMYFUNCTION("""COMPUTED_VALUE"""),72.545)</f>
        <v>72.545</v>
      </c>
    </row>
    <row r="903">
      <c r="A903" s="1" t="s">
        <v>902</v>
      </c>
      <c r="D903" s="3">
        <f>IFERROR(__xludf.DUMMYFUNCTION("SPLIT(A903, ""|"")"),43314.0)</f>
        <v>43314</v>
      </c>
      <c r="E903" s="2">
        <f>IFERROR(__xludf.DUMMYFUNCTION("""COMPUTED_VALUE"""),1588233.0)</f>
        <v>1588233</v>
      </c>
      <c r="F903" s="2">
        <f>IFERROR(__xludf.DUMMYFUNCTION("""COMPUTED_VALUE"""),4655230.0)</f>
        <v>4655230</v>
      </c>
      <c r="G903" s="2">
        <f>IFERROR(__xludf.DUMMYFUNCTION("""COMPUTED_VALUE"""),97.1374999999999)</f>
        <v>97.1375</v>
      </c>
    </row>
    <row r="904">
      <c r="A904" s="1" t="s">
        <v>903</v>
      </c>
      <c r="D904" s="3">
        <f>IFERROR(__xludf.DUMMYFUNCTION("SPLIT(A904, ""|"")"),43059.0)</f>
        <v>43059</v>
      </c>
      <c r="E904" s="2">
        <f>IFERROR(__xludf.DUMMYFUNCTION("""COMPUTED_VALUE"""),1350873.0)</f>
        <v>1350873</v>
      </c>
      <c r="F904" s="2">
        <f>IFERROR(__xludf.DUMMYFUNCTION("""COMPUTED_VALUE"""),3959397.0)</f>
        <v>3959397</v>
      </c>
      <c r="G904" s="2">
        <f>IFERROR(__xludf.DUMMYFUNCTION("""COMPUTED_VALUE"""),92.2253)</f>
        <v>92.2253</v>
      </c>
    </row>
    <row r="905">
      <c r="A905" s="1" t="s">
        <v>904</v>
      </c>
      <c r="D905" s="3">
        <f>IFERROR(__xludf.DUMMYFUNCTION("SPLIT(A905, ""|"")"),43059.0)</f>
        <v>43059</v>
      </c>
      <c r="E905" s="2">
        <f>IFERROR(__xludf.DUMMYFUNCTION("""COMPUTED_VALUE"""),1323693.0)</f>
        <v>1323693</v>
      </c>
      <c r="F905" s="2">
        <f>IFERROR(__xludf.DUMMYFUNCTION("""COMPUTED_VALUE"""),3961190.0)</f>
        <v>3961190</v>
      </c>
      <c r="G905" s="2">
        <f>IFERROR(__xludf.DUMMYFUNCTION("""COMPUTED_VALUE"""),86.1469)</f>
        <v>86.1469</v>
      </c>
    </row>
    <row r="906">
      <c r="A906" s="1" t="s">
        <v>905</v>
      </c>
      <c r="D906" s="3">
        <f>IFERROR(__xludf.DUMMYFUNCTION("SPLIT(A906, ""|"")"),43315.0)</f>
        <v>43315</v>
      </c>
      <c r="E906" s="2">
        <f>IFERROR(__xludf.DUMMYFUNCTION("""COMPUTED_VALUE"""),1637823.0)</f>
        <v>1637823</v>
      </c>
      <c r="F906" s="2">
        <f>IFERROR(__xludf.DUMMYFUNCTION("""COMPUTED_VALUE"""),4658853.0)</f>
        <v>4658853</v>
      </c>
      <c r="G906" s="2">
        <f>IFERROR(__xludf.DUMMYFUNCTION("""COMPUTED_VALUE"""),61.8351)</f>
        <v>61.8351</v>
      </c>
    </row>
    <row r="907">
      <c r="A907" s="1" t="s">
        <v>906</v>
      </c>
      <c r="D907" s="3">
        <f>IFERROR(__xludf.DUMMYFUNCTION("SPLIT(A907, ""|"")"),43315.0)</f>
        <v>43315</v>
      </c>
      <c r="E907" s="2">
        <f>IFERROR(__xludf.DUMMYFUNCTION("""COMPUTED_VALUE"""),1043823.0)</f>
        <v>1043823</v>
      </c>
      <c r="F907" s="2">
        <f>IFERROR(__xludf.DUMMYFUNCTION("""COMPUTED_VALUE"""),4658404.0)</f>
        <v>4658404</v>
      </c>
      <c r="G907" s="2">
        <f>IFERROR(__xludf.DUMMYFUNCTION("""COMPUTED_VALUE"""),63.8659)</f>
        <v>63.8659</v>
      </c>
    </row>
    <row r="908">
      <c r="A908" s="1" t="s">
        <v>907</v>
      </c>
      <c r="D908" s="3">
        <f>IFERROR(__xludf.DUMMYFUNCTION("SPLIT(A908, ""|"")"),43315.0)</f>
        <v>43315</v>
      </c>
      <c r="E908" s="2">
        <f>IFERROR(__xludf.DUMMYFUNCTION("""COMPUTED_VALUE"""),1617633.0)</f>
        <v>1617633</v>
      </c>
      <c r="F908" s="2">
        <f>IFERROR(__xludf.DUMMYFUNCTION("""COMPUTED_VALUE"""),4658672.0)</f>
        <v>4658672</v>
      </c>
      <c r="G908" s="2">
        <f>IFERROR(__xludf.DUMMYFUNCTION("""COMPUTED_VALUE"""),29.3704999999999)</f>
        <v>29.3705</v>
      </c>
    </row>
    <row r="909">
      <c r="A909" s="1" t="s">
        <v>908</v>
      </c>
      <c r="D909" s="3">
        <f>IFERROR(__xludf.DUMMYFUNCTION("SPLIT(A909, ""|"")"),43315.0)</f>
        <v>43315</v>
      </c>
      <c r="E909" s="2">
        <f>IFERROR(__xludf.DUMMYFUNCTION("""COMPUTED_VALUE"""),1372173.0)</f>
        <v>1372173</v>
      </c>
      <c r="F909" s="2">
        <f>IFERROR(__xludf.DUMMYFUNCTION("""COMPUTED_VALUE"""),4658791.0)</f>
        <v>4658791</v>
      </c>
      <c r="G909" s="2">
        <f>IFERROR(__xludf.DUMMYFUNCTION("""COMPUTED_VALUE"""),57.8463)</f>
        <v>57.8463</v>
      </c>
    </row>
    <row r="910">
      <c r="A910" s="1" t="s">
        <v>909</v>
      </c>
      <c r="D910" s="3">
        <f>IFERROR(__xludf.DUMMYFUNCTION("SPLIT(A910, ""|"")"),43315.0)</f>
        <v>43315</v>
      </c>
      <c r="E910" s="2">
        <f>IFERROR(__xludf.DUMMYFUNCTION("""COMPUTED_VALUE"""),1637853.0)</f>
        <v>1637853</v>
      </c>
      <c r="F910" s="2">
        <f>IFERROR(__xludf.DUMMYFUNCTION("""COMPUTED_VALUE"""),4658932.0)</f>
        <v>4658932</v>
      </c>
      <c r="G910" s="2">
        <f>IFERROR(__xludf.DUMMYFUNCTION("""COMPUTED_VALUE"""),34.1658)</f>
        <v>34.1658</v>
      </c>
    </row>
    <row r="911">
      <c r="A911" s="1" t="s">
        <v>910</v>
      </c>
      <c r="D911" s="3">
        <f>IFERROR(__xludf.DUMMYFUNCTION("SPLIT(A911, ""|"")"),43315.0)</f>
        <v>43315</v>
      </c>
      <c r="E911" s="2">
        <f>IFERROR(__xludf.DUMMYFUNCTION("""COMPUTED_VALUE"""),1637583.0)</f>
        <v>1637583</v>
      </c>
      <c r="F911" s="2">
        <f>IFERROR(__xludf.DUMMYFUNCTION("""COMPUTED_VALUE"""),4657968.0)</f>
        <v>4657968</v>
      </c>
      <c r="G911" s="2">
        <f>IFERROR(__xludf.DUMMYFUNCTION("""COMPUTED_VALUE"""),138.146)</f>
        <v>138.146</v>
      </c>
    </row>
    <row r="912">
      <c r="A912" s="1" t="s">
        <v>911</v>
      </c>
      <c r="D912" s="3">
        <f>IFERROR(__xludf.DUMMYFUNCTION("SPLIT(A912, ""|"")"),43060.0)</f>
        <v>43060</v>
      </c>
      <c r="E912" s="2">
        <f>IFERROR(__xludf.DUMMYFUNCTION("""COMPUTED_VALUE"""),1457763.0)</f>
        <v>1457763</v>
      </c>
      <c r="F912" s="2">
        <f>IFERROR(__xludf.DUMMYFUNCTION("""COMPUTED_VALUE"""),3965487.0)</f>
        <v>3965487</v>
      </c>
      <c r="G912" s="2">
        <f>IFERROR(__xludf.DUMMYFUNCTION("""COMPUTED_VALUE"""),80.7912)</f>
        <v>80.7912</v>
      </c>
    </row>
    <row r="913">
      <c r="A913" s="1" t="s">
        <v>912</v>
      </c>
      <c r="D913" s="3">
        <f>IFERROR(__xludf.DUMMYFUNCTION("SPLIT(A913, ""|"")"),43060.0)</f>
        <v>43060</v>
      </c>
      <c r="E913" s="2">
        <f>IFERROR(__xludf.DUMMYFUNCTION("""COMPUTED_VALUE"""),1262643.0)</f>
        <v>1262643</v>
      </c>
      <c r="F913" s="2">
        <f>IFERROR(__xludf.DUMMYFUNCTION("""COMPUTED_VALUE"""),3964390.0)</f>
        <v>3964390</v>
      </c>
      <c r="G913" s="2">
        <f>IFERROR(__xludf.DUMMYFUNCTION("""COMPUTED_VALUE"""),38.5518)</f>
        <v>38.5518</v>
      </c>
    </row>
    <row r="914">
      <c r="A914" s="1" t="s">
        <v>913</v>
      </c>
      <c r="D914" s="3">
        <f>IFERROR(__xludf.DUMMYFUNCTION("SPLIT(A914, ""|"")"),43060.0)</f>
        <v>43060</v>
      </c>
      <c r="E914" s="2">
        <f>IFERROR(__xludf.DUMMYFUNCTION("""COMPUTED_VALUE"""),1283523.0)</f>
        <v>1283523</v>
      </c>
      <c r="F914" s="2">
        <f>IFERROR(__xludf.DUMMYFUNCTION("""COMPUTED_VALUE"""),3962801.0)</f>
        <v>3962801</v>
      </c>
      <c r="G914" s="2">
        <f>IFERROR(__xludf.DUMMYFUNCTION("""COMPUTED_VALUE"""),41.3037999999999)</f>
        <v>41.3038</v>
      </c>
    </row>
    <row r="915">
      <c r="A915" s="1" t="s">
        <v>914</v>
      </c>
      <c r="D915" s="3">
        <f>IFERROR(__xludf.DUMMYFUNCTION("SPLIT(A915, ""|"")"),43316.0)</f>
        <v>43316</v>
      </c>
      <c r="E915" s="2">
        <f>IFERROR(__xludf.DUMMYFUNCTION("""COMPUTED_VALUE"""),1595253.0)</f>
        <v>1595253</v>
      </c>
      <c r="F915" s="2">
        <f>IFERROR(__xludf.DUMMYFUNCTION("""COMPUTED_VALUE"""),4660697.0)</f>
        <v>4660697</v>
      </c>
      <c r="G915" s="2">
        <f>IFERROR(__xludf.DUMMYFUNCTION("""COMPUTED_VALUE"""),50.2129999999999)</f>
        <v>50.213</v>
      </c>
    </row>
    <row r="916">
      <c r="A916" s="1" t="s">
        <v>915</v>
      </c>
      <c r="D916" s="3">
        <f>IFERROR(__xludf.DUMMYFUNCTION("SPLIT(A916, ""|"")"),43316.0)</f>
        <v>43316</v>
      </c>
      <c r="E916" s="2">
        <f>IFERROR(__xludf.DUMMYFUNCTION("""COMPUTED_VALUE"""),1237893.0)</f>
        <v>1237893</v>
      </c>
      <c r="F916" s="2">
        <f>IFERROR(__xludf.DUMMYFUNCTION("""COMPUTED_VALUE"""),4659459.0)</f>
        <v>4659459</v>
      </c>
      <c r="G916" s="2">
        <f>IFERROR(__xludf.DUMMYFUNCTION("""COMPUTED_VALUE"""),78.9296)</f>
        <v>78.9296</v>
      </c>
    </row>
    <row r="917">
      <c r="A917" s="1" t="s">
        <v>916</v>
      </c>
      <c r="D917" s="3">
        <f>IFERROR(__xludf.DUMMYFUNCTION("SPLIT(A917, ""|"")"),43316.0)</f>
        <v>43316</v>
      </c>
      <c r="E917" s="2">
        <f>IFERROR(__xludf.DUMMYFUNCTION("""COMPUTED_VALUE"""),1010553.0)</f>
        <v>1010553</v>
      </c>
      <c r="F917" s="2">
        <f>IFERROR(__xludf.DUMMYFUNCTION("""COMPUTED_VALUE"""),4659983.0)</f>
        <v>4659983</v>
      </c>
      <c r="G917" s="2">
        <f>IFERROR(__xludf.DUMMYFUNCTION("""COMPUTED_VALUE"""),67.9229)</f>
        <v>67.9229</v>
      </c>
    </row>
    <row r="918">
      <c r="A918" s="1" t="s">
        <v>917</v>
      </c>
      <c r="D918" s="3">
        <f>IFERROR(__xludf.DUMMYFUNCTION("SPLIT(A918, ""|"")"),43316.0)</f>
        <v>43316</v>
      </c>
      <c r="E918" s="2">
        <f>IFERROR(__xludf.DUMMYFUNCTION("""COMPUTED_VALUE"""),367683.0)</f>
        <v>367683</v>
      </c>
      <c r="F918" s="2">
        <f>IFERROR(__xludf.DUMMYFUNCTION("""COMPUTED_VALUE"""),4660029.0)</f>
        <v>4660029</v>
      </c>
      <c r="G918" s="2">
        <f>IFERROR(__xludf.DUMMYFUNCTION("""COMPUTED_VALUE"""),52.9392)</f>
        <v>52.9392</v>
      </c>
    </row>
    <row r="919">
      <c r="A919" s="1" t="s">
        <v>918</v>
      </c>
      <c r="D919" s="3">
        <f>IFERROR(__xludf.DUMMYFUNCTION("SPLIT(A919, ""|"")"),43316.0)</f>
        <v>43316</v>
      </c>
      <c r="E919" s="2">
        <f>IFERROR(__xludf.DUMMYFUNCTION("""COMPUTED_VALUE"""),1638123.0)</f>
        <v>1638123</v>
      </c>
      <c r="F919" s="2">
        <f>IFERROR(__xludf.DUMMYFUNCTION("""COMPUTED_VALUE"""),4659800.0)</f>
        <v>4659800</v>
      </c>
      <c r="G919" s="2">
        <f>IFERROR(__xludf.DUMMYFUNCTION("""COMPUTED_VALUE"""),20.4245)</f>
        <v>20.4245</v>
      </c>
    </row>
    <row r="920">
      <c r="A920" s="1" t="s">
        <v>919</v>
      </c>
      <c r="D920" s="3">
        <f>IFERROR(__xludf.DUMMYFUNCTION("SPLIT(A920, ""|"")"),43316.0)</f>
        <v>43316</v>
      </c>
      <c r="E920" s="2">
        <f>IFERROR(__xludf.DUMMYFUNCTION("""COMPUTED_VALUE"""),143763.0)</f>
        <v>143763</v>
      </c>
      <c r="F920" s="2">
        <f>IFERROR(__xludf.DUMMYFUNCTION("""COMPUTED_VALUE"""),4660330.0)</f>
        <v>4660330</v>
      </c>
      <c r="G920" s="2">
        <f>IFERROR(__xludf.DUMMYFUNCTION("""COMPUTED_VALUE"""),80.7208)</f>
        <v>80.7208</v>
      </c>
    </row>
    <row r="921">
      <c r="A921" s="1" t="s">
        <v>920</v>
      </c>
      <c r="D921" s="3">
        <f>IFERROR(__xludf.DUMMYFUNCTION("SPLIT(A921, ""|"")"),43061.0)</f>
        <v>43061</v>
      </c>
      <c r="E921" s="2">
        <f>IFERROR(__xludf.DUMMYFUNCTION("""COMPUTED_VALUE"""),384483.0)</f>
        <v>384483</v>
      </c>
      <c r="F921" s="2">
        <f>IFERROR(__xludf.DUMMYFUNCTION("""COMPUTED_VALUE"""),3966133.0)</f>
        <v>3966133</v>
      </c>
      <c r="G921" s="2">
        <f>IFERROR(__xludf.DUMMYFUNCTION("""COMPUTED_VALUE"""),176.5718)</f>
        <v>176.5718</v>
      </c>
    </row>
    <row r="922">
      <c r="A922" s="1" t="s">
        <v>921</v>
      </c>
      <c r="D922" s="3">
        <f>IFERROR(__xludf.DUMMYFUNCTION("SPLIT(A922, ""|"")"),43061.0)</f>
        <v>43061</v>
      </c>
      <c r="E922" s="2">
        <f>IFERROR(__xludf.DUMMYFUNCTION("""COMPUTED_VALUE"""),1292643.0)</f>
        <v>1292643</v>
      </c>
      <c r="F922" s="2">
        <f>IFERROR(__xludf.DUMMYFUNCTION("""COMPUTED_VALUE"""),3966227.0)</f>
        <v>3966227</v>
      </c>
      <c r="G922" s="2">
        <f>IFERROR(__xludf.DUMMYFUNCTION("""COMPUTED_VALUE"""),50.5065)</f>
        <v>50.5065</v>
      </c>
    </row>
    <row r="923">
      <c r="A923" s="1" t="s">
        <v>922</v>
      </c>
      <c r="D923" s="3">
        <f>IFERROR(__xludf.DUMMYFUNCTION("SPLIT(A923, ""|"")"),43061.0)</f>
        <v>43061</v>
      </c>
      <c r="E923" s="2">
        <f>IFERROR(__xludf.DUMMYFUNCTION("""COMPUTED_VALUE"""),1418553.0)</f>
        <v>1418553</v>
      </c>
      <c r="F923" s="2">
        <f>IFERROR(__xludf.DUMMYFUNCTION("""COMPUTED_VALUE"""),3967386.0)</f>
        <v>3967386</v>
      </c>
      <c r="G923" s="2">
        <f>IFERROR(__xludf.DUMMYFUNCTION("""COMPUTED_VALUE"""),16.916)</f>
        <v>16.916</v>
      </c>
    </row>
    <row r="924">
      <c r="A924" s="1" t="s">
        <v>923</v>
      </c>
      <c r="D924" s="3">
        <f>IFERROR(__xludf.DUMMYFUNCTION("SPLIT(A924, ""|"")"),43061.0)</f>
        <v>43061</v>
      </c>
      <c r="E924" s="2">
        <f>IFERROR(__xludf.DUMMYFUNCTION("""COMPUTED_VALUE"""),1151013.0)</f>
        <v>1151013</v>
      </c>
      <c r="F924" s="2">
        <f>IFERROR(__xludf.DUMMYFUNCTION("""COMPUTED_VALUE"""),3966565.0)</f>
        <v>3966565</v>
      </c>
      <c r="G924" s="2">
        <f>IFERROR(__xludf.DUMMYFUNCTION("""COMPUTED_VALUE"""),71.7855)</f>
        <v>71.7855</v>
      </c>
    </row>
    <row r="925">
      <c r="A925" s="1" t="s">
        <v>924</v>
      </c>
      <c r="D925" s="3">
        <f>IFERROR(__xludf.DUMMYFUNCTION("SPLIT(A925, ""|"")"),43061.0)</f>
        <v>43061</v>
      </c>
      <c r="E925" s="2">
        <f>IFERROR(__xludf.DUMMYFUNCTION("""COMPUTED_VALUE"""),1458453.0)</f>
        <v>1458453</v>
      </c>
      <c r="F925" s="2">
        <f>IFERROR(__xludf.DUMMYFUNCTION("""COMPUTED_VALUE"""),3968180.0)</f>
        <v>3968180</v>
      </c>
      <c r="G925" s="2">
        <f>IFERROR(__xludf.DUMMYFUNCTION("""COMPUTED_VALUE"""),83.3334)</f>
        <v>83.3334</v>
      </c>
    </row>
    <row r="926">
      <c r="A926" s="1" t="s">
        <v>925</v>
      </c>
      <c r="D926" s="3">
        <f>IFERROR(__xludf.DUMMYFUNCTION("SPLIT(A926, ""|"")"),43317.0)</f>
        <v>43317</v>
      </c>
      <c r="E926" s="2">
        <f>IFERROR(__xludf.DUMMYFUNCTION("""COMPUTED_VALUE"""),1594203.0)</f>
        <v>1594203</v>
      </c>
      <c r="F926" s="2">
        <f>IFERROR(__xludf.DUMMYFUNCTION("""COMPUTED_VALUE"""),4662481.0)</f>
        <v>4662481</v>
      </c>
      <c r="G926" s="2">
        <f>IFERROR(__xludf.DUMMYFUNCTION("""COMPUTED_VALUE"""),147.5287)</f>
        <v>147.5287</v>
      </c>
    </row>
    <row r="927">
      <c r="A927" s="1" t="s">
        <v>926</v>
      </c>
      <c r="D927" s="3">
        <f>IFERROR(__xludf.DUMMYFUNCTION("SPLIT(A927, ""|"")"),43317.0)</f>
        <v>43317</v>
      </c>
      <c r="E927" s="2">
        <f>IFERROR(__xludf.DUMMYFUNCTION("""COMPUTED_VALUE"""),1638903.0)</f>
        <v>1638903</v>
      </c>
      <c r="F927" s="2">
        <f>IFERROR(__xludf.DUMMYFUNCTION("""COMPUTED_VALUE"""),4662675.0)</f>
        <v>4662675</v>
      </c>
      <c r="G927" s="2">
        <f>IFERROR(__xludf.DUMMYFUNCTION("""COMPUTED_VALUE"""),29.2008)</f>
        <v>29.2008</v>
      </c>
    </row>
    <row r="928">
      <c r="A928" s="1" t="s">
        <v>927</v>
      </c>
      <c r="D928" s="3">
        <f>IFERROR(__xludf.DUMMYFUNCTION("SPLIT(A928, ""|"")"),43317.0)</f>
        <v>43317</v>
      </c>
      <c r="E928" s="2">
        <f>IFERROR(__xludf.DUMMYFUNCTION("""COMPUTED_VALUE"""),1637823.0)</f>
        <v>1637823</v>
      </c>
      <c r="F928" s="2">
        <f>IFERROR(__xludf.DUMMYFUNCTION("""COMPUTED_VALUE"""),4662671.0)</f>
        <v>4662671</v>
      </c>
      <c r="G928" s="2">
        <f>IFERROR(__xludf.DUMMYFUNCTION("""COMPUTED_VALUE"""),68.649)</f>
        <v>68.649</v>
      </c>
    </row>
    <row r="929">
      <c r="A929" s="1" t="s">
        <v>928</v>
      </c>
      <c r="D929" s="3">
        <f>IFERROR(__xludf.DUMMYFUNCTION("SPLIT(A929, ""|"")"),43317.0)</f>
        <v>43317</v>
      </c>
      <c r="E929" s="2">
        <f>IFERROR(__xludf.DUMMYFUNCTION("""COMPUTED_VALUE"""),996933.0)</f>
        <v>996933</v>
      </c>
      <c r="F929" s="2">
        <f>IFERROR(__xludf.DUMMYFUNCTION("""COMPUTED_VALUE"""),4663172.0)</f>
        <v>4663172</v>
      </c>
      <c r="G929" s="2">
        <f>IFERROR(__xludf.DUMMYFUNCTION("""COMPUTED_VALUE"""),216.957099999999)</f>
        <v>216.9571</v>
      </c>
    </row>
    <row r="930">
      <c r="A930" s="1" t="s">
        <v>929</v>
      </c>
      <c r="D930" s="3">
        <f>IFERROR(__xludf.DUMMYFUNCTION("SPLIT(A930, ""|"")"),43317.0)</f>
        <v>43317</v>
      </c>
      <c r="E930" s="2">
        <f>IFERROR(__xludf.DUMMYFUNCTION("""COMPUTED_VALUE"""),1440663.0)</f>
        <v>1440663</v>
      </c>
      <c r="F930" s="2">
        <f>IFERROR(__xludf.DUMMYFUNCTION("""COMPUTED_VALUE"""),4661860.0)</f>
        <v>4661860</v>
      </c>
      <c r="G930" s="2">
        <f>IFERROR(__xludf.DUMMYFUNCTION("""COMPUTED_VALUE"""),66.5414)</f>
        <v>66.5414</v>
      </c>
    </row>
    <row r="931">
      <c r="A931" s="1" t="s">
        <v>930</v>
      </c>
      <c r="D931" s="3">
        <f>IFERROR(__xludf.DUMMYFUNCTION("SPLIT(A931, ""|"")"),43317.0)</f>
        <v>43317</v>
      </c>
      <c r="E931" s="2">
        <f>IFERROR(__xludf.DUMMYFUNCTION("""COMPUTED_VALUE"""),1638933.0)</f>
        <v>1638933</v>
      </c>
      <c r="F931" s="2">
        <f>IFERROR(__xludf.DUMMYFUNCTION("""COMPUTED_VALUE"""),4662772.0)</f>
        <v>4662772</v>
      </c>
      <c r="G931" s="2">
        <f>IFERROR(__xludf.DUMMYFUNCTION("""COMPUTED_VALUE"""),60.9674)</f>
        <v>60.9674</v>
      </c>
    </row>
    <row r="932">
      <c r="A932" s="1" t="s">
        <v>931</v>
      </c>
      <c r="D932" s="3">
        <f>IFERROR(__xludf.DUMMYFUNCTION("SPLIT(A932, ""|"")"),43062.0)</f>
        <v>43062</v>
      </c>
      <c r="E932" s="2">
        <f>IFERROR(__xludf.DUMMYFUNCTION("""COMPUTED_VALUE"""),1110273.0)</f>
        <v>1110273</v>
      </c>
      <c r="F932" s="2">
        <f>IFERROR(__xludf.DUMMYFUNCTION("""COMPUTED_VALUE"""),3971647.0)</f>
        <v>3971647</v>
      </c>
      <c r="G932" s="2">
        <f>IFERROR(__xludf.DUMMYFUNCTION("""COMPUTED_VALUE"""),74.6555)</f>
        <v>74.6555</v>
      </c>
    </row>
    <row r="933">
      <c r="A933" s="1" t="s">
        <v>932</v>
      </c>
      <c r="D933" s="3">
        <f>IFERROR(__xludf.DUMMYFUNCTION("SPLIT(A933, ""|"")"),43062.0)</f>
        <v>43062</v>
      </c>
      <c r="E933" s="2">
        <f>IFERROR(__xludf.DUMMYFUNCTION("""COMPUTED_VALUE"""),1209243.0)</f>
        <v>1209243</v>
      </c>
      <c r="F933" s="2">
        <f>IFERROR(__xludf.DUMMYFUNCTION("""COMPUTED_VALUE"""),3971240.0)</f>
        <v>3971240</v>
      </c>
      <c r="G933" s="2">
        <f>IFERROR(__xludf.DUMMYFUNCTION("""COMPUTED_VALUE"""),13.9731999999999)</f>
        <v>13.9732</v>
      </c>
    </row>
    <row r="934">
      <c r="A934" s="1" t="s">
        <v>933</v>
      </c>
      <c r="D934" s="3">
        <f>IFERROR(__xludf.DUMMYFUNCTION("SPLIT(A934, ""|"")"),43062.0)</f>
        <v>43062</v>
      </c>
      <c r="E934" s="2">
        <f>IFERROR(__xludf.DUMMYFUNCTION("""COMPUTED_VALUE"""),1458753.0)</f>
        <v>1458753</v>
      </c>
      <c r="F934" s="2">
        <f>IFERROR(__xludf.DUMMYFUNCTION("""COMPUTED_VALUE"""),3972117.0)</f>
        <v>3972117</v>
      </c>
      <c r="G934" s="2">
        <f>IFERROR(__xludf.DUMMYFUNCTION("""COMPUTED_VALUE"""),12.4917)</f>
        <v>12.4917</v>
      </c>
    </row>
    <row r="935">
      <c r="A935" s="1" t="s">
        <v>934</v>
      </c>
      <c r="D935" s="3">
        <f>IFERROR(__xludf.DUMMYFUNCTION("SPLIT(A935, ""|"")"),43062.0)</f>
        <v>43062</v>
      </c>
      <c r="E935" s="2">
        <f>IFERROR(__xludf.DUMMYFUNCTION("""COMPUTED_VALUE"""),1458843.0)</f>
        <v>1458843</v>
      </c>
      <c r="F935" s="2">
        <f>IFERROR(__xludf.DUMMYFUNCTION("""COMPUTED_VALUE"""),3969634.0)</f>
        <v>3969634</v>
      </c>
      <c r="G935" s="2">
        <f>IFERROR(__xludf.DUMMYFUNCTION("""COMPUTED_VALUE"""),11.85)</f>
        <v>11.85</v>
      </c>
    </row>
    <row r="936">
      <c r="A936" s="1" t="s">
        <v>935</v>
      </c>
      <c r="D936" s="3">
        <f>IFERROR(__xludf.DUMMYFUNCTION("SPLIT(A936, ""|"")"),43062.0)</f>
        <v>43062</v>
      </c>
      <c r="E936" s="2">
        <f>IFERROR(__xludf.DUMMYFUNCTION("""COMPUTED_VALUE"""),1174743.0)</f>
        <v>1174743</v>
      </c>
      <c r="F936" s="2">
        <f>IFERROR(__xludf.DUMMYFUNCTION("""COMPUTED_VALUE"""),3969187.0)</f>
        <v>3969187</v>
      </c>
      <c r="G936" s="2">
        <f>IFERROR(__xludf.DUMMYFUNCTION("""COMPUTED_VALUE"""),36.4347)</f>
        <v>36.4347</v>
      </c>
    </row>
    <row r="937">
      <c r="A937" s="1" t="s">
        <v>936</v>
      </c>
      <c r="D937" s="3">
        <f>IFERROR(__xludf.DUMMYFUNCTION("SPLIT(A937, ""|"")"),43062.0)</f>
        <v>43062</v>
      </c>
      <c r="E937" s="2">
        <f>IFERROR(__xludf.DUMMYFUNCTION("""COMPUTED_VALUE"""),1134153.0)</f>
        <v>1134153</v>
      </c>
      <c r="F937" s="2">
        <f>IFERROR(__xludf.DUMMYFUNCTION("""COMPUTED_VALUE"""),3971005.0)</f>
        <v>3971005</v>
      </c>
      <c r="G937" s="2">
        <f>IFERROR(__xludf.DUMMYFUNCTION("""COMPUTED_VALUE"""),66.1379)</f>
        <v>66.1379</v>
      </c>
    </row>
    <row r="938">
      <c r="A938" s="1" t="s">
        <v>937</v>
      </c>
      <c r="D938" s="3">
        <f>IFERROR(__xludf.DUMMYFUNCTION("SPLIT(A938, ""|"")"),43062.0)</f>
        <v>43062</v>
      </c>
      <c r="E938" s="2">
        <f>IFERROR(__xludf.DUMMYFUNCTION("""COMPUTED_VALUE"""),1304433.0)</f>
        <v>1304433</v>
      </c>
      <c r="F938" s="2">
        <f>IFERROR(__xludf.DUMMYFUNCTION("""COMPUTED_VALUE"""),3970313.0)</f>
        <v>3970313</v>
      </c>
      <c r="G938" s="2">
        <f>IFERROR(__xludf.DUMMYFUNCTION("""COMPUTED_VALUE"""),128.4183)</f>
        <v>128.4183</v>
      </c>
    </row>
    <row r="939">
      <c r="A939" s="1" t="s">
        <v>938</v>
      </c>
      <c r="D939" s="3">
        <f>IFERROR(__xludf.DUMMYFUNCTION("SPLIT(A939, ""|"")"),43318.0)</f>
        <v>43318</v>
      </c>
      <c r="E939" s="2">
        <f>IFERROR(__xludf.DUMMYFUNCTION("""COMPUTED_VALUE"""),1639173.0)</f>
        <v>1639173</v>
      </c>
      <c r="F939" s="2">
        <f>IFERROR(__xludf.DUMMYFUNCTION("""COMPUTED_VALUE"""),4663900.0)</f>
        <v>4663900</v>
      </c>
      <c r="G939" s="2">
        <f>IFERROR(__xludf.DUMMYFUNCTION("""COMPUTED_VALUE"""),55.4338)</f>
        <v>55.4338</v>
      </c>
    </row>
    <row r="940">
      <c r="A940" s="1" t="s">
        <v>939</v>
      </c>
      <c r="D940" s="3">
        <f>IFERROR(__xludf.DUMMYFUNCTION("SPLIT(A940, ""|"")"),43318.0)</f>
        <v>43318</v>
      </c>
      <c r="E940" s="2">
        <f>IFERROR(__xludf.DUMMYFUNCTION("""COMPUTED_VALUE"""),265773.0)</f>
        <v>265773</v>
      </c>
      <c r="F940" s="2">
        <f>IFERROR(__xludf.DUMMYFUNCTION("""COMPUTED_VALUE"""),4666470.0)</f>
        <v>4666470</v>
      </c>
      <c r="G940" s="2">
        <f>IFERROR(__xludf.DUMMYFUNCTION("""COMPUTED_VALUE"""),87.1518)</f>
        <v>87.1518</v>
      </c>
    </row>
    <row r="941">
      <c r="A941" s="1" t="s">
        <v>940</v>
      </c>
      <c r="D941" s="3">
        <f>IFERROR(__xludf.DUMMYFUNCTION("SPLIT(A941, ""|"")"),43318.0)</f>
        <v>43318</v>
      </c>
      <c r="E941" s="2">
        <f>IFERROR(__xludf.DUMMYFUNCTION("""COMPUTED_VALUE"""),1127043.0)</f>
        <v>1127043</v>
      </c>
      <c r="F941" s="2">
        <f>IFERROR(__xludf.DUMMYFUNCTION("""COMPUTED_VALUE"""),4665927.0)</f>
        <v>4665927</v>
      </c>
      <c r="G941" s="2">
        <f>IFERROR(__xludf.DUMMYFUNCTION("""COMPUTED_VALUE"""),60.4610999999999)</f>
        <v>60.4611</v>
      </c>
    </row>
    <row r="942">
      <c r="A942" s="1" t="s">
        <v>941</v>
      </c>
      <c r="D942" s="3">
        <f>IFERROR(__xludf.DUMMYFUNCTION("SPLIT(A942, ""|"")"),43318.0)</f>
        <v>43318</v>
      </c>
      <c r="E942" s="2">
        <f>IFERROR(__xludf.DUMMYFUNCTION("""COMPUTED_VALUE"""),1282833.0)</f>
        <v>1282833</v>
      </c>
      <c r="F942" s="2">
        <f>IFERROR(__xludf.DUMMYFUNCTION("""COMPUTED_VALUE"""),4664357.0)</f>
        <v>4664357</v>
      </c>
      <c r="G942" s="2">
        <f>IFERROR(__xludf.DUMMYFUNCTION("""COMPUTED_VALUE"""),68.0925)</f>
        <v>68.0925</v>
      </c>
    </row>
    <row r="943">
      <c r="A943" s="1" t="s">
        <v>942</v>
      </c>
      <c r="D943" s="3">
        <f>IFERROR(__xludf.DUMMYFUNCTION("SPLIT(A943, ""|"")"),43318.0)</f>
        <v>43318</v>
      </c>
      <c r="E943" s="2">
        <f>IFERROR(__xludf.DUMMYFUNCTION("""COMPUTED_VALUE"""),1639203.0)</f>
        <v>1639203</v>
      </c>
      <c r="F943" s="2">
        <f>IFERROR(__xludf.DUMMYFUNCTION("""COMPUTED_VALUE"""),4664502.0)</f>
        <v>4664502</v>
      </c>
      <c r="G943" s="2">
        <f>IFERROR(__xludf.DUMMYFUNCTION("""COMPUTED_VALUE"""),67.4925)</f>
        <v>67.4925</v>
      </c>
    </row>
    <row r="944">
      <c r="A944" s="1" t="s">
        <v>943</v>
      </c>
      <c r="D944" s="3">
        <f>IFERROR(__xludf.DUMMYFUNCTION("SPLIT(A944, ""|"")"),43063.0)</f>
        <v>43063</v>
      </c>
      <c r="E944" s="2">
        <f>IFERROR(__xludf.DUMMYFUNCTION("""COMPUTED_VALUE"""),360483.0)</f>
        <v>360483</v>
      </c>
      <c r="F944" s="2">
        <f>IFERROR(__xludf.DUMMYFUNCTION("""COMPUTED_VALUE"""),3975519.0)</f>
        <v>3975519</v>
      </c>
      <c r="G944" s="2">
        <f>IFERROR(__xludf.DUMMYFUNCTION("""COMPUTED_VALUE"""),75.3483999999999)</f>
        <v>75.3484</v>
      </c>
    </row>
    <row r="945">
      <c r="A945" s="1" t="s">
        <v>944</v>
      </c>
      <c r="D945" s="3">
        <f>IFERROR(__xludf.DUMMYFUNCTION("SPLIT(A945, ""|"")"),43063.0)</f>
        <v>43063</v>
      </c>
      <c r="E945" s="2">
        <f>IFERROR(__xludf.DUMMYFUNCTION("""COMPUTED_VALUE"""),1159653.0)</f>
        <v>1159653</v>
      </c>
      <c r="F945" s="2">
        <f>IFERROR(__xludf.DUMMYFUNCTION("""COMPUTED_VALUE"""),3976088.0)</f>
        <v>3976088</v>
      </c>
      <c r="G945" s="2">
        <f>IFERROR(__xludf.DUMMYFUNCTION("""COMPUTED_VALUE"""),71.8361999999999)</f>
        <v>71.8362</v>
      </c>
    </row>
    <row r="946">
      <c r="A946" s="1" t="s">
        <v>945</v>
      </c>
      <c r="D946" s="3">
        <f>IFERROR(__xludf.DUMMYFUNCTION("SPLIT(A946, ""|"")"),43063.0)</f>
        <v>43063</v>
      </c>
      <c r="E946" s="2">
        <f>IFERROR(__xludf.DUMMYFUNCTION("""COMPUTED_VALUE"""),1460193.0)</f>
        <v>1460193</v>
      </c>
      <c r="F946" s="2">
        <f>IFERROR(__xludf.DUMMYFUNCTION("""COMPUTED_VALUE"""),3974574.0)</f>
        <v>3974574</v>
      </c>
      <c r="G946" s="2">
        <f>IFERROR(__xludf.DUMMYFUNCTION("""COMPUTED_VALUE"""),41.9866)</f>
        <v>41.9866</v>
      </c>
    </row>
    <row r="947">
      <c r="A947" s="1" t="s">
        <v>946</v>
      </c>
      <c r="D947" s="3">
        <f>IFERROR(__xludf.DUMMYFUNCTION("SPLIT(A947, ""|"")"),43063.0)</f>
        <v>43063</v>
      </c>
      <c r="E947" s="2">
        <f>IFERROR(__xludf.DUMMYFUNCTION("""COMPUTED_VALUE"""),1460463.0)</f>
        <v>1460463</v>
      </c>
      <c r="F947" s="2">
        <f>IFERROR(__xludf.DUMMYFUNCTION("""COMPUTED_VALUE"""),3975356.0)</f>
        <v>3975356</v>
      </c>
      <c r="G947" s="2">
        <f>IFERROR(__xludf.DUMMYFUNCTION("""COMPUTED_VALUE"""),32.6)</f>
        <v>32.6</v>
      </c>
    </row>
    <row r="948">
      <c r="A948" s="1" t="s">
        <v>947</v>
      </c>
      <c r="D948" s="3">
        <f>IFERROR(__xludf.DUMMYFUNCTION("SPLIT(A948, ""|"")"),43063.0)</f>
        <v>43063</v>
      </c>
      <c r="E948" s="2">
        <f>IFERROR(__xludf.DUMMYFUNCTION("""COMPUTED_VALUE"""),1459893.0)</f>
        <v>1459893</v>
      </c>
      <c r="F948" s="2">
        <f>IFERROR(__xludf.DUMMYFUNCTION("""COMPUTED_VALUE"""),3973597.0)</f>
        <v>3973597</v>
      </c>
      <c r="G948" s="2">
        <f>IFERROR(__xludf.DUMMYFUNCTION("""COMPUTED_VALUE"""),84.8584)</f>
        <v>84.8584</v>
      </c>
    </row>
    <row r="949">
      <c r="A949" s="1" t="s">
        <v>948</v>
      </c>
      <c r="D949" s="3">
        <f>IFERROR(__xludf.DUMMYFUNCTION("SPLIT(A949, ""|"")"),43063.0)</f>
        <v>43063</v>
      </c>
      <c r="E949" s="2">
        <f>IFERROR(__xludf.DUMMYFUNCTION("""COMPUTED_VALUE"""),1460013.0)</f>
        <v>1460013</v>
      </c>
      <c r="F949" s="2">
        <f>IFERROR(__xludf.DUMMYFUNCTION("""COMPUTED_VALUE"""),3974029.0)</f>
        <v>3974029</v>
      </c>
      <c r="G949" s="2">
        <f>IFERROR(__xludf.DUMMYFUNCTION("""COMPUTED_VALUE"""),208.4167)</f>
        <v>208.4167</v>
      </c>
    </row>
    <row r="950">
      <c r="A950" s="1" t="s">
        <v>949</v>
      </c>
      <c r="D950" s="3">
        <f>IFERROR(__xludf.DUMMYFUNCTION("SPLIT(A950, ""|"")"),43063.0)</f>
        <v>43063</v>
      </c>
      <c r="E950" s="2">
        <f>IFERROR(__xludf.DUMMYFUNCTION("""COMPUTED_VALUE"""),1460073.0)</f>
        <v>1460073</v>
      </c>
      <c r="F950" s="2">
        <f>IFERROR(__xludf.DUMMYFUNCTION("""COMPUTED_VALUE"""),3974237.0)</f>
        <v>3974237</v>
      </c>
      <c r="G950" s="2">
        <f>IFERROR(__xludf.DUMMYFUNCTION("""COMPUTED_VALUE"""),74.5584)</f>
        <v>74.5584</v>
      </c>
    </row>
    <row r="951">
      <c r="A951" s="1" t="s">
        <v>950</v>
      </c>
      <c r="D951" s="3">
        <f>IFERROR(__xludf.DUMMYFUNCTION("SPLIT(A951, ""|"")"),43063.0)</f>
        <v>43063</v>
      </c>
      <c r="E951" s="2">
        <f>IFERROR(__xludf.DUMMYFUNCTION("""COMPUTED_VALUE"""),344343.0)</f>
        <v>344343</v>
      </c>
      <c r="F951" s="2">
        <f>IFERROR(__xludf.DUMMYFUNCTION("""COMPUTED_VALUE"""),3974266.0)</f>
        <v>3974266</v>
      </c>
      <c r="G951" s="2">
        <f>IFERROR(__xludf.DUMMYFUNCTION("""COMPUTED_VALUE"""),64.9239)</f>
        <v>64.9239</v>
      </c>
    </row>
    <row r="952">
      <c r="A952" s="1" t="s">
        <v>951</v>
      </c>
      <c r="D952" s="3">
        <f>IFERROR(__xludf.DUMMYFUNCTION("SPLIT(A952, ""|"")"),43063.0)</f>
        <v>43063</v>
      </c>
      <c r="E952" s="2">
        <f>IFERROR(__xludf.DUMMYFUNCTION("""COMPUTED_VALUE"""),360483.0)</f>
        <v>360483</v>
      </c>
      <c r="F952" s="2">
        <f>IFERROR(__xludf.DUMMYFUNCTION("""COMPUTED_VALUE"""),3975252.0)</f>
        <v>3975252</v>
      </c>
      <c r="G952" s="2">
        <f>IFERROR(__xludf.DUMMYFUNCTION("""COMPUTED_VALUE"""),68.6091)</f>
        <v>68.6091</v>
      </c>
    </row>
    <row r="953">
      <c r="A953" s="1" t="s">
        <v>952</v>
      </c>
      <c r="D953" s="3">
        <f>IFERROR(__xludf.DUMMYFUNCTION("SPLIT(A953, ""|"")"),43063.0)</f>
        <v>43063</v>
      </c>
      <c r="E953" s="2">
        <f>IFERROR(__xludf.DUMMYFUNCTION("""COMPUTED_VALUE"""),1459533.0)</f>
        <v>1459533</v>
      </c>
      <c r="F953" s="2">
        <f>IFERROR(__xludf.DUMMYFUNCTION("""COMPUTED_VALUE"""),3972302.0)</f>
        <v>3972302</v>
      </c>
      <c r="G953" s="2">
        <f>IFERROR(__xludf.DUMMYFUNCTION("""COMPUTED_VALUE"""),71.9334)</f>
        <v>71.9334</v>
      </c>
    </row>
    <row r="954">
      <c r="A954" s="1" t="s">
        <v>953</v>
      </c>
      <c r="D954" s="3">
        <f>IFERROR(__xludf.DUMMYFUNCTION("SPLIT(A954, ""|"")"),43063.0)</f>
        <v>43063</v>
      </c>
      <c r="E954" s="2">
        <f>IFERROR(__xludf.DUMMYFUNCTION("""COMPUTED_VALUE"""),1434813.0)</f>
        <v>1434813</v>
      </c>
      <c r="F954" s="2">
        <f>IFERROR(__xludf.DUMMYFUNCTION("""COMPUTED_VALUE"""),3973663.0)</f>
        <v>3973663</v>
      </c>
      <c r="G954" s="2">
        <f>IFERROR(__xludf.DUMMYFUNCTION("""COMPUTED_VALUE"""),203.8168)</f>
        <v>203.8168</v>
      </c>
    </row>
    <row r="955">
      <c r="A955" s="1" t="s">
        <v>954</v>
      </c>
      <c r="D955" s="3">
        <f>IFERROR(__xludf.DUMMYFUNCTION("SPLIT(A955, ""|"")"),43063.0)</f>
        <v>43063</v>
      </c>
      <c r="E955" s="2">
        <f>IFERROR(__xludf.DUMMYFUNCTION("""COMPUTED_VALUE"""),1460673.0)</f>
        <v>1460673</v>
      </c>
      <c r="F955" s="2">
        <f>IFERROR(__xludf.DUMMYFUNCTION("""COMPUTED_VALUE"""),3976191.0)</f>
        <v>3976191</v>
      </c>
      <c r="G955" s="2">
        <f>IFERROR(__xludf.DUMMYFUNCTION("""COMPUTED_VALUE"""),63.7429)</f>
        <v>63.7429</v>
      </c>
    </row>
    <row r="956">
      <c r="A956" s="1" t="s">
        <v>955</v>
      </c>
      <c r="D956" s="3">
        <f>IFERROR(__xludf.DUMMYFUNCTION("SPLIT(A956, ""|"")"),43063.0)</f>
        <v>43063</v>
      </c>
      <c r="E956" s="2">
        <f>IFERROR(__xludf.DUMMYFUNCTION("""COMPUTED_VALUE"""),1334643.0)</f>
        <v>1334643</v>
      </c>
      <c r="F956" s="2">
        <f>IFERROR(__xludf.DUMMYFUNCTION("""COMPUTED_VALUE"""),3972835.0)</f>
        <v>3972835</v>
      </c>
      <c r="G956" s="2">
        <f>IFERROR(__xludf.DUMMYFUNCTION("""COMPUTED_VALUE"""),59.6816)</f>
        <v>59.6816</v>
      </c>
    </row>
    <row r="957">
      <c r="A957" s="1" t="s">
        <v>956</v>
      </c>
      <c r="D957" s="3">
        <f>IFERROR(__xludf.DUMMYFUNCTION("SPLIT(A957, ""|"")"),43063.0)</f>
        <v>43063</v>
      </c>
      <c r="E957" s="2">
        <f>IFERROR(__xludf.DUMMYFUNCTION("""COMPUTED_VALUE"""),1460043.0)</f>
        <v>1460043</v>
      </c>
      <c r="F957" s="2">
        <f>IFERROR(__xludf.DUMMYFUNCTION("""COMPUTED_VALUE"""),3974127.0)</f>
        <v>3974127</v>
      </c>
      <c r="G957" s="2">
        <f>IFERROR(__xludf.DUMMYFUNCTION("""COMPUTED_VALUE"""),63.298)</f>
        <v>63.298</v>
      </c>
    </row>
    <row r="958">
      <c r="A958" s="1" t="s">
        <v>957</v>
      </c>
      <c r="D958" s="3">
        <f>IFERROR(__xludf.DUMMYFUNCTION("SPLIT(A958, ""|"")"),43063.0)</f>
        <v>43063</v>
      </c>
      <c r="E958" s="2">
        <f>IFERROR(__xludf.DUMMYFUNCTION("""COMPUTED_VALUE"""),217743.0)</f>
        <v>217743</v>
      </c>
      <c r="F958" s="2">
        <f>IFERROR(__xludf.DUMMYFUNCTION("""COMPUTED_VALUE"""),3974130.0)</f>
        <v>3974130</v>
      </c>
      <c r="G958" s="2">
        <f>IFERROR(__xludf.DUMMYFUNCTION("""COMPUTED_VALUE"""),118.2195)</f>
        <v>118.2195</v>
      </c>
    </row>
    <row r="959">
      <c r="A959" s="1" t="s">
        <v>958</v>
      </c>
      <c r="D959" s="3">
        <f>IFERROR(__xludf.DUMMYFUNCTION("SPLIT(A959, ""|"")"),43319.0)</f>
        <v>43319</v>
      </c>
      <c r="E959" s="2">
        <f>IFERROR(__xludf.DUMMYFUNCTION("""COMPUTED_VALUE"""),1405893.0)</f>
        <v>1405893</v>
      </c>
      <c r="F959" s="2">
        <f>IFERROR(__xludf.DUMMYFUNCTION("""COMPUTED_VALUE"""),4666766.0)</f>
        <v>4666766</v>
      </c>
      <c r="G959" s="2">
        <f>IFERROR(__xludf.DUMMYFUNCTION("""COMPUTED_VALUE"""),80.6608)</f>
        <v>80.6608</v>
      </c>
    </row>
    <row r="960">
      <c r="A960" s="1" t="s">
        <v>959</v>
      </c>
      <c r="D960" s="3">
        <f>IFERROR(__xludf.DUMMYFUNCTION("SPLIT(A960, ""|"")"),43319.0)</f>
        <v>43319</v>
      </c>
      <c r="E960" s="2">
        <f>IFERROR(__xludf.DUMMYFUNCTION("""COMPUTED_VALUE"""),473733.0)</f>
        <v>473733</v>
      </c>
      <c r="F960" s="2">
        <f>IFERROR(__xludf.DUMMYFUNCTION("""COMPUTED_VALUE"""),4668917.0)</f>
        <v>4668917</v>
      </c>
      <c r="G960" s="2">
        <f>IFERROR(__xludf.DUMMYFUNCTION("""COMPUTED_VALUE"""),16.65)</f>
        <v>16.65</v>
      </c>
    </row>
    <row r="961">
      <c r="A961" s="1" t="s">
        <v>960</v>
      </c>
      <c r="D961" s="3">
        <f>IFERROR(__xludf.DUMMYFUNCTION("SPLIT(A961, ""|"")"),43319.0)</f>
        <v>43319</v>
      </c>
      <c r="E961" s="2">
        <f>IFERROR(__xludf.DUMMYFUNCTION("""COMPUTED_VALUE"""),1081023.0)</f>
        <v>1081023</v>
      </c>
      <c r="F961" s="2">
        <f>IFERROR(__xludf.DUMMYFUNCTION("""COMPUTED_VALUE"""),4668987.0)</f>
        <v>4668987</v>
      </c>
      <c r="G961" s="2">
        <f>IFERROR(__xludf.DUMMYFUNCTION("""COMPUTED_VALUE"""),34.2499)</f>
        <v>34.2499</v>
      </c>
    </row>
    <row r="962">
      <c r="A962" s="1" t="s">
        <v>961</v>
      </c>
      <c r="D962" s="3">
        <f>IFERROR(__xludf.DUMMYFUNCTION("SPLIT(A962, ""|"")"),43319.0)</f>
        <v>43319</v>
      </c>
      <c r="E962" s="2">
        <f>IFERROR(__xludf.DUMMYFUNCTION("""COMPUTED_VALUE"""),1480083.0)</f>
        <v>1480083</v>
      </c>
      <c r="F962" s="2">
        <f>IFERROR(__xludf.DUMMYFUNCTION("""COMPUTED_VALUE"""),4666807.0)</f>
        <v>4666807</v>
      </c>
      <c r="G962" s="2">
        <f>IFERROR(__xludf.DUMMYFUNCTION("""COMPUTED_VALUE"""),36.8223)</f>
        <v>36.8223</v>
      </c>
    </row>
    <row r="963">
      <c r="A963" s="1" t="s">
        <v>962</v>
      </c>
      <c r="D963" s="3">
        <f>IFERROR(__xludf.DUMMYFUNCTION("SPLIT(A963, ""|"")"),43319.0)</f>
        <v>43319</v>
      </c>
      <c r="E963" s="2">
        <f>IFERROR(__xludf.DUMMYFUNCTION("""COMPUTED_VALUE"""),231213.0)</f>
        <v>231213</v>
      </c>
      <c r="F963" s="2">
        <f>IFERROR(__xludf.DUMMYFUNCTION("""COMPUTED_VALUE"""),4668559.0)</f>
        <v>4668559</v>
      </c>
      <c r="G963" s="2">
        <f>IFERROR(__xludf.DUMMYFUNCTION("""COMPUTED_VALUE"""),144.5763)</f>
        <v>144.5763</v>
      </c>
    </row>
    <row r="964">
      <c r="A964" s="1" t="s">
        <v>963</v>
      </c>
      <c r="D964" s="3">
        <f>IFERROR(__xludf.DUMMYFUNCTION("SPLIT(A964, ""|"")"),43319.0)</f>
        <v>43319</v>
      </c>
      <c r="E964" s="2">
        <f>IFERROR(__xludf.DUMMYFUNCTION("""COMPUTED_VALUE"""),1046973.0)</f>
        <v>1046973</v>
      </c>
      <c r="F964" s="2">
        <f>IFERROR(__xludf.DUMMYFUNCTION("""COMPUTED_VALUE"""),4666805.0)</f>
        <v>4666805</v>
      </c>
      <c r="G964" s="2">
        <f>IFERROR(__xludf.DUMMYFUNCTION("""COMPUTED_VALUE"""),64.5005)</f>
        <v>64.5005</v>
      </c>
    </row>
    <row r="965">
      <c r="A965" s="1" t="s">
        <v>964</v>
      </c>
      <c r="D965" s="3">
        <f>IFERROR(__xludf.DUMMYFUNCTION("SPLIT(A965, ""|"")"),43319.0)</f>
        <v>43319</v>
      </c>
      <c r="E965" s="2">
        <f>IFERROR(__xludf.DUMMYFUNCTION("""COMPUTED_VALUE"""),231213.0)</f>
        <v>231213</v>
      </c>
      <c r="F965" s="2">
        <f>IFERROR(__xludf.DUMMYFUNCTION("""COMPUTED_VALUE"""),4668550.0)</f>
        <v>4668550</v>
      </c>
      <c r="G965" s="2">
        <f>IFERROR(__xludf.DUMMYFUNCTION("""COMPUTED_VALUE"""),136.1531)</f>
        <v>136.1531</v>
      </c>
    </row>
    <row r="966">
      <c r="A966" s="1" t="s">
        <v>965</v>
      </c>
      <c r="D966" s="3">
        <f>IFERROR(__xludf.DUMMYFUNCTION("SPLIT(A966, ""|"")"),43319.0)</f>
        <v>43319</v>
      </c>
      <c r="E966" s="2">
        <f>IFERROR(__xludf.DUMMYFUNCTION("""COMPUTED_VALUE"""),1567323.0)</f>
        <v>1567323</v>
      </c>
      <c r="F966" s="2">
        <f>IFERROR(__xludf.DUMMYFUNCTION("""COMPUTED_VALUE"""),4668733.0)</f>
        <v>4668733</v>
      </c>
      <c r="G966" s="2">
        <f>IFERROR(__xludf.DUMMYFUNCTION("""COMPUTED_VALUE"""),56.2729)</f>
        <v>56.2729</v>
      </c>
    </row>
    <row r="967">
      <c r="A967" s="1" t="s">
        <v>966</v>
      </c>
      <c r="D967" s="3">
        <f>IFERROR(__xludf.DUMMYFUNCTION("SPLIT(A967, ""|"")"),43319.0)</f>
        <v>43319</v>
      </c>
      <c r="E967" s="2">
        <f>IFERROR(__xludf.DUMMYFUNCTION("""COMPUTED_VALUE"""),426423.0)</f>
        <v>426423</v>
      </c>
      <c r="F967" s="2">
        <f>IFERROR(__xludf.DUMMYFUNCTION("""COMPUTED_VALUE"""),4667231.0)</f>
        <v>4667231</v>
      </c>
      <c r="G967" s="2">
        <f>IFERROR(__xludf.DUMMYFUNCTION("""COMPUTED_VALUE"""),108.608)</f>
        <v>108.608</v>
      </c>
    </row>
    <row r="968">
      <c r="A968" s="1" t="s">
        <v>967</v>
      </c>
      <c r="D968" s="3">
        <f>IFERROR(__xludf.DUMMYFUNCTION("SPLIT(A968, ""|"")"),43064.0)</f>
        <v>43064</v>
      </c>
      <c r="E968" s="2">
        <f>IFERROR(__xludf.DUMMYFUNCTION("""COMPUTED_VALUE"""),1461063.0)</f>
        <v>1461063</v>
      </c>
      <c r="F968" s="2">
        <f>IFERROR(__xludf.DUMMYFUNCTION("""COMPUTED_VALUE"""),3977576.0)</f>
        <v>3977576</v>
      </c>
      <c r="G968" s="2">
        <f>IFERROR(__xludf.DUMMYFUNCTION("""COMPUTED_VALUE"""),111.824999999999)</f>
        <v>111.825</v>
      </c>
    </row>
    <row r="969">
      <c r="A969" s="1" t="s">
        <v>968</v>
      </c>
      <c r="D969" s="3">
        <f>IFERROR(__xludf.DUMMYFUNCTION("SPLIT(A969, ""|"")"),43064.0)</f>
        <v>43064</v>
      </c>
      <c r="E969" s="2">
        <f>IFERROR(__xludf.DUMMYFUNCTION("""COMPUTED_VALUE"""),1460913.0)</f>
        <v>1460913</v>
      </c>
      <c r="F969" s="2">
        <f>IFERROR(__xludf.DUMMYFUNCTION("""COMPUTED_VALUE"""),3976866.0)</f>
        <v>3976866</v>
      </c>
      <c r="G969" s="2">
        <f>IFERROR(__xludf.DUMMYFUNCTION("""COMPUTED_VALUE"""),70.5014999999999)</f>
        <v>70.5015</v>
      </c>
    </row>
    <row r="970">
      <c r="A970" s="1" t="s">
        <v>969</v>
      </c>
      <c r="D970" s="3">
        <f>IFERROR(__xludf.DUMMYFUNCTION("SPLIT(A970, ""|"")"),43064.0)</f>
        <v>43064</v>
      </c>
      <c r="E970" s="2">
        <f>IFERROR(__xludf.DUMMYFUNCTION("""COMPUTED_VALUE"""),1214823.0)</f>
        <v>1214823</v>
      </c>
      <c r="F970" s="2">
        <f>IFERROR(__xludf.DUMMYFUNCTION("""COMPUTED_VALUE"""),3977822.0)</f>
        <v>3977822</v>
      </c>
      <c r="G970" s="2">
        <f>IFERROR(__xludf.DUMMYFUNCTION("""COMPUTED_VALUE"""),65.1018)</f>
        <v>65.1018</v>
      </c>
    </row>
    <row r="971">
      <c r="A971" s="1" t="s">
        <v>970</v>
      </c>
      <c r="D971" s="3">
        <f>IFERROR(__xludf.DUMMYFUNCTION("SPLIT(A971, ""|"")"),43064.0)</f>
        <v>43064</v>
      </c>
      <c r="E971" s="2">
        <f>IFERROR(__xludf.DUMMYFUNCTION("""COMPUTED_VALUE"""),1461543.0)</f>
        <v>1461543</v>
      </c>
      <c r="F971" s="2">
        <f>IFERROR(__xludf.DUMMYFUNCTION("""COMPUTED_VALUE"""),3978652.0)</f>
        <v>3978652</v>
      </c>
      <c r="G971" s="2">
        <f>IFERROR(__xludf.DUMMYFUNCTION("""COMPUTED_VALUE"""),97.8279999999999)</f>
        <v>97.828</v>
      </c>
    </row>
    <row r="972">
      <c r="A972" s="1" t="s">
        <v>971</v>
      </c>
      <c r="D972" s="3">
        <f>IFERROR(__xludf.DUMMYFUNCTION("SPLIT(A972, ""|"")"),43320.0)</f>
        <v>43320</v>
      </c>
      <c r="E972" s="2">
        <f>IFERROR(__xludf.DUMMYFUNCTION("""COMPUTED_VALUE"""),161793.0)</f>
        <v>161793</v>
      </c>
      <c r="F972" s="2">
        <f>IFERROR(__xludf.DUMMYFUNCTION("""COMPUTED_VALUE"""),4669921.0)</f>
        <v>4669921</v>
      </c>
      <c r="G972" s="2">
        <f>IFERROR(__xludf.DUMMYFUNCTION("""COMPUTED_VALUE"""),77.6872)</f>
        <v>77.6872</v>
      </c>
    </row>
    <row r="973">
      <c r="A973" s="1" t="s">
        <v>972</v>
      </c>
      <c r="D973" s="3">
        <f>IFERROR(__xludf.DUMMYFUNCTION("SPLIT(A973, ""|"")"),43320.0)</f>
        <v>43320</v>
      </c>
      <c r="E973" s="2">
        <f>IFERROR(__xludf.DUMMYFUNCTION("""COMPUTED_VALUE"""),1640553.0)</f>
        <v>1640553</v>
      </c>
      <c r="F973" s="2">
        <f>IFERROR(__xludf.DUMMYFUNCTION("""COMPUTED_VALUE"""),4669740.0)</f>
        <v>4669740</v>
      </c>
      <c r="G973" s="2">
        <f>IFERROR(__xludf.DUMMYFUNCTION("""COMPUTED_VALUE"""),106.213999999999)</f>
        <v>106.214</v>
      </c>
    </row>
    <row r="974">
      <c r="A974" s="1" t="s">
        <v>973</v>
      </c>
      <c r="D974" s="3">
        <f>IFERROR(__xludf.DUMMYFUNCTION("SPLIT(A974, ""|"")"),43320.0)</f>
        <v>43320</v>
      </c>
      <c r="E974" s="2">
        <f>IFERROR(__xludf.DUMMYFUNCTION("""COMPUTED_VALUE"""),1640733.0)</f>
        <v>1640733</v>
      </c>
      <c r="F974" s="2">
        <f>IFERROR(__xludf.DUMMYFUNCTION("""COMPUTED_VALUE"""),4670445.0)</f>
        <v>4670445</v>
      </c>
      <c r="G974" s="2">
        <f>IFERROR(__xludf.DUMMYFUNCTION("""COMPUTED_VALUE"""),20.0001)</f>
        <v>20.0001</v>
      </c>
    </row>
    <row r="975">
      <c r="A975" s="1" t="s">
        <v>974</v>
      </c>
      <c r="D975" s="3">
        <f>IFERROR(__xludf.DUMMYFUNCTION("SPLIT(A975, ""|"")"),43065.0)</f>
        <v>43065</v>
      </c>
      <c r="E975" s="2">
        <f>IFERROR(__xludf.DUMMYFUNCTION("""COMPUTED_VALUE"""),1462173.0)</f>
        <v>1462173</v>
      </c>
      <c r="F975" s="2">
        <f>IFERROR(__xludf.DUMMYFUNCTION("""COMPUTED_VALUE"""),3980657.0)</f>
        <v>3980657</v>
      </c>
      <c r="G975" s="2">
        <f>IFERROR(__xludf.DUMMYFUNCTION("""COMPUTED_VALUE"""),16.6878)</f>
        <v>16.6878</v>
      </c>
    </row>
    <row r="976">
      <c r="A976" s="1" t="s">
        <v>975</v>
      </c>
      <c r="D976" s="3">
        <f>IFERROR(__xludf.DUMMYFUNCTION("SPLIT(A976, ""|"")"),43065.0)</f>
        <v>43065</v>
      </c>
      <c r="E976" s="2">
        <f>IFERROR(__xludf.DUMMYFUNCTION("""COMPUTED_VALUE"""),1458573.0)</f>
        <v>1458573</v>
      </c>
      <c r="F976" s="2">
        <f>IFERROR(__xludf.DUMMYFUNCTION("""COMPUTED_VALUE"""),3982827.0)</f>
        <v>3982827</v>
      </c>
      <c r="G976" s="2">
        <f>IFERROR(__xludf.DUMMYFUNCTION("""COMPUTED_VALUE"""),17.1349999999999)</f>
        <v>17.135</v>
      </c>
    </row>
    <row r="977">
      <c r="A977" s="1" t="s">
        <v>976</v>
      </c>
      <c r="D977" s="3">
        <f>IFERROR(__xludf.DUMMYFUNCTION("SPLIT(A977, ""|"")"),43065.0)</f>
        <v>43065</v>
      </c>
      <c r="E977" s="2">
        <f>IFERROR(__xludf.DUMMYFUNCTION("""COMPUTED_VALUE"""),1462053.0)</f>
        <v>1462053</v>
      </c>
      <c r="F977" s="2">
        <f>IFERROR(__xludf.DUMMYFUNCTION("""COMPUTED_VALUE"""),3980258.0)</f>
        <v>3980258</v>
      </c>
      <c r="G977" s="2">
        <f>IFERROR(__xludf.DUMMYFUNCTION("""COMPUTED_VALUE"""),64.0875)</f>
        <v>64.0875</v>
      </c>
    </row>
    <row r="978">
      <c r="A978" s="1" t="s">
        <v>977</v>
      </c>
      <c r="D978" s="3">
        <f>IFERROR(__xludf.DUMMYFUNCTION("SPLIT(A978, ""|"")"),43065.0)</f>
        <v>43065</v>
      </c>
      <c r="E978" s="2">
        <f>IFERROR(__xludf.DUMMYFUNCTION("""COMPUTED_VALUE"""),371613.0)</f>
        <v>371613</v>
      </c>
      <c r="F978" s="2">
        <f>IFERROR(__xludf.DUMMYFUNCTION("""COMPUTED_VALUE"""),3982090.0)</f>
        <v>3982090</v>
      </c>
      <c r="G978" s="2">
        <f>IFERROR(__xludf.DUMMYFUNCTION("""COMPUTED_VALUE"""),97.9398)</f>
        <v>97.9398</v>
      </c>
    </row>
    <row r="979">
      <c r="A979" s="1" t="s">
        <v>978</v>
      </c>
      <c r="D979" s="3">
        <f>IFERROR(__xludf.DUMMYFUNCTION("SPLIT(A979, ""|"")"),43065.0)</f>
        <v>43065</v>
      </c>
      <c r="E979" s="2">
        <f>IFERROR(__xludf.DUMMYFUNCTION("""COMPUTED_VALUE"""),1462593.0)</f>
        <v>1462593</v>
      </c>
      <c r="F979" s="2">
        <f>IFERROR(__xludf.DUMMYFUNCTION("""COMPUTED_VALUE"""),3982111.0)</f>
        <v>3982111</v>
      </c>
      <c r="G979" s="2">
        <f>IFERROR(__xludf.DUMMYFUNCTION("""COMPUTED_VALUE"""),325.8875)</f>
        <v>325.8875</v>
      </c>
    </row>
    <row r="980">
      <c r="A980" s="1" t="s">
        <v>979</v>
      </c>
      <c r="D980" s="3">
        <f>IFERROR(__xludf.DUMMYFUNCTION("SPLIT(A980, ""|"")"),43065.0)</f>
        <v>43065</v>
      </c>
      <c r="E980" s="2">
        <f>IFERROR(__xludf.DUMMYFUNCTION("""COMPUTED_VALUE"""),63723.0)</f>
        <v>63723</v>
      </c>
      <c r="F980" s="2">
        <f>IFERROR(__xludf.DUMMYFUNCTION("""COMPUTED_VALUE"""),3983152.0)</f>
        <v>3983152</v>
      </c>
      <c r="G980" s="2">
        <f>IFERROR(__xludf.DUMMYFUNCTION("""COMPUTED_VALUE"""),344.25)</f>
        <v>344.25</v>
      </c>
    </row>
    <row r="981">
      <c r="A981" s="1" t="s">
        <v>980</v>
      </c>
      <c r="D981" s="3">
        <f>IFERROR(__xludf.DUMMYFUNCTION("SPLIT(A981, ""|"")"),43065.0)</f>
        <v>43065</v>
      </c>
      <c r="E981" s="2">
        <f>IFERROR(__xludf.DUMMYFUNCTION("""COMPUTED_VALUE"""),1452513.0)</f>
        <v>1452513</v>
      </c>
      <c r="F981" s="2">
        <f>IFERROR(__xludf.DUMMYFUNCTION("""COMPUTED_VALUE"""),3981137.0)</f>
        <v>3981137</v>
      </c>
      <c r="G981" s="2">
        <f>IFERROR(__xludf.DUMMYFUNCTION("""COMPUTED_VALUE"""),322.5001)</f>
        <v>322.5001</v>
      </c>
    </row>
    <row r="982">
      <c r="A982" s="1" t="s">
        <v>981</v>
      </c>
      <c r="D982" s="3">
        <f>IFERROR(__xludf.DUMMYFUNCTION("SPLIT(A982, ""|"")"),43065.0)</f>
        <v>43065</v>
      </c>
      <c r="E982" s="2">
        <f>IFERROR(__xludf.DUMMYFUNCTION("""COMPUTED_VALUE"""),267663.0)</f>
        <v>267663</v>
      </c>
      <c r="F982" s="2">
        <f>IFERROR(__xludf.DUMMYFUNCTION("""COMPUTED_VALUE"""),3980370.0)</f>
        <v>3980370</v>
      </c>
      <c r="G982" s="2">
        <f>IFERROR(__xludf.DUMMYFUNCTION("""COMPUTED_VALUE"""),51.4336)</f>
        <v>51.4336</v>
      </c>
    </row>
    <row r="983">
      <c r="A983" s="1" t="s">
        <v>982</v>
      </c>
      <c r="D983" s="3">
        <f>IFERROR(__xludf.DUMMYFUNCTION("SPLIT(A983, ""|"")"),43065.0)</f>
        <v>43065</v>
      </c>
      <c r="E983" s="2">
        <f>IFERROR(__xludf.DUMMYFUNCTION("""COMPUTED_VALUE"""),1244343.0)</f>
        <v>1244343</v>
      </c>
      <c r="F983" s="2">
        <f>IFERROR(__xludf.DUMMYFUNCTION("""COMPUTED_VALUE"""),3983558.0)</f>
        <v>3983558</v>
      </c>
      <c r="G983" s="2">
        <f>IFERROR(__xludf.DUMMYFUNCTION("""COMPUTED_VALUE"""),66.0006)</f>
        <v>66.0006</v>
      </c>
    </row>
    <row r="984">
      <c r="A984" s="1" t="s">
        <v>983</v>
      </c>
      <c r="D984" s="3">
        <f>IFERROR(__xludf.DUMMYFUNCTION("SPLIT(A984, ""|"")"),43065.0)</f>
        <v>43065</v>
      </c>
      <c r="E984" s="2">
        <f>IFERROR(__xludf.DUMMYFUNCTION("""COMPUTED_VALUE"""),1462473.0)</f>
        <v>1462473</v>
      </c>
      <c r="F984" s="2">
        <f>IFERROR(__xludf.DUMMYFUNCTION("""COMPUTED_VALUE"""),3981645.0)</f>
        <v>3981645</v>
      </c>
      <c r="G984" s="2">
        <f>IFERROR(__xludf.DUMMYFUNCTION("""COMPUTED_VALUE"""),16.7629)</f>
        <v>16.7629</v>
      </c>
    </row>
    <row r="985">
      <c r="A985" s="1" t="s">
        <v>984</v>
      </c>
      <c r="D985" s="3">
        <f>IFERROR(__xludf.DUMMYFUNCTION("SPLIT(A985, ""|"")"),43065.0)</f>
        <v>43065</v>
      </c>
      <c r="E985" s="2">
        <f>IFERROR(__xludf.DUMMYFUNCTION("""COMPUTED_VALUE"""),1461903.0)</f>
        <v>1461903</v>
      </c>
      <c r="F985" s="2">
        <f>IFERROR(__xludf.DUMMYFUNCTION("""COMPUTED_VALUE"""),3979804.0)</f>
        <v>3979804</v>
      </c>
      <c r="G985" s="2">
        <f>IFERROR(__xludf.DUMMYFUNCTION("""COMPUTED_VALUE"""),102.160099999999)</f>
        <v>102.1601</v>
      </c>
    </row>
    <row r="986">
      <c r="A986" s="1" t="s">
        <v>985</v>
      </c>
      <c r="D986" s="3">
        <f>IFERROR(__xludf.DUMMYFUNCTION("SPLIT(A986, ""|"")"),43321.0)</f>
        <v>43321</v>
      </c>
      <c r="E986" s="2">
        <f>IFERROR(__xludf.DUMMYFUNCTION("""COMPUTED_VALUE"""),1299153.0)</f>
        <v>1299153</v>
      </c>
      <c r="F986" s="2">
        <f>IFERROR(__xludf.DUMMYFUNCTION("""COMPUTED_VALUE"""),4672050.0)</f>
        <v>4672050</v>
      </c>
      <c r="G986" s="2">
        <f>IFERROR(__xludf.DUMMYFUNCTION("""COMPUTED_VALUE"""),94.0576)</f>
        <v>94.0576</v>
      </c>
    </row>
    <row r="987">
      <c r="A987" s="1" t="s">
        <v>986</v>
      </c>
      <c r="D987" s="3">
        <f>IFERROR(__xludf.DUMMYFUNCTION("SPLIT(A987, ""|"")"),43321.0)</f>
        <v>43321</v>
      </c>
      <c r="E987" s="2">
        <f>IFERROR(__xludf.DUMMYFUNCTION("""COMPUTED_VALUE"""),1641183.0)</f>
        <v>1641183</v>
      </c>
      <c r="F987" s="2">
        <f>IFERROR(__xludf.DUMMYFUNCTION("""COMPUTED_VALUE"""),4671988.0)</f>
        <v>4671988</v>
      </c>
      <c r="G987" s="2">
        <f>IFERROR(__xludf.DUMMYFUNCTION("""COMPUTED_VALUE"""),89.411)</f>
        <v>89.411</v>
      </c>
    </row>
    <row r="988">
      <c r="A988" s="1" t="s">
        <v>987</v>
      </c>
      <c r="D988" s="3">
        <f>IFERROR(__xludf.DUMMYFUNCTION("SPLIT(A988, ""|"")"),43321.0)</f>
        <v>43321</v>
      </c>
      <c r="E988" s="2">
        <f>IFERROR(__xludf.DUMMYFUNCTION("""COMPUTED_VALUE"""),1626093.0)</f>
        <v>1626093</v>
      </c>
      <c r="F988" s="2">
        <f>IFERROR(__xludf.DUMMYFUNCTION("""COMPUTED_VALUE"""),4671769.0)</f>
        <v>4671769</v>
      </c>
      <c r="G988" s="2">
        <f>IFERROR(__xludf.DUMMYFUNCTION("""COMPUTED_VALUE"""),93.6892)</f>
        <v>93.6892</v>
      </c>
    </row>
    <row r="989">
      <c r="A989" s="1" t="s">
        <v>988</v>
      </c>
      <c r="D989" s="3">
        <f>IFERROR(__xludf.DUMMYFUNCTION("SPLIT(A989, ""|"")"),43321.0)</f>
        <v>43321</v>
      </c>
      <c r="E989" s="2">
        <f>IFERROR(__xludf.DUMMYFUNCTION("""COMPUTED_VALUE"""),1641513.0)</f>
        <v>1641513</v>
      </c>
      <c r="F989" s="2">
        <f>IFERROR(__xludf.DUMMYFUNCTION("""COMPUTED_VALUE"""),4673132.0)</f>
        <v>4673132</v>
      </c>
      <c r="G989" s="2">
        <f>IFERROR(__xludf.DUMMYFUNCTION("""COMPUTED_VALUE"""),30.2195)</f>
        <v>30.2195</v>
      </c>
    </row>
    <row r="990">
      <c r="A990" s="1" t="s">
        <v>989</v>
      </c>
      <c r="D990" s="3">
        <f>IFERROR(__xludf.DUMMYFUNCTION("SPLIT(A990, ""|"")"),43066.0)</f>
        <v>43066</v>
      </c>
      <c r="E990" s="2">
        <f>IFERROR(__xludf.DUMMYFUNCTION("""COMPUTED_VALUE"""),1426383.0)</f>
        <v>1426383</v>
      </c>
      <c r="F990" s="2">
        <f>IFERROR(__xludf.DUMMYFUNCTION("""COMPUTED_VALUE"""),3985849.0)</f>
        <v>3985849</v>
      </c>
      <c r="G990" s="2">
        <f>IFERROR(__xludf.DUMMYFUNCTION("""COMPUTED_VALUE"""),76.0563)</f>
        <v>76.0563</v>
      </c>
    </row>
    <row r="991">
      <c r="A991" s="1" t="s">
        <v>990</v>
      </c>
      <c r="D991" s="3">
        <f>IFERROR(__xludf.DUMMYFUNCTION("SPLIT(A991, ""|"")"),43066.0)</f>
        <v>43066</v>
      </c>
      <c r="E991" s="2">
        <f>IFERROR(__xludf.DUMMYFUNCTION("""COMPUTED_VALUE"""),68943.0)</f>
        <v>68943</v>
      </c>
      <c r="F991" s="2">
        <f>IFERROR(__xludf.DUMMYFUNCTION("""COMPUTED_VALUE"""),3984125.0)</f>
        <v>3984125</v>
      </c>
      <c r="G991" s="2">
        <f>IFERROR(__xludf.DUMMYFUNCTION("""COMPUTED_VALUE"""),58.3884)</f>
        <v>58.3884</v>
      </c>
    </row>
    <row r="992">
      <c r="A992" s="1" t="s">
        <v>991</v>
      </c>
      <c r="D992" s="3">
        <f>IFERROR(__xludf.DUMMYFUNCTION("SPLIT(A992, ""|"")"),43066.0)</f>
        <v>43066</v>
      </c>
      <c r="E992" s="2">
        <f>IFERROR(__xludf.DUMMYFUNCTION("""COMPUTED_VALUE"""),327903.0)</f>
        <v>327903</v>
      </c>
      <c r="F992" s="2">
        <f>IFERROR(__xludf.DUMMYFUNCTION("""COMPUTED_VALUE"""),3983659.0)</f>
        <v>3983659</v>
      </c>
      <c r="G992" s="2">
        <f>IFERROR(__xludf.DUMMYFUNCTION("""COMPUTED_VALUE"""),12.1365)</f>
        <v>12.1365</v>
      </c>
    </row>
    <row r="993">
      <c r="A993" s="1" t="s">
        <v>992</v>
      </c>
      <c r="D993" s="3">
        <f>IFERROR(__xludf.DUMMYFUNCTION("SPLIT(A993, ""|"")"),43066.0)</f>
        <v>43066</v>
      </c>
      <c r="E993" s="2">
        <f>IFERROR(__xludf.DUMMYFUNCTION("""COMPUTED_VALUE"""),1224573.0)</f>
        <v>1224573</v>
      </c>
      <c r="F993" s="2">
        <f>IFERROR(__xludf.DUMMYFUNCTION("""COMPUTED_VALUE"""),3987087.0)</f>
        <v>3987087</v>
      </c>
      <c r="G993" s="2">
        <f>IFERROR(__xludf.DUMMYFUNCTION("""COMPUTED_VALUE"""),26.7286)</f>
        <v>26.7286</v>
      </c>
    </row>
    <row r="994">
      <c r="A994" s="1" t="s">
        <v>993</v>
      </c>
      <c r="D994" s="3">
        <f>IFERROR(__xludf.DUMMYFUNCTION("SPLIT(A994, ""|"")"),43066.0)</f>
        <v>43066</v>
      </c>
      <c r="E994" s="2">
        <f>IFERROR(__xludf.DUMMYFUNCTION("""COMPUTED_VALUE"""),1338723.0)</f>
        <v>1338723</v>
      </c>
      <c r="F994" s="2">
        <f>IFERROR(__xludf.DUMMYFUNCTION("""COMPUTED_VALUE"""),3985614.0)</f>
        <v>3985614</v>
      </c>
      <c r="G994" s="2">
        <f>IFERROR(__xludf.DUMMYFUNCTION("""COMPUTED_VALUE"""),57.8189)</f>
        <v>57.8189</v>
      </c>
    </row>
    <row r="995">
      <c r="A995" s="1" t="s">
        <v>994</v>
      </c>
      <c r="D995" s="3">
        <f>IFERROR(__xludf.DUMMYFUNCTION("SPLIT(A995, ""|"")"),43066.0)</f>
        <v>43066</v>
      </c>
      <c r="E995" s="2">
        <f>IFERROR(__xludf.DUMMYFUNCTION("""COMPUTED_VALUE"""),1463253.0)</f>
        <v>1463253</v>
      </c>
      <c r="F995" s="2">
        <f>IFERROR(__xludf.DUMMYFUNCTION("""COMPUTED_VALUE"""),3984636.0)</f>
        <v>3984636</v>
      </c>
      <c r="G995" s="2">
        <f>IFERROR(__xludf.DUMMYFUNCTION("""COMPUTED_VALUE"""),9.8499)</f>
        <v>9.8499</v>
      </c>
    </row>
    <row r="996">
      <c r="A996" s="1" t="s">
        <v>995</v>
      </c>
      <c r="D996" s="3">
        <f>IFERROR(__xludf.DUMMYFUNCTION("SPLIT(A996, ""|"")"),43066.0)</f>
        <v>43066</v>
      </c>
      <c r="E996" s="2">
        <f>IFERROR(__xludf.DUMMYFUNCTION("""COMPUTED_VALUE"""),1267803.0)</f>
        <v>1267803</v>
      </c>
      <c r="F996" s="2">
        <f>IFERROR(__xludf.DUMMYFUNCTION("""COMPUTED_VALUE"""),3985853.0)</f>
        <v>3985853</v>
      </c>
      <c r="G996" s="2">
        <f>IFERROR(__xludf.DUMMYFUNCTION("""COMPUTED_VALUE"""),74.756)</f>
        <v>74.756</v>
      </c>
    </row>
    <row r="997">
      <c r="A997" s="1" t="s">
        <v>996</v>
      </c>
      <c r="D997" s="3">
        <f>IFERROR(__xludf.DUMMYFUNCTION("SPLIT(A997, ""|"")"),43066.0)</f>
        <v>43066</v>
      </c>
      <c r="E997" s="2">
        <f>IFERROR(__xludf.DUMMYFUNCTION("""COMPUTED_VALUE"""),1463703.0)</f>
        <v>1463703</v>
      </c>
      <c r="F997" s="2">
        <f>IFERROR(__xludf.DUMMYFUNCTION("""COMPUTED_VALUE"""),3986301.0)</f>
        <v>3986301</v>
      </c>
      <c r="G997" s="2">
        <f>IFERROR(__xludf.DUMMYFUNCTION("""COMPUTED_VALUE"""),41.9375)</f>
        <v>41.9375</v>
      </c>
    </row>
    <row r="998">
      <c r="A998" s="1" t="s">
        <v>997</v>
      </c>
      <c r="D998" s="3">
        <f>IFERROR(__xludf.DUMMYFUNCTION("SPLIT(A998, ""|"")"),43066.0)</f>
        <v>43066</v>
      </c>
      <c r="E998" s="2">
        <f>IFERROR(__xludf.DUMMYFUNCTION("""COMPUTED_VALUE"""),1418703.0)</f>
        <v>1418703</v>
      </c>
      <c r="F998" s="2">
        <f>IFERROR(__xludf.DUMMYFUNCTION("""COMPUTED_VALUE"""),3986530.0)</f>
        <v>3986530</v>
      </c>
      <c r="G998" s="2">
        <f>IFERROR(__xludf.DUMMYFUNCTION("""COMPUTED_VALUE"""),71.0182)</f>
        <v>71.0182</v>
      </c>
    </row>
    <row r="999">
      <c r="A999" s="1" t="s">
        <v>998</v>
      </c>
      <c r="D999" s="3">
        <f>IFERROR(__xludf.DUMMYFUNCTION("SPLIT(A999, ""|"")"),43066.0)</f>
        <v>43066</v>
      </c>
      <c r="E999" s="2">
        <f>IFERROR(__xludf.DUMMYFUNCTION("""COMPUTED_VALUE"""),444303.0)</f>
        <v>444303</v>
      </c>
      <c r="F999" s="2">
        <f>IFERROR(__xludf.DUMMYFUNCTION("""COMPUTED_VALUE"""),3983994.0)</f>
        <v>3983994</v>
      </c>
      <c r="G999" s="2">
        <f>IFERROR(__xludf.DUMMYFUNCTION("""COMPUTED_VALUE"""),127.905499999999)</f>
        <v>127.9055</v>
      </c>
    </row>
    <row r="1000">
      <c r="A1000" s="1" t="s">
        <v>999</v>
      </c>
      <c r="D1000" s="3">
        <f>IFERROR(__xludf.DUMMYFUNCTION("SPLIT(A1000, ""|"")"),43322.0)</f>
        <v>43322</v>
      </c>
      <c r="E1000" s="2">
        <f>IFERROR(__xludf.DUMMYFUNCTION("""COMPUTED_VALUE"""),1641753.0)</f>
        <v>1641753</v>
      </c>
      <c r="F1000" s="2">
        <f>IFERROR(__xludf.DUMMYFUNCTION("""COMPUTED_VALUE"""),4674057.0)</f>
        <v>4674057</v>
      </c>
      <c r="G1000" s="2">
        <f>IFERROR(__xludf.DUMMYFUNCTION("""COMPUTED_VALUE"""),10.4)</f>
        <v>10.4</v>
      </c>
    </row>
    <row r="1001">
      <c r="A1001" s="1" t="s">
        <v>1000</v>
      </c>
      <c r="D1001" s="3">
        <f>IFERROR(__xludf.DUMMYFUNCTION("SPLIT(A1001, ""|"")"),43322.0)</f>
        <v>43322</v>
      </c>
      <c r="E1001" s="2">
        <f>IFERROR(__xludf.DUMMYFUNCTION("""COMPUTED_VALUE"""),1641843.0)</f>
        <v>1641843</v>
      </c>
      <c r="F1001" s="2">
        <f>IFERROR(__xludf.DUMMYFUNCTION("""COMPUTED_VALUE"""),4675843.0)</f>
        <v>4675843</v>
      </c>
      <c r="G1001" s="2">
        <f>IFERROR(__xludf.DUMMYFUNCTION("""COMPUTED_VALUE"""),11.9166)</f>
        <v>11.9166</v>
      </c>
    </row>
    <row r="1002">
      <c r="A1002" s="1" t="s">
        <v>1001</v>
      </c>
      <c r="D1002" s="3">
        <f>IFERROR(__xludf.DUMMYFUNCTION("SPLIT(A1002, ""|"")"),43322.0)</f>
        <v>43322</v>
      </c>
      <c r="E1002" s="2">
        <f>IFERROR(__xludf.DUMMYFUNCTION("""COMPUTED_VALUE"""),228423.0)</f>
        <v>228423</v>
      </c>
      <c r="F1002" s="2">
        <f>IFERROR(__xludf.DUMMYFUNCTION("""COMPUTED_VALUE"""),4675123.0)</f>
        <v>4675123</v>
      </c>
      <c r="G1002" s="2">
        <f>IFERROR(__xludf.DUMMYFUNCTION("""COMPUTED_VALUE"""),85.9376)</f>
        <v>85.9376</v>
      </c>
    </row>
    <row r="1003">
      <c r="A1003" s="1" t="s">
        <v>1002</v>
      </c>
      <c r="D1003" s="3">
        <f>IFERROR(__xludf.DUMMYFUNCTION("SPLIT(A1003, ""|"")"),43322.0)</f>
        <v>43322</v>
      </c>
      <c r="E1003" s="2">
        <f>IFERROR(__xludf.DUMMYFUNCTION("""COMPUTED_VALUE"""),184683.0)</f>
        <v>184683</v>
      </c>
      <c r="F1003" s="2">
        <f>IFERROR(__xludf.DUMMYFUNCTION("""COMPUTED_VALUE"""),4675314.0)</f>
        <v>4675314</v>
      </c>
      <c r="G1003" s="2">
        <f>IFERROR(__xludf.DUMMYFUNCTION("""COMPUTED_VALUE"""),31.2847999999999)</f>
        <v>31.2848</v>
      </c>
    </row>
    <row r="1004">
      <c r="A1004" s="1" t="s">
        <v>1003</v>
      </c>
      <c r="D1004" s="3">
        <f>IFERROR(__xludf.DUMMYFUNCTION("SPLIT(A1004, ""|"")"),43322.0)</f>
        <v>43322</v>
      </c>
      <c r="E1004" s="2">
        <f>IFERROR(__xludf.DUMMYFUNCTION("""COMPUTED_VALUE"""),257913.0)</f>
        <v>257913</v>
      </c>
      <c r="F1004" s="2">
        <f>IFERROR(__xludf.DUMMYFUNCTION("""COMPUTED_VALUE"""),4675400.0)</f>
        <v>4675400</v>
      </c>
      <c r="G1004" s="2">
        <f>IFERROR(__xludf.DUMMYFUNCTION("""COMPUTED_VALUE"""),314.5555)</f>
        <v>314.5555</v>
      </c>
    </row>
    <row r="1005">
      <c r="A1005" s="1" t="s">
        <v>1004</v>
      </c>
      <c r="D1005" s="3">
        <f>IFERROR(__xludf.DUMMYFUNCTION("SPLIT(A1005, ""|"")"),43067.0)</f>
        <v>43067</v>
      </c>
      <c r="E1005" s="2">
        <f>IFERROR(__xludf.DUMMYFUNCTION("""COMPUTED_VALUE"""),1272693.0)</f>
        <v>1272693</v>
      </c>
      <c r="F1005" s="2">
        <f>IFERROR(__xludf.DUMMYFUNCTION("""COMPUTED_VALUE"""),3990319.0)</f>
        <v>3990319</v>
      </c>
      <c r="G1005" s="2">
        <f>IFERROR(__xludf.DUMMYFUNCTION("""COMPUTED_VALUE"""),86.8436)</f>
        <v>86.8436</v>
      </c>
    </row>
    <row r="1006">
      <c r="A1006" s="1" t="s">
        <v>1005</v>
      </c>
      <c r="D1006" s="3">
        <f>IFERROR(__xludf.DUMMYFUNCTION("SPLIT(A1006, ""|"")"),43067.0)</f>
        <v>43067</v>
      </c>
      <c r="E1006" s="2">
        <f>IFERROR(__xludf.DUMMYFUNCTION("""COMPUTED_VALUE"""),257913.0)</f>
        <v>257913</v>
      </c>
      <c r="F1006" s="2">
        <f>IFERROR(__xludf.DUMMYFUNCTION("""COMPUTED_VALUE"""),3990593.0)</f>
        <v>3990593</v>
      </c>
      <c r="G1006" s="2">
        <f>IFERROR(__xludf.DUMMYFUNCTION("""COMPUTED_VALUE"""),101.363599999999)</f>
        <v>101.3636</v>
      </c>
    </row>
    <row r="1007">
      <c r="A1007" s="1" t="s">
        <v>1006</v>
      </c>
      <c r="D1007" s="3">
        <f>IFERROR(__xludf.DUMMYFUNCTION("SPLIT(A1007, ""|"")"),43067.0)</f>
        <v>43067</v>
      </c>
      <c r="E1007" s="2">
        <f>IFERROR(__xludf.DUMMYFUNCTION("""COMPUTED_VALUE"""),1333323.0)</f>
        <v>1333323</v>
      </c>
      <c r="F1007" s="2">
        <f>IFERROR(__xludf.DUMMYFUNCTION("""COMPUTED_VALUE"""),3989424.0)</f>
        <v>3989424</v>
      </c>
      <c r="G1007" s="2">
        <f>IFERROR(__xludf.DUMMYFUNCTION("""COMPUTED_VALUE"""),88.5)</f>
        <v>88.5</v>
      </c>
    </row>
    <row r="1008">
      <c r="A1008" s="1" t="s">
        <v>1007</v>
      </c>
      <c r="D1008" s="3">
        <f>IFERROR(__xludf.DUMMYFUNCTION("SPLIT(A1008, ""|"")"),43067.0)</f>
        <v>43067</v>
      </c>
      <c r="E1008" s="2">
        <f>IFERROR(__xludf.DUMMYFUNCTION("""COMPUTED_VALUE"""),1151013.0)</f>
        <v>1151013</v>
      </c>
      <c r="F1008" s="2">
        <f>IFERROR(__xludf.DUMMYFUNCTION("""COMPUTED_VALUE"""),3988227.0)</f>
        <v>3988227</v>
      </c>
      <c r="G1008" s="2">
        <f>IFERROR(__xludf.DUMMYFUNCTION("""COMPUTED_VALUE"""),32.167)</f>
        <v>32.167</v>
      </c>
    </row>
    <row r="1009">
      <c r="A1009" s="1" t="s">
        <v>1008</v>
      </c>
      <c r="D1009" s="3">
        <f>IFERROR(__xludf.DUMMYFUNCTION("SPLIT(A1009, ""|"")"),43067.0)</f>
        <v>43067</v>
      </c>
      <c r="E1009" s="2">
        <f>IFERROR(__xludf.DUMMYFUNCTION("""COMPUTED_VALUE"""),862653.0)</f>
        <v>862653</v>
      </c>
      <c r="F1009" s="2">
        <f>IFERROR(__xludf.DUMMYFUNCTION("""COMPUTED_VALUE"""),3990329.0)</f>
        <v>3990329</v>
      </c>
      <c r="G1009" s="2">
        <f>IFERROR(__xludf.DUMMYFUNCTION("""COMPUTED_VALUE"""),28.35)</f>
        <v>28.35</v>
      </c>
    </row>
    <row r="1010">
      <c r="A1010" s="1" t="s">
        <v>1009</v>
      </c>
      <c r="D1010" s="3">
        <f>IFERROR(__xludf.DUMMYFUNCTION("SPLIT(A1010, ""|"")"),43067.0)</f>
        <v>43067</v>
      </c>
      <c r="E1010" s="2">
        <f>IFERROR(__xludf.DUMMYFUNCTION("""COMPUTED_VALUE"""),1464993.0)</f>
        <v>1464993</v>
      </c>
      <c r="F1010" s="2">
        <f>IFERROR(__xludf.DUMMYFUNCTION("""COMPUTED_VALUE"""),3990641.0)</f>
        <v>3990641</v>
      </c>
      <c r="G1010" s="2">
        <f>IFERROR(__xludf.DUMMYFUNCTION("""COMPUTED_VALUE"""),48.4193)</f>
        <v>48.4193</v>
      </c>
    </row>
    <row r="1011">
      <c r="A1011" s="1" t="s">
        <v>1010</v>
      </c>
      <c r="D1011" s="3">
        <f>IFERROR(__xludf.DUMMYFUNCTION("SPLIT(A1011, ""|"")"),43067.0)</f>
        <v>43067</v>
      </c>
      <c r="E1011" s="2">
        <f>IFERROR(__xludf.DUMMYFUNCTION("""COMPUTED_VALUE"""),1410513.0)</f>
        <v>1410513</v>
      </c>
      <c r="F1011" s="2">
        <f>IFERROR(__xludf.DUMMYFUNCTION("""COMPUTED_VALUE"""),3989266.0)</f>
        <v>3989266</v>
      </c>
      <c r="G1011" s="2">
        <f>IFERROR(__xludf.DUMMYFUNCTION("""COMPUTED_VALUE"""),64.7627)</f>
        <v>64.7627</v>
      </c>
    </row>
    <row r="1012">
      <c r="A1012" s="1" t="s">
        <v>1011</v>
      </c>
      <c r="D1012" s="3">
        <f>IFERROR(__xludf.DUMMYFUNCTION("SPLIT(A1012, ""|"")"),43323.0)</f>
        <v>43323</v>
      </c>
      <c r="E1012" s="2">
        <f>IFERROR(__xludf.DUMMYFUNCTION("""COMPUTED_VALUE"""),1232733.0)</f>
        <v>1232733</v>
      </c>
      <c r="F1012" s="2">
        <f>IFERROR(__xludf.DUMMYFUNCTION("""COMPUTED_VALUE"""),4677239.0)</f>
        <v>4677239</v>
      </c>
      <c r="G1012" s="2">
        <f>IFERROR(__xludf.DUMMYFUNCTION("""COMPUTED_VALUE"""),82.3167)</f>
        <v>82.3167</v>
      </c>
    </row>
    <row r="1013">
      <c r="A1013" s="1" t="s">
        <v>1012</v>
      </c>
      <c r="D1013" s="3">
        <f>IFERROR(__xludf.DUMMYFUNCTION("SPLIT(A1013, ""|"")"),43323.0)</f>
        <v>43323</v>
      </c>
      <c r="E1013" s="2">
        <f>IFERROR(__xludf.DUMMYFUNCTION("""COMPUTED_VALUE"""),1618173.0)</f>
        <v>1618173</v>
      </c>
      <c r="F1013" s="2">
        <f>IFERROR(__xludf.DUMMYFUNCTION("""COMPUTED_VALUE"""),4676595.0)</f>
        <v>4676595</v>
      </c>
      <c r="G1013" s="2">
        <f>IFERROR(__xludf.DUMMYFUNCTION("""COMPUTED_VALUE"""),133.8948)</f>
        <v>133.8948</v>
      </c>
    </row>
    <row r="1014">
      <c r="A1014" s="1" t="s">
        <v>1013</v>
      </c>
      <c r="D1014" s="3">
        <f>IFERROR(__xludf.DUMMYFUNCTION("SPLIT(A1014, ""|"")"),43068.0)</f>
        <v>43068</v>
      </c>
      <c r="E1014" s="2">
        <f>IFERROR(__xludf.DUMMYFUNCTION("""COMPUTED_VALUE"""),1387113.0)</f>
        <v>1387113</v>
      </c>
      <c r="F1014" s="2">
        <f>IFERROR(__xludf.DUMMYFUNCTION("""COMPUTED_VALUE"""),3993406.0)</f>
        <v>3993406</v>
      </c>
      <c r="G1014" s="2">
        <f>IFERROR(__xludf.DUMMYFUNCTION("""COMPUTED_VALUE"""),357.191099999999)</f>
        <v>357.1911</v>
      </c>
    </row>
    <row r="1015">
      <c r="A1015" s="1" t="s">
        <v>1014</v>
      </c>
      <c r="D1015" s="3">
        <f>IFERROR(__xludf.DUMMYFUNCTION("SPLIT(A1015, ""|"")"),43068.0)</f>
        <v>43068</v>
      </c>
      <c r="E1015" s="2">
        <f>IFERROR(__xludf.DUMMYFUNCTION("""COMPUTED_VALUE"""),1407333.0)</f>
        <v>1407333</v>
      </c>
      <c r="F1015" s="2">
        <f>IFERROR(__xludf.DUMMYFUNCTION("""COMPUTED_VALUE"""),3991213.0)</f>
        <v>3991213</v>
      </c>
      <c r="G1015" s="2">
        <f>IFERROR(__xludf.DUMMYFUNCTION("""COMPUTED_VALUE"""),100.674099999999)</f>
        <v>100.6741</v>
      </c>
    </row>
    <row r="1016">
      <c r="A1016" s="1" t="s">
        <v>1015</v>
      </c>
      <c r="D1016" s="3">
        <f>IFERROR(__xludf.DUMMYFUNCTION("SPLIT(A1016, ""|"")"),43068.0)</f>
        <v>43068</v>
      </c>
      <c r="E1016" s="2">
        <f>IFERROR(__xludf.DUMMYFUNCTION("""COMPUTED_VALUE"""),1131483.0)</f>
        <v>1131483</v>
      </c>
      <c r="F1016" s="2">
        <f>IFERROR(__xludf.DUMMYFUNCTION("""COMPUTED_VALUE"""),3991176.0)</f>
        <v>3991176</v>
      </c>
      <c r="G1016" s="2">
        <f>IFERROR(__xludf.DUMMYFUNCTION("""COMPUTED_VALUE"""),38.06)</f>
        <v>38.06</v>
      </c>
    </row>
    <row r="1017">
      <c r="A1017" s="1" t="s">
        <v>1016</v>
      </c>
      <c r="D1017" s="3">
        <f>IFERROR(__xludf.DUMMYFUNCTION("SPLIT(A1017, ""|"")"),43068.0)</f>
        <v>43068</v>
      </c>
      <c r="E1017" s="2">
        <f>IFERROR(__xludf.DUMMYFUNCTION("""COMPUTED_VALUE"""),1465833.0)</f>
        <v>1465833</v>
      </c>
      <c r="F1017" s="2">
        <f>IFERROR(__xludf.DUMMYFUNCTION("""COMPUTED_VALUE"""),3993080.0)</f>
        <v>3993080</v>
      </c>
      <c r="G1017" s="2">
        <f>IFERROR(__xludf.DUMMYFUNCTION("""COMPUTED_VALUE"""),32.9972)</f>
        <v>32.9972</v>
      </c>
    </row>
    <row r="1018">
      <c r="A1018" s="1" t="s">
        <v>1017</v>
      </c>
      <c r="D1018" s="3">
        <f>IFERROR(__xludf.DUMMYFUNCTION("SPLIT(A1018, ""|"")"),43068.0)</f>
        <v>43068</v>
      </c>
      <c r="E1018" s="2">
        <f>IFERROR(__xludf.DUMMYFUNCTION("""COMPUTED_VALUE"""),1247553.0)</f>
        <v>1247553</v>
      </c>
      <c r="F1018" s="2">
        <f>IFERROR(__xludf.DUMMYFUNCTION("""COMPUTED_VALUE"""),3991617.0)</f>
        <v>3991617</v>
      </c>
      <c r="G1018" s="2">
        <f>IFERROR(__xludf.DUMMYFUNCTION("""COMPUTED_VALUE"""),42.4899)</f>
        <v>42.4899</v>
      </c>
    </row>
    <row r="1019">
      <c r="A1019" s="1" t="s">
        <v>1018</v>
      </c>
      <c r="D1019" s="3">
        <f>IFERROR(__xludf.DUMMYFUNCTION("SPLIT(A1019, ""|"")"),43068.0)</f>
        <v>43068</v>
      </c>
      <c r="E1019" s="2">
        <f>IFERROR(__xludf.DUMMYFUNCTION("""COMPUTED_VALUE"""),234783.0)</f>
        <v>234783</v>
      </c>
      <c r="F1019" s="2">
        <f>IFERROR(__xludf.DUMMYFUNCTION("""COMPUTED_VALUE"""),3993595.0)</f>
        <v>3993595</v>
      </c>
      <c r="G1019" s="2">
        <f>IFERROR(__xludf.DUMMYFUNCTION("""COMPUTED_VALUE"""),105.6231)</f>
        <v>105.6231</v>
      </c>
    </row>
    <row r="1020">
      <c r="A1020" s="1" t="s">
        <v>1019</v>
      </c>
      <c r="D1020" s="3">
        <f>IFERROR(__xludf.DUMMYFUNCTION("SPLIT(A1020, ""|"")"),43068.0)</f>
        <v>43068</v>
      </c>
      <c r="E1020" s="2">
        <f>IFERROR(__xludf.DUMMYFUNCTION("""COMPUTED_VALUE"""),1290003.0)</f>
        <v>1290003</v>
      </c>
      <c r="F1020" s="2">
        <f>IFERROR(__xludf.DUMMYFUNCTION("""COMPUTED_VALUE"""),3992489.0)</f>
        <v>3992489</v>
      </c>
      <c r="G1020" s="2">
        <f>IFERROR(__xludf.DUMMYFUNCTION("""COMPUTED_VALUE"""),21.48)</f>
        <v>21.48</v>
      </c>
    </row>
    <row r="1021">
      <c r="A1021" s="1" t="s">
        <v>1020</v>
      </c>
      <c r="D1021" s="3">
        <f>IFERROR(__xludf.DUMMYFUNCTION("SPLIT(A1021, ""|"")"),43068.0)</f>
        <v>43068</v>
      </c>
      <c r="E1021" s="2">
        <f>IFERROR(__xludf.DUMMYFUNCTION("""COMPUTED_VALUE"""),199323.0)</f>
        <v>199323</v>
      </c>
      <c r="F1021" s="2">
        <f>IFERROR(__xludf.DUMMYFUNCTION("""COMPUTED_VALUE"""),3994044.0)</f>
        <v>3994044</v>
      </c>
      <c r="G1021" s="2">
        <f>IFERROR(__xludf.DUMMYFUNCTION("""COMPUTED_VALUE"""),49.5000999999999)</f>
        <v>49.5001</v>
      </c>
    </row>
    <row r="1022">
      <c r="A1022" s="1" t="s">
        <v>1021</v>
      </c>
      <c r="D1022" s="3">
        <f>IFERROR(__xludf.DUMMYFUNCTION("SPLIT(A1022, ""|"")"),43324.0)</f>
        <v>43324</v>
      </c>
      <c r="E1022" s="2">
        <f>IFERROR(__xludf.DUMMYFUNCTION("""COMPUTED_VALUE"""),1643073.0)</f>
        <v>1643073</v>
      </c>
      <c r="F1022" s="2">
        <f>IFERROR(__xludf.DUMMYFUNCTION("""COMPUTED_VALUE"""),4678426.0)</f>
        <v>4678426</v>
      </c>
      <c r="G1022" s="2">
        <f>IFERROR(__xludf.DUMMYFUNCTION("""COMPUTED_VALUE"""),6.256)</f>
        <v>6.256</v>
      </c>
    </row>
    <row r="1023">
      <c r="A1023" s="1" t="s">
        <v>1022</v>
      </c>
      <c r="D1023" s="3">
        <f>IFERROR(__xludf.DUMMYFUNCTION("SPLIT(A1023, ""|"")"),43324.0)</f>
        <v>43324</v>
      </c>
      <c r="E1023" s="2">
        <f>IFERROR(__xludf.DUMMYFUNCTION("""COMPUTED_VALUE"""),1643133.0)</f>
        <v>1643133</v>
      </c>
      <c r="F1023" s="2">
        <f>IFERROR(__xludf.DUMMYFUNCTION("""COMPUTED_VALUE"""),4678687.0)</f>
        <v>4678687</v>
      </c>
      <c r="G1023" s="2">
        <f>IFERROR(__xludf.DUMMYFUNCTION("""COMPUTED_VALUE"""),11.4952)</f>
        <v>11.4952</v>
      </c>
    </row>
    <row r="1024">
      <c r="A1024" s="1" t="s">
        <v>1023</v>
      </c>
      <c r="D1024" s="3">
        <f>IFERROR(__xludf.DUMMYFUNCTION("SPLIT(A1024, ""|"")"),43324.0)</f>
        <v>43324</v>
      </c>
      <c r="E1024" s="2">
        <f>IFERROR(__xludf.DUMMYFUNCTION("""COMPUTED_VALUE"""),430593.0)</f>
        <v>430593</v>
      </c>
      <c r="F1024" s="2">
        <f>IFERROR(__xludf.DUMMYFUNCTION("""COMPUTED_VALUE"""),4678565.0)</f>
        <v>4678565</v>
      </c>
      <c r="G1024" s="2">
        <f>IFERROR(__xludf.DUMMYFUNCTION("""COMPUTED_VALUE"""),105.666699999999)</f>
        <v>105.6667</v>
      </c>
    </row>
    <row r="1025">
      <c r="A1025" s="1" t="s">
        <v>1024</v>
      </c>
      <c r="D1025" s="3">
        <f>IFERROR(__xludf.DUMMYFUNCTION("SPLIT(A1025, ""|"")"),43069.0)</f>
        <v>43069</v>
      </c>
      <c r="E1025" s="2">
        <f>IFERROR(__xludf.DUMMYFUNCTION("""COMPUTED_VALUE"""),1292223.0)</f>
        <v>1292223</v>
      </c>
      <c r="F1025" s="2">
        <f>IFERROR(__xludf.DUMMYFUNCTION("""COMPUTED_VALUE"""),3995292.0)</f>
        <v>3995292</v>
      </c>
      <c r="G1025" s="2">
        <f>IFERROR(__xludf.DUMMYFUNCTION("""COMPUTED_VALUE"""),47.724)</f>
        <v>47.724</v>
      </c>
    </row>
    <row r="1026">
      <c r="A1026" s="1" t="s">
        <v>1025</v>
      </c>
      <c r="D1026" s="3">
        <f>IFERROR(__xludf.DUMMYFUNCTION("SPLIT(A1026, ""|"")"),43069.0)</f>
        <v>43069</v>
      </c>
      <c r="E1026" s="2">
        <f>IFERROR(__xludf.DUMMYFUNCTION("""COMPUTED_VALUE"""),1209063.0)</f>
        <v>1209063</v>
      </c>
      <c r="F1026" s="2">
        <f>IFERROR(__xludf.DUMMYFUNCTION("""COMPUTED_VALUE"""),3995349.0)</f>
        <v>3995349</v>
      </c>
      <c r="G1026" s="2">
        <f>IFERROR(__xludf.DUMMYFUNCTION("""COMPUTED_VALUE"""),131.223699999999)</f>
        <v>131.2237</v>
      </c>
    </row>
    <row r="1027">
      <c r="A1027" s="1" t="s">
        <v>1026</v>
      </c>
      <c r="D1027" s="3">
        <f>IFERROR(__xludf.DUMMYFUNCTION("SPLIT(A1027, ""|"")"),43069.0)</f>
        <v>43069</v>
      </c>
      <c r="E1027" s="2">
        <f>IFERROR(__xludf.DUMMYFUNCTION("""COMPUTED_VALUE"""),1466943.0)</f>
        <v>1466943</v>
      </c>
      <c r="F1027" s="2">
        <f>IFERROR(__xludf.DUMMYFUNCTION("""COMPUTED_VALUE"""),3996624.0)</f>
        <v>3996624</v>
      </c>
      <c r="G1027" s="2">
        <f>IFERROR(__xludf.DUMMYFUNCTION("""COMPUTED_VALUE"""),3.0028)</f>
        <v>3.0028</v>
      </c>
    </row>
    <row r="1028">
      <c r="A1028" s="1" t="s">
        <v>1027</v>
      </c>
      <c r="D1028" s="3">
        <f>IFERROR(__xludf.DUMMYFUNCTION("SPLIT(A1028, ""|"")"),43069.0)</f>
        <v>43069</v>
      </c>
      <c r="E1028" s="2">
        <f>IFERROR(__xludf.DUMMYFUNCTION("""COMPUTED_VALUE"""),1466373.0)</f>
        <v>1466373</v>
      </c>
      <c r="F1028" s="2">
        <f>IFERROR(__xludf.DUMMYFUNCTION("""COMPUTED_VALUE"""),3994933.0)</f>
        <v>3994933</v>
      </c>
      <c r="G1028" s="2">
        <f>IFERROR(__xludf.DUMMYFUNCTION("""COMPUTED_VALUE"""),22.0)</f>
        <v>22</v>
      </c>
    </row>
    <row r="1029">
      <c r="A1029" s="1" t="s">
        <v>1028</v>
      </c>
      <c r="D1029" s="3">
        <f>IFERROR(__xludf.DUMMYFUNCTION("SPLIT(A1029, ""|"")"),43069.0)</f>
        <v>43069</v>
      </c>
      <c r="E1029" s="2">
        <f>IFERROR(__xludf.DUMMYFUNCTION("""COMPUTED_VALUE"""),1466163.0)</f>
        <v>1466163</v>
      </c>
      <c r="F1029" s="2">
        <f>IFERROR(__xludf.DUMMYFUNCTION("""COMPUTED_VALUE"""),3994616.0)</f>
        <v>3994616</v>
      </c>
      <c r="G1029" s="2">
        <f>IFERROR(__xludf.DUMMYFUNCTION("""COMPUTED_VALUE"""),11.5833)</f>
        <v>11.5833</v>
      </c>
    </row>
    <row r="1030">
      <c r="A1030" s="1" t="s">
        <v>1029</v>
      </c>
      <c r="D1030" s="3">
        <f>IFERROR(__xludf.DUMMYFUNCTION("SPLIT(A1030, ""|"")"),43069.0)</f>
        <v>43069</v>
      </c>
      <c r="E1030" s="2">
        <f>IFERROR(__xludf.DUMMYFUNCTION("""COMPUTED_VALUE"""),1466463.0)</f>
        <v>1466463</v>
      </c>
      <c r="F1030" s="2">
        <f>IFERROR(__xludf.DUMMYFUNCTION("""COMPUTED_VALUE"""),3995170.0)</f>
        <v>3995170</v>
      </c>
      <c r="G1030" s="2">
        <f>IFERROR(__xludf.DUMMYFUNCTION("""COMPUTED_VALUE"""),56.445)</f>
        <v>56.445</v>
      </c>
    </row>
    <row r="1031">
      <c r="A1031" s="1" t="s">
        <v>1030</v>
      </c>
      <c r="D1031" s="3">
        <f>IFERROR(__xludf.DUMMYFUNCTION("SPLIT(A1031, ""|"")"),43069.0)</f>
        <v>43069</v>
      </c>
      <c r="E1031" s="2">
        <f>IFERROR(__xludf.DUMMYFUNCTION("""COMPUTED_VALUE"""),1466613.0)</f>
        <v>1466613</v>
      </c>
      <c r="F1031" s="2">
        <f>IFERROR(__xludf.DUMMYFUNCTION("""COMPUTED_VALUE"""),3996789.0)</f>
        <v>3996789</v>
      </c>
      <c r="G1031" s="2">
        <f>IFERROR(__xludf.DUMMYFUNCTION("""COMPUTED_VALUE"""),92.2423)</f>
        <v>92.2423</v>
      </c>
    </row>
    <row r="1032">
      <c r="A1032" s="1" t="s">
        <v>1031</v>
      </c>
      <c r="D1032" s="3">
        <f>IFERROR(__xludf.DUMMYFUNCTION("SPLIT(A1032, ""|"")"),43069.0)</f>
        <v>43069</v>
      </c>
      <c r="E1032" s="2">
        <f>IFERROR(__xludf.DUMMYFUNCTION("""COMPUTED_VALUE"""),1466853.0)</f>
        <v>1466853</v>
      </c>
      <c r="F1032" s="2">
        <f>IFERROR(__xludf.DUMMYFUNCTION("""COMPUTED_VALUE"""),3996411.0)</f>
        <v>3996411</v>
      </c>
      <c r="G1032" s="2">
        <f>IFERROR(__xludf.DUMMYFUNCTION("""COMPUTED_VALUE"""),28.2225)</f>
        <v>28.2225</v>
      </c>
    </row>
    <row r="1033">
      <c r="A1033" s="1" t="s">
        <v>1032</v>
      </c>
      <c r="D1033" s="3">
        <f>IFERROR(__xludf.DUMMYFUNCTION("SPLIT(A1033, ""|"")"),43069.0)</f>
        <v>43069</v>
      </c>
      <c r="E1033" s="2">
        <f>IFERROR(__xludf.DUMMYFUNCTION("""COMPUTED_VALUE"""),1466523.0)</f>
        <v>1466523</v>
      </c>
      <c r="F1033" s="2">
        <f>IFERROR(__xludf.DUMMYFUNCTION("""COMPUTED_VALUE"""),3995450.0)</f>
        <v>3995450</v>
      </c>
      <c r="G1033" s="2">
        <f>IFERROR(__xludf.DUMMYFUNCTION("""COMPUTED_VALUE"""),44.8425)</f>
        <v>44.8425</v>
      </c>
    </row>
    <row r="1034">
      <c r="A1034" s="1" t="s">
        <v>1033</v>
      </c>
      <c r="D1034" s="3">
        <f>IFERROR(__xludf.DUMMYFUNCTION("SPLIT(A1034, ""|"")"),43069.0)</f>
        <v>43069</v>
      </c>
      <c r="E1034" s="2">
        <f>IFERROR(__xludf.DUMMYFUNCTION("""COMPUTED_VALUE"""),1467123.0)</f>
        <v>1467123</v>
      </c>
      <c r="F1034" s="2">
        <f>IFERROR(__xludf.DUMMYFUNCTION("""COMPUTED_VALUE"""),3997190.0)</f>
        <v>3997190</v>
      </c>
      <c r="G1034" s="2">
        <f>IFERROR(__xludf.DUMMYFUNCTION("""COMPUTED_VALUE"""),69.6075)</f>
        <v>69.6075</v>
      </c>
    </row>
    <row r="1035">
      <c r="A1035" s="1" t="s">
        <v>1034</v>
      </c>
      <c r="D1035" s="3">
        <f>IFERROR(__xludf.DUMMYFUNCTION("SPLIT(A1035, ""|"")"),43325.0)</f>
        <v>43325</v>
      </c>
      <c r="E1035" s="2">
        <f>IFERROR(__xludf.DUMMYFUNCTION("""COMPUTED_VALUE"""),437733.0)</f>
        <v>437733</v>
      </c>
      <c r="F1035" s="2">
        <f>IFERROR(__xludf.DUMMYFUNCTION("""COMPUTED_VALUE"""),4682303.0)</f>
        <v>4682303</v>
      </c>
      <c r="G1035" s="2">
        <f>IFERROR(__xludf.DUMMYFUNCTION("""COMPUTED_VALUE"""),77.2661)</f>
        <v>77.2661</v>
      </c>
    </row>
    <row r="1036">
      <c r="A1036" s="1" t="s">
        <v>1035</v>
      </c>
      <c r="D1036" s="3">
        <f>IFERROR(__xludf.DUMMYFUNCTION("SPLIT(A1036, ""|"")"),43325.0)</f>
        <v>43325</v>
      </c>
      <c r="E1036" s="2">
        <f>IFERROR(__xludf.DUMMYFUNCTION("""COMPUTED_VALUE"""),1544043.0)</f>
        <v>1544043</v>
      </c>
      <c r="F1036" s="2">
        <f>IFERROR(__xludf.DUMMYFUNCTION("""COMPUTED_VALUE"""),4681648.0)</f>
        <v>4681648</v>
      </c>
      <c r="G1036" s="2">
        <f>IFERROR(__xludf.DUMMYFUNCTION("""COMPUTED_VALUE"""),66.8125)</f>
        <v>66.8125</v>
      </c>
    </row>
    <row r="1037">
      <c r="A1037" s="1" t="s">
        <v>1036</v>
      </c>
      <c r="D1037" s="3">
        <f>IFERROR(__xludf.DUMMYFUNCTION("SPLIT(A1037, ""|"")"),43325.0)</f>
        <v>43325</v>
      </c>
      <c r="E1037" s="2">
        <f>IFERROR(__xludf.DUMMYFUNCTION("""COMPUTED_VALUE"""),1643583.0)</f>
        <v>1643583</v>
      </c>
      <c r="F1037" s="2">
        <f>IFERROR(__xludf.DUMMYFUNCTION("""COMPUTED_VALUE"""),4680565.0)</f>
        <v>4680565</v>
      </c>
      <c r="G1037" s="2">
        <f>IFERROR(__xludf.DUMMYFUNCTION("""COMPUTED_VALUE"""),46.3658999999999)</f>
        <v>46.3659</v>
      </c>
    </row>
    <row r="1038">
      <c r="A1038" s="1" t="s">
        <v>1037</v>
      </c>
      <c r="D1038" s="3">
        <f>IFERROR(__xludf.DUMMYFUNCTION("SPLIT(A1038, ""|"")"),43070.0)</f>
        <v>43070</v>
      </c>
      <c r="E1038" s="2">
        <f>IFERROR(__xludf.DUMMYFUNCTION("""COMPUTED_VALUE"""),1467363.0)</f>
        <v>1467363</v>
      </c>
      <c r="F1038" s="2">
        <f>IFERROR(__xludf.DUMMYFUNCTION("""COMPUTED_VALUE"""),3997952.0)</f>
        <v>3997952</v>
      </c>
      <c r="G1038" s="2">
        <f>IFERROR(__xludf.DUMMYFUNCTION("""COMPUTED_VALUE"""),59.7134999999999)</f>
        <v>59.7135</v>
      </c>
    </row>
    <row r="1039">
      <c r="A1039" s="1" t="s">
        <v>1038</v>
      </c>
      <c r="D1039" s="3">
        <f>IFERROR(__xludf.DUMMYFUNCTION("SPLIT(A1039, ""|"")"),43070.0)</f>
        <v>43070</v>
      </c>
      <c r="E1039" s="2">
        <f>IFERROR(__xludf.DUMMYFUNCTION("""COMPUTED_VALUE"""),1467843.0)</f>
        <v>1467843</v>
      </c>
      <c r="F1039" s="2">
        <f>IFERROR(__xludf.DUMMYFUNCTION("""COMPUTED_VALUE"""),3999329.0)</f>
        <v>3999329</v>
      </c>
      <c r="G1039" s="2">
        <f>IFERROR(__xludf.DUMMYFUNCTION("""COMPUTED_VALUE"""),19.3212)</f>
        <v>19.3212</v>
      </c>
    </row>
    <row r="1040">
      <c r="A1040" s="1" t="s">
        <v>1039</v>
      </c>
      <c r="D1040" s="3">
        <f>IFERROR(__xludf.DUMMYFUNCTION("SPLIT(A1040, ""|"")"),43070.0)</f>
        <v>43070</v>
      </c>
      <c r="E1040" s="2">
        <f>IFERROR(__xludf.DUMMYFUNCTION("""COMPUTED_VALUE"""),1428633.0)</f>
        <v>1428633</v>
      </c>
      <c r="F1040" s="2">
        <f>IFERROR(__xludf.DUMMYFUNCTION("""COMPUTED_VALUE"""),3999863.0)</f>
        <v>3999863</v>
      </c>
      <c r="G1040" s="2">
        <f>IFERROR(__xludf.DUMMYFUNCTION("""COMPUTED_VALUE"""),241.0729)</f>
        <v>241.0729</v>
      </c>
    </row>
    <row r="1041">
      <c r="A1041" s="1" t="s">
        <v>1040</v>
      </c>
      <c r="D1041" s="3">
        <f>IFERROR(__xludf.DUMMYFUNCTION("SPLIT(A1041, ""|"")"),43070.0)</f>
        <v>43070</v>
      </c>
      <c r="E1041" s="2">
        <f>IFERROR(__xludf.DUMMYFUNCTION("""COMPUTED_VALUE"""),1121103.0)</f>
        <v>1121103</v>
      </c>
      <c r="F1041" s="2">
        <f>IFERROR(__xludf.DUMMYFUNCTION("""COMPUTED_VALUE"""),3998352.0)</f>
        <v>3998352</v>
      </c>
      <c r="G1041" s="2">
        <f>IFERROR(__xludf.DUMMYFUNCTION("""COMPUTED_VALUE"""),98.5841)</f>
        <v>98.5841</v>
      </c>
    </row>
    <row r="1042">
      <c r="A1042" s="1" t="s">
        <v>1041</v>
      </c>
      <c r="D1042" s="3">
        <f>IFERROR(__xludf.DUMMYFUNCTION("SPLIT(A1042, ""|"")"),43326.0)</f>
        <v>43326</v>
      </c>
      <c r="E1042" s="2">
        <f>IFERROR(__xludf.DUMMYFUNCTION("""COMPUTED_VALUE"""),1644243.0)</f>
        <v>1644243</v>
      </c>
      <c r="F1042" s="2">
        <f>IFERROR(__xludf.DUMMYFUNCTION("""COMPUTED_VALUE"""),4683078.0)</f>
        <v>4683078</v>
      </c>
      <c r="G1042" s="2">
        <f>IFERROR(__xludf.DUMMYFUNCTION("""COMPUTED_VALUE"""),40.0128)</f>
        <v>40.0128</v>
      </c>
    </row>
    <row r="1043">
      <c r="A1043" s="1" t="s">
        <v>1042</v>
      </c>
      <c r="D1043" s="3">
        <f>IFERROR(__xludf.DUMMYFUNCTION("SPLIT(A1043, ""|"")"),43326.0)</f>
        <v>43326</v>
      </c>
      <c r="E1043" s="2">
        <f>IFERROR(__xludf.DUMMYFUNCTION("""COMPUTED_VALUE"""),257913.0)</f>
        <v>257913</v>
      </c>
      <c r="F1043" s="2">
        <f>IFERROR(__xludf.DUMMYFUNCTION("""COMPUTED_VALUE"""),4683671.0)</f>
        <v>4683671</v>
      </c>
      <c r="G1043" s="2">
        <f>IFERROR(__xludf.DUMMYFUNCTION("""COMPUTED_VALUE"""),91.5920999999999)</f>
        <v>91.5921</v>
      </c>
    </row>
    <row r="1044">
      <c r="A1044" s="1" t="s">
        <v>1043</v>
      </c>
      <c r="D1044" s="3">
        <f>IFERROR(__xludf.DUMMYFUNCTION("SPLIT(A1044, ""|"")"),43326.0)</f>
        <v>43326</v>
      </c>
      <c r="E1044" s="2">
        <f>IFERROR(__xludf.DUMMYFUNCTION("""COMPUTED_VALUE"""),1544253.0)</f>
        <v>1544253</v>
      </c>
      <c r="F1044" s="2">
        <f>IFERROR(__xludf.DUMMYFUNCTION("""COMPUTED_VALUE"""),4682660.0)</f>
        <v>4682660</v>
      </c>
      <c r="G1044" s="2">
        <f>IFERROR(__xludf.DUMMYFUNCTION("""COMPUTED_VALUE"""),88.5985999999999)</f>
        <v>88.5986</v>
      </c>
    </row>
    <row r="1045">
      <c r="A1045" s="1" t="s">
        <v>1044</v>
      </c>
      <c r="D1045" s="3">
        <f>IFERROR(__xludf.DUMMYFUNCTION("SPLIT(A1045, ""|"")"),43326.0)</f>
        <v>43326</v>
      </c>
      <c r="E1045" s="2">
        <f>IFERROR(__xludf.DUMMYFUNCTION("""COMPUTED_VALUE"""),1644393.0)</f>
        <v>1644393</v>
      </c>
      <c r="F1045" s="2">
        <f>IFERROR(__xludf.DUMMYFUNCTION("""COMPUTED_VALUE"""),4683637.0)</f>
        <v>4683637</v>
      </c>
      <c r="G1045" s="2">
        <f>IFERROR(__xludf.DUMMYFUNCTION("""COMPUTED_VALUE"""),9.6493)</f>
        <v>9.6493</v>
      </c>
    </row>
    <row r="1046">
      <c r="A1046" s="1" t="s">
        <v>1045</v>
      </c>
      <c r="D1046" s="3">
        <f>IFERROR(__xludf.DUMMYFUNCTION("SPLIT(A1046, ""|"")"),43326.0)</f>
        <v>43326</v>
      </c>
      <c r="E1046" s="2">
        <f>IFERROR(__xludf.DUMMYFUNCTION("""COMPUTED_VALUE"""),1163223.0)</f>
        <v>1163223</v>
      </c>
      <c r="F1046" s="2">
        <f>IFERROR(__xludf.DUMMYFUNCTION("""COMPUTED_VALUE"""),4684549.0)</f>
        <v>4684549</v>
      </c>
      <c r="G1046" s="2">
        <f>IFERROR(__xludf.DUMMYFUNCTION("""COMPUTED_VALUE"""),86.626)</f>
        <v>86.626</v>
      </c>
    </row>
    <row r="1047">
      <c r="A1047" s="1" t="s">
        <v>1046</v>
      </c>
      <c r="D1047" s="3">
        <f>IFERROR(__xludf.DUMMYFUNCTION("SPLIT(A1047, ""|"")"),43326.0)</f>
        <v>43326</v>
      </c>
      <c r="E1047" s="2">
        <f>IFERROR(__xludf.DUMMYFUNCTION("""COMPUTED_VALUE"""),234033.0)</f>
        <v>234033</v>
      </c>
      <c r="F1047" s="2">
        <f>IFERROR(__xludf.DUMMYFUNCTION("""COMPUTED_VALUE"""),4684055.0)</f>
        <v>4684055</v>
      </c>
      <c r="G1047" s="2">
        <f>IFERROR(__xludf.DUMMYFUNCTION("""COMPUTED_VALUE"""),64.5055999999999)</f>
        <v>64.5056</v>
      </c>
    </row>
    <row r="1048">
      <c r="A1048" s="1" t="s">
        <v>1047</v>
      </c>
      <c r="D1048" s="3">
        <f>IFERROR(__xludf.DUMMYFUNCTION("SPLIT(A1048, ""|"")"),43326.0)</f>
        <v>43326</v>
      </c>
      <c r="E1048" s="2">
        <f>IFERROR(__xludf.DUMMYFUNCTION("""COMPUTED_VALUE"""),1644363.0)</f>
        <v>1644363</v>
      </c>
      <c r="F1048" s="2">
        <f>IFERROR(__xludf.DUMMYFUNCTION("""COMPUTED_VALUE"""),4683510.0)</f>
        <v>4683510</v>
      </c>
      <c r="G1048" s="2">
        <f>IFERROR(__xludf.DUMMYFUNCTION("""COMPUTED_VALUE"""),19.5336)</f>
        <v>19.5336</v>
      </c>
    </row>
    <row r="1049">
      <c r="A1049" s="1" t="s">
        <v>1048</v>
      </c>
      <c r="D1049" s="3">
        <f>IFERROR(__xludf.DUMMYFUNCTION("SPLIT(A1049, ""|"")"),43071.0)</f>
        <v>43071</v>
      </c>
      <c r="E1049" s="2">
        <f>IFERROR(__xludf.DUMMYFUNCTION("""COMPUTED_VALUE"""),1291233.0)</f>
        <v>1291233</v>
      </c>
      <c r="F1049" s="2">
        <f>IFERROR(__xludf.DUMMYFUNCTION("""COMPUTED_VALUE"""),4002439.0)</f>
        <v>4002439</v>
      </c>
      <c r="G1049" s="2">
        <f>IFERROR(__xludf.DUMMYFUNCTION("""COMPUTED_VALUE"""),70.338)</f>
        <v>70.338</v>
      </c>
    </row>
    <row r="1050">
      <c r="A1050" s="1" t="s">
        <v>1049</v>
      </c>
      <c r="D1050" s="3">
        <f>IFERROR(__xludf.DUMMYFUNCTION("SPLIT(A1050, ""|"")"),43071.0)</f>
        <v>43071</v>
      </c>
      <c r="E1050" s="2">
        <f>IFERROR(__xludf.DUMMYFUNCTION("""COMPUTED_VALUE"""),1345623.0)</f>
        <v>1345623</v>
      </c>
      <c r="F1050" s="2">
        <f>IFERROR(__xludf.DUMMYFUNCTION("""COMPUTED_VALUE"""),4000346.0)</f>
        <v>4000346</v>
      </c>
      <c r="G1050" s="2">
        <f>IFERROR(__xludf.DUMMYFUNCTION("""COMPUTED_VALUE"""),77.2766)</f>
        <v>77.2766</v>
      </c>
    </row>
    <row r="1051">
      <c r="A1051" s="1" t="s">
        <v>1050</v>
      </c>
      <c r="D1051" s="3">
        <f>IFERROR(__xludf.DUMMYFUNCTION("SPLIT(A1051, ""|"")"),43071.0)</f>
        <v>43071</v>
      </c>
      <c r="E1051" s="2">
        <f>IFERROR(__xludf.DUMMYFUNCTION("""COMPUTED_VALUE"""),1351803.0)</f>
        <v>1351803</v>
      </c>
      <c r="F1051" s="2">
        <f>IFERROR(__xludf.DUMMYFUNCTION("""COMPUTED_VALUE"""),4002538.0)</f>
        <v>4002538</v>
      </c>
      <c r="G1051" s="2">
        <f>IFERROR(__xludf.DUMMYFUNCTION("""COMPUTED_VALUE"""),81.2314)</f>
        <v>81.2314</v>
      </c>
    </row>
    <row r="1052">
      <c r="A1052" s="1" t="s">
        <v>1051</v>
      </c>
      <c r="D1052" s="3">
        <f>IFERROR(__xludf.DUMMYFUNCTION("SPLIT(A1052, ""|"")"),43071.0)</f>
        <v>43071</v>
      </c>
      <c r="E1052" s="2">
        <f>IFERROR(__xludf.DUMMYFUNCTION("""COMPUTED_VALUE"""),1367313.0)</f>
        <v>1367313</v>
      </c>
      <c r="F1052" s="2">
        <f>IFERROR(__xludf.DUMMYFUNCTION("""COMPUTED_VALUE"""),4001558.0)</f>
        <v>4001558</v>
      </c>
      <c r="G1052" s="2">
        <f>IFERROR(__xludf.DUMMYFUNCTION("""COMPUTED_VALUE"""),99.3431)</f>
        <v>99.3431</v>
      </c>
    </row>
    <row r="1053">
      <c r="A1053" s="1" t="s">
        <v>1052</v>
      </c>
      <c r="D1053" s="3">
        <f>IFERROR(__xludf.DUMMYFUNCTION("SPLIT(A1053, ""|"")"),43071.0)</f>
        <v>43071</v>
      </c>
      <c r="E1053" s="2">
        <f>IFERROR(__xludf.DUMMYFUNCTION("""COMPUTED_VALUE"""),146283.0)</f>
        <v>146283</v>
      </c>
      <c r="F1053" s="2">
        <f>IFERROR(__xludf.DUMMYFUNCTION("""COMPUTED_VALUE"""),4000725.0)</f>
        <v>4000725</v>
      </c>
      <c r="G1053" s="2">
        <f>IFERROR(__xludf.DUMMYFUNCTION("""COMPUTED_VALUE"""),95.5836)</f>
        <v>95.5836</v>
      </c>
    </row>
    <row r="1054">
      <c r="A1054" s="1" t="s">
        <v>1053</v>
      </c>
      <c r="D1054" s="3">
        <f>IFERROR(__xludf.DUMMYFUNCTION("SPLIT(A1054, ""|"")"),43327.0)</f>
        <v>43327</v>
      </c>
      <c r="E1054" s="2">
        <f>IFERROR(__xludf.DUMMYFUNCTION("""COMPUTED_VALUE"""),1644843.0)</f>
        <v>1644843</v>
      </c>
      <c r="F1054" s="2">
        <f>IFERROR(__xludf.DUMMYFUNCTION("""COMPUTED_VALUE"""),4685329.0)</f>
        <v>4685329</v>
      </c>
      <c r="G1054" s="2">
        <f>IFERROR(__xludf.DUMMYFUNCTION("""COMPUTED_VALUE"""),52.2654)</f>
        <v>52.2654</v>
      </c>
    </row>
    <row r="1055">
      <c r="A1055" s="1" t="s">
        <v>1054</v>
      </c>
      <c r="D1055" s="3">
        <f>IFERROR(__xludf.DUMMYFUNCTION("SPLIT(A1055, ""|"")"),43327.0)</f>
        <v>43327</v>
      </c>
      <c r="E1055" s="2">
        <f>IFERROR(__xludf.DUMMYFUNCTION("""COMPUTED_VALUE"""),1179483.0)</f>
        <v>1179483</v>
      </c>
      <c r="F1055" s="2">
        <f>IFERROR(__xludf.DUMMYFUNCTION("""COMPUTED_VALUE"""),4685987.0)</f>
        <v>4685987</v>
      </c>
      <c r="G1055" s="2">
        <f>IFERROR(__xludf.DUMMYFUNCTION("""COMPUTED_VALUE"""),87.4134)</f>
        <v>87.4134</v>
      </c>
    </row>
    <row r="1056">
      <c r="A1056" s="1" t="s">
        <v>1055</v>
      </c>
      <c r="D1056" s="3">
        <f>IFERROR(__xludf.DUMMYFUNCTION("SPLIT(A1056, ""|"")"),43327.0)</f>
        <v>43327</v>
      </c>
      <c r="E1056" s="2">
        <f>IFERROR(__xludf.DUMMYFUNCTION("""COMPUTED_VALUE"""),1645173.0)</f>
        <v>1645173</v>
      </c>
      <c r="F1056" s="2">
        <f>IFERROR(__xludf.DUMMYFUNCTION("""COMPUTED_VALUE"""),4686480.0)</f>
        <v>4686480</v>
      </c>
      <c r="G1056" s="2">
        <f>IFERROR(__xludf.DUMMYFUNCTION("""COMPUTED_VALUE"""),15.675)</f>
        <v>15.675</v>
      </c>
    </row>
    <row r="1057">
      <c r="A1057" s="1" t="s">
        <v>1056</v>
      </c>
      <c r="D1057" s="3">
        <f>IFERROR(__xludf.DUMMYFUNCTION("SPLIT(A1057, ""|"")"),43327.0)</f>
        <v>43327</v>
      </c>
      <c r="E1057" s="2">
        <f>IFERROR(__xludf.DUMMYFUNCTION("""COMPUTED_VALUE"""),1645023.0)</f>
        <v>1645023</v>
      </c>
      <c r="F1057" s="2">
        <f>IFERROR(__xludf.DUMMYFUNCTION("""COMPUTED_VALUE"""),4685952.0)</f>
        <v>4685952</v>
      </c>
      <c r="G1057" s="2">
        <f>IFERROR(__xludf.DUMMYFUNCTION("""COMPUTED_VALUE"""),9.2327)</f>
        <v>9.2327</v>
      </c>
    </row>
    <row r="1058">
      <c r="A1058" s="1" t="s">
        <v>1057</v>
      </c>
      <c r="D1058" s="3">
        <f>IFERROR(__xludf.DUMMYFUNCTION("SPLIT(A1058, ""|"")"),43072.0)</f>
        <v>43072</v>
      </c>
      <c r="E1058" s="2">
        <f>IFERROR(__xludf.DUMMYFUNCTION("""COMPUTED_VALUE"""),1452273.0)</f>
        <v>1452273</v>
      </c>
      <c r="F1058" s="2">
        <f>IFERROR(__xludf.DUMMYFUNCTION("""COMPUTED_VALUE"""),4003954.0)</f>
        <v>4003954</v>
      </c>
      <c r="G1058" s="2">
        <f>IFERROR(__xludf.DUMMYFUNCTION("""COMPUTED_VALUE"""),66.1849)</f>
        <v>66.1849</v>
      </c>
    </row>
    <row r="1059">
      <c r="A1059" s="1" t="s">
        <v>1058</v>
      </c>
      <c r="D1059" s="3">
        <f>IFERROR(__xludf.DUMMYFUNCTION("SPLIT(A1059, ""|"")"),43072.0)</f>
        <v>43072</v>
      </c>
      <c r="E1059" s="2">
        <f>IFERROR(__xludf.DUMMYFUNCTION("""COMPUTED_VALUE"""),1184643.0)</f>
        <v>1184643</v>
      </c>
      <c r="F1059" s="2">
        <f>IFERROR(__xludf.DUMMYFUNCTION("""COMPUTED_VALUE"""),4006067.0)</f>
        <v>4006067</v>
      </c>
      <c r="G1059" s="2">
        <f>IFERROR(__xludf.DUMMYFUNCTION("""COMPUTED_VALUE"""),140.1898)</f>
        <v>140.1898</v>
      </c>
    </row>
    <row r="1060">
      <c r="A1060" s="1" t="s">
        <v>1059</v>
      </c>
      <c r="D1060" s="3">
        <f>IFERROR(__xludf.DUMMYFUNCTION("SPLIT(A1060, ""|"")"),43072.0)</f>
        <v>43072</v>
      </c>
      <c r="E1060" s="2">
        <f>IFERROR(__xludf.DUMMYFUNCTION("""COMPUTED_VALUE"""),1469883.0)</f>
        <v>1469883</v>
      </c>
      <c r="F1060" s="2">
        <f>IFERROR(__xludf.DUMMYFUNCTION("""COMPUTED_VALUE"""),4005323.0)</f>
        <v>4005323</v>
      </c>
      <c r="G1060" s="2">
        <f>IFERROR(__xludf.DUMMYFUNCTION("""COMPUTED_VALUE"""),38.1792)</f>
        <v>38.1792</v>
      </c>
    </row>
    <row r="1061">
      <c r="A1061" s="1" t="s">
        <v>1060</v>
      </c>
      <c r="D1061" s="3">
        <f>IFERROR(__xludf.DUMMYFUNCTION("SPLIT(A1061, ""|"")"),43072.0)</f>
        <v>43072</v>
      </c>
      <c r="E1061" s="2">
        <f>IFERROR(__xludf.DUMMYFUNCTION("""COMPUTED_VALUE"""),1470033.0)</f>
        <v>1470033</v>
      </c>
      <c r="F1061" s="2">
        <f>IFERROR(__xludf.DUMMYFUNCTION("""COMPUTED_VALUE"""),4005802.0)</f>
        <v>4005802</v>
      </c>
      <c r="G1061" s="2">
        <f>IFERROR(__xludf.DUMMYFUNCTION("""COMPUTED_VALUE"""),48.75)</f>
        <v>48.75</v>
      </c>
    </row>
    <row r="1062">
      <c r="A1062" s="1" t="s">
        <v>1061</v>
      </c>
      <c r="D1062" s="3">
        <f>IFERROR(__xludf.DUMMYFUNCTION("SPLIT(A1062, ""|"")"),43072.0)</f>
        <v>43072</v>
      </c>
      <c r="E1062" s="2">
        <f>IFERROR(__xludf.DUMMYFUNCTION("""COMPUTED_VALUE"""),246153.0)</f>
        <v>246153</v>
      </c>
      <c r="F1062" s="2">
        <f>IFERROR(__xludf.DUMMYFUNCTION("""COMPUTED_VALUE"""),4004867.0)</f>
        <v>4004867</v>
      </c>
      <c r="G1062" s="2">
        <f>IFERROR(__xludf.DUMMYFUNCTION("""COMPUTED_VALUE"""),62.1538)</f>
        <v>62.1538</v>
      </c>
    </row>
    <row r="1063">
      <c r="A1063" s="1" t="s">
        <v>1062</v>
      </c>
      <c r="D1063" s="3">
        <f>IFERROR(__xludf.DUMMYFUNCTION("SPLIT(A1063, ""|"")"),43072.0)</f>
        <v>43072</v>
      </c>
      <c r="E1063" s="2">
        <f>IFERROR(__xludf.DUMMYFUNCTION("""COMPUTED_VALUE"""),1469763.0)</f>
        <v>1469763</v>
      </c>
      <c r="F1063" s="2">
        <f>IFERROR(__xludf.DUMMYFUNCTION("""COMPUTED_VALUE"""),4004997.0)</f>
        <v>4004997</v>
      </c>
      <c r="G1063" s="2">
        <f>IFERROR(__xludf.DUMMYFUNCTION("""COMPUTED_VALUE"""),36.675)</f>
        <v>36.675</v>
      </c>
    </row>
    <row r="1064">
      <c r="A1064" s="1" t="s">
        <v>1063</v>
      </c>
      <c r="D1064" s="3">
        <f>IFERROR(__xludf.DUMMYFUNCTION("SPLIT(A1064, ""|"")"),43072.0)</f>
        <v>43072</v>
      </c>
      <c r="E1064" s="2">
        <f>IFERROR(__xludf.DUMMYFUNCTION("""COMPUTED_VALUE"""),948573.0)</f>
        <v>948573</v>
      </c>
      <c r="F1064" s="2">
        <f>IFERROR(__xludf.DUMMYFUNCTION("""COMPUTED_VALUE"""),4006028.0)</f>
        <v>4006028</v>
      </c>
      <c r="G1064" s="2">
        <f>IFERROR(__xludf.DUMMYFUNCTION("""COMPUTED_VALUE"""),78.3416)</f>
        <v>78.3416</v>
      </c>
    </row>
    <row r="1065">
      <c r="A1065" s="1" t="s">
        <v>1064</v>
      </c>
      <c r="D1065" s="3">
        <f>IFERROR(__xludf.DUMMYFUNCTION("SPLIT(A1065, ""|"")"),43072.0)</f>
        <v>43072</v>
      </c>
      <c r="E1065" s="2">
        <f>IFERROR(__xludf.DUMMYFUNCTION("""COMPUTED_VALUE"""),1469943.0)</f>
        <v>1469943</v>
      </c>
      <c r="F1065" s="2">
        <f>IFERROR(__xludf.DUMMYFUNCTION("""COMPUTED_VALUE"""),4005516.0)</f>
        <v>4005516</v>
      </c>
      <c r="G1065" s="2">
        <f>IFERROR(__xludf.DUMMYFUNCTION("""COMPUTED_VALUE"""),46.1779)</f>
        <v>46.1779</v>
      </c>
    </row>
    <row r="1066">
      <c r="A1066" s="1" t="s">
        <v>1065</v>
      </c>
      <c r="D1066" s="3">
        <f>IFERROR(__xludf.DUMMYFUNCTION("SPLIT(A1066, ""|"")"),43328.0)</f>
        <v>43328</v>
      </c>
      <c r="E1066" s="2">
        <f>IFERROR(__xludf.DUMMYFUNCTION("""COMPUTED_VALUE"""),1413543.0)</f>
        <v>1413543</v>
      </c>
      <c r="F1066" s="2">
        <f>IFERROR(__xludf.DUMMYFUNCTION("""COMPUTED_VALUE"""),4686937.0)</f>
        <v>4686937</v>
      </c>
      <c r="G1066" s="2">
        <f>IFERROR(__xludf.DUMMYFUNCTION("""COMPUTED_VALUE"""),58.527)</f>
        <v>58.527</v>
      </c>
    </row>
    <row r="1067">
      <c r="A1067" s="1" t="s">
        <v>1066</v>
      </c>
      <c r="D1067" s="3">
        <f>IFERROR(__xludf.DUMMYFUNCTION("SPLIT(A1067, ""|"")"),43328.0)</f>
        <v>43328</v>
      </c>
      <c r="E1067" s="2">
        <f>IFERROR(__xludf.DUMMYFUNCTION("""COMPUTED_VALUE"""),1612353.0)</f>
        <v>1612353</v>
      </c>
      <c r="F1067" s="2">
        <f>IFERROR(__xludf.DUMMYFUNCTION("""COMPUTED_VALUE"""),4688002.0)</f>
        <v>4688002</v>
      </c>
      <c r="G1067" s="2">
        <f>IFERROR(__xludf.DUMMYFUNCTION("""COMPUTED_VALUE"""),62.777)</f>
        <v>62.777</v>
      </c>
    </row>
    <row r="1068">
      <c r="A1068" s="1" t="s">
        <v>1067</v>
      </c>
      <c r="D1068" s="3">
        <f>IFERROR(__xludf.DUMMYFUNCTION("SPLIT(A1068, ""|"")"),43328.0)</f>
        <v>43328</v>
      </c>
      <c r="E1068" s="2">
        <f>IFERROR(__xludf.DUMMYFUNCTION("""COMPUTED_VALUE"""),474633.0)</f>
        <v>474633</v>
      </c>
      <c r="F1068" s="2">
        <f>IFERROR(__xludf.DUMMYFUNCTION("""COMPUTED_VALUE"""),4686611.0)</f>
        <v>4686611</v>
      </c>
      <c r="G1068" s="2">
        <f>IFERROR(__xludf.DUMMYFUNCTION("""COMPUTED_VALUE"""),196.3156)</f>
        <v>196.3156</v>
      </c>
    </row>
    <row r="1069">
      <c r="A1069" s="1" t="s">
        <v>1068</v>
      </c>
      <c r="D1069" s="3">
        <f>IFERROR(__xludf.DUMMYFUNCTION("SPLIT(A1069, ""|"")"),43328.0)</f>
        <v>43328</v>
      </c>
      <c r="E1069" s="2">
        <f>IFERROR(__xludf.DUMMYFUNCTION("""COMPUTED_VALUE"""),1645323.0)</f>
        <v>1645323</v>
      </c>
      <c r="F1069" s="2">
        <f>IFERROR(__xludf.DUMMYFUNCTION("""COMPUTED_VALUE"""),4686964.0)</f>
        <v>4686964</v>
      </c>
      <c r="G1069" s="2">
        <f>IFERROR(__xludf.DUMMYFUNCTION("""COMPUTED_VALUE"""),8.1989)</f>
        <v>8.1989</v>
      </c>
    </row>
    <row r="1070">
      <c r="A1070" s="1" t="s">
        <v>1069</v>
      </c>
      <c r="D1070" s="3">
        <f>IFERROR(__xludf.DUMMYFUNCTION("SPLIT(A1070, ""|"")"),43328.0)</f>
        <v>43328</v>
      </c>
      <c r="E1070" s="2">
        <f>IFERROR(__xludf.DUMMYFUNCTION("""COMPUTED_VALUE"""),1505073.0)</f>
        <v>1505073</v>
      </c>
      <c r="F1070" s="2">
        <f>IFERROR(__xludf.DUMMYFUNCTION("""COMPUTED_VALUE"""),4687238.0)</f>
        <v>4687238</v>
      </c>
      <c r="G1070" s="2">
        <f>IFERROR(__xludf.DUMMYFUNCTION("""COMPUTED_VALUE"""),52.2018)</f>
        <v>52.2018</v>
      </c>
    </row>
    <row r="1071">
      <c r="A1071" s="1" t="s">
        <v>1070</v>
      </c>
      <c r="D1071" s="3">
        <f>IFERROR(__xludf.DUMMYFUNCTION("SPLIT(A1071, ""|"")"),43328.0)</f>
        <v>43328</v>
      </c>
      <c r="E1071" s="2">
        <f>IFERROR(__xludf.DUMMYFUNCTION("""COMPUTED_VALUE"""),1173993.0)</f>
        <v>1173993</v>
      </c>
      <c r="F1071" s="2">
        <f>IFERROR(__xludf.DUMMYFUNCTION("""COMPUTED_VALUE"""),4686606.0)</f>
        <v>4686606</v>
      </c>
      <c r="G1071" s="2">
        <f>IFERROR(__xludf.DUMMYFUNCTION("""COMPUTED_VALUE"""),112.0381)</f>
        <v>112.0381</v>
      </c>
    </row>
    <row r="1072">
      <c r="A1072" s="1" t="s">
        <v>1071</v>
      </c>
      <c r="D1072" s="3">
        <f>IFERROR(__xludf.DUMMYFUNCTION("SPLIT(A1072, ""|"")"),43328.0)</f>
        <v>43328</v>
      </c>
      <c r="E1072" s="2">
        <f>IFERROR(__xludf.DUMMYFUNCTION("""COMPUTED_VALUE"""),1626093.0)</f>
        <v>1626093</v>
      </c>
      <c r="F1072" s="2">
        <f>IFERROR(__xludf.DUMMYFUNCTION("""COMPUTED_VALUE"""),4687653.0)</f>
        <v>4687653</v>
      </c>
      <c r="G1072" s="2">
        <f>IFERROR(__xludf.DUMMYFUNCTION("""COMPUTED_VALUE"""),12.4167)</f>
        <v>12.4167</v>
      </c>
    </row>
    <row r="1073">
      <c r="A1073" s="1" t="s">
        <v>1072</v>
      </c>
      <c r="D1073" s="3">
        <f>IFERROR(__xludf.DUMMYFUNCTION("SPLIT(A1073, ""|"")"),43328.0)</f>
        <v>43328</v>
      </c>
      <c r="E1073" s="2">
        <f>IFERROR(__xludf.DUMMYFUNCTION("""COMPUTED_VALUE"""),1645383.0)</f>
        <v>1645383</v>
      </c>
      <c r="F1073" s="2">
        <f>IFERROR(__xludf.DUMMYFUNCTION("""COMPUTED_VALUE"""),4687160.0)</f>
        <v>4687160</v>
      </c>
      <c r="G1073" s="2">
        <f>IFERROR(__xludf.DUMMYFUNCTION("""COMPUTED_VALUE"""),21.3671)</f>
        <v>21.3671</v>
      </c>
    </row>
    <row r="1074">
      <c r="A1074" s="1" t="s">
        <v>1073</v>
      </c>
      <c r="D1074" s="3">
        <f>IFERROR(__xludf.DUMMYFUNCTION("SPLIT(A1074, ""|"")"),43328.0)</f>
        <v>43328</v>
      </c>
      <c r="E1074" s="2">
        <f>IFERROR(__xludf.DUMMYFUNCTION("""COMPUTED_VALUE"""),1626093.0)</f>
        <v>1626093</v>
      </c>
      <c r="F1074" s="2">
        <f>IFERROR(__xludf.DUMMYFUNCTION("""COMPUTED_VALUE"""),4687705.0)</f>
        <v>4687705</v>
      </c>
      <c r="G1074" s="2">
        <f>IFERROR(__xludf.DUMMYFUNCTION("""COMPUTED_VALUE"""),84.6699999999999)</f>
        <v>84.67</v>
      </c>
    </row>
    <row r="1075">
      <c r="A1075" s="1" t="s">
        <v>1074</v>
      </c>
      <c r="D1075" s="3">
        <f>IFERROR(__xludf.DUMMYFUNCTION("SPLIT(A1075, ""|"")"),43073.0)</f>
        <v>43073</v>
      </c>
      <c r="E1075" s="2">
        <f>IFERROR(__xludf.DUMMYFUNCTION("""COMPUTED_VALUE"""),1470573.0)</f>
        <v>1470573</v>
      </c>
      <c r="F1075" s="2">
        <f>IFERROR(__xludf.DUMMYFUNCTION("""COMPUTED_VALUE"""),4008038.0)</f>
        <v>4008038</v>
      </c>
      <c r="G1075" s="2">
        <f>IFERROR(__xludf.DUMMYFUNCTION("""COMPUTED_VALUE"""),93.3967)</f>
        <v>93.3967</v>
      </c>
    </row>
    <row r="1076">
      <c r="A1076" s="1" t="s">
        <v>1075</v>
      </c>
      <c r="D1076" s="3">
        <f>IFERROR(__xludf.DUMMYFUNCTION("SPLIT(A1076, ""|"")"),43073.0)</f>
        <v>43073</v>
      </c>
      <c r="E1076" s="2">
        <f>IFERROR(__xludf.DUMMYFUNCTION("""COMPUTED_VALUE"""),1372173.0)</f>
        <v>1372173</v>
      </c>
      <c r="F1076" s="2">
        <f>IFERROR(__xludf.DUMMYFUNCTION("""COMPUTED_VALUE"""),4007285.0)</f>
        <v>4007285</v>
      </c>
      <c r="G1076" s="2">
        <f>IFERROR(__xludf.DUMMYFUNCTION("""COMPUTED_VALUE"""),155.6825)</f>
        <v>155.6825</v>
      </c>
    </row>
    <row r="1077">
      <c r="A1077" s="1" t="s">
        <v>1076</v>
      </c>
      <c r="D1077" s="3">
        <f>IFERROR(__xludf.DUMMYFUNCTION("SPLIT(A1077, ""|"")"),43073.0)</f>
        <v>43073</v>
      </c>
      <c r="E1077" s="2">
        <f>IFERROR(__xludf.DUMMYFUNCTION("""COMPUTED_VALUE"""),1442403.0)</f>
        <v>1442403</v>
      </c>
      <c r="F1077" s="2">
        <f>IFERROR(__xludf.DUMMYFUNCTION("""COMPUTED_VALUE"""),4009684.0)</f>
        <v>4009684</v>
      </c>
      <c r="G1077" s="2">
        <f>IFERROR(__xludf.DUMMYFUNCTION("""COMPUTED_VALUE"""),77.2259999999999)</f>
        <v>77.226</v>
      </c>
    </row>
    <row r="1078">
      <c r="A1078" s="1" t="s">
        <v>1077</v>
      </c>
      <c r="D1078" s="3">
        <f>IFERROR(__xludf.DUMMYFUNCTION("SPLIT(A1078, ""|"")"),43073.0)</f>
        <v>43073</v>
      </c>
      <c r="E1078" s="2">
        <f>IFERROR(__xludf.DUMMYFUNCTION("""COMPUTED_VALUE"""),491733.0)</f>
        <v>491733</v>
      </c>
      <c r="F1078" s="2">
        <f>IFERROR(__xludf.DUMMYFUNCTION("""COMPUTED_VALUE"""),4007006.0)</f>
        <v>4007006</v>
      </c>
      <c r="G1078" s="2">
        <f>IFERROR(__xludf.DUMMYFUNCTION("""COMPUTED_VALUE"""),77.152)</f>
        <v>77.152</v>
      </c>
    </row>
    <row r="1079">
      <c r="A1079" s="1" t="s">
        <v>1078</v>
      </c>
      <c r="D1079" s="3">
        <f>IFERROR(__xludf.DUMMYFUNCTION("SPLIT(A1079, ""|"")"),43073.0)</f>
        <v>43073</v>
      </c>
      <c r="E1079" s="2">
        <f>IFERROR(__xludf.DUMMYFUNCTION("""COMPUTED_VALUE"""),996933.0)</f>
        <v>996933</v>
      </c>
      <c r="F1079" s="2">
        <f>IFERROR(__xludf.DUMMYFUNCTION("""COMPUTED_VALUE"""),4010106.0)</f>
        <v>4010106</v>
      </c>
      <c r="G1079" s="2">
        <f>IFERROR(__xludf.DUMMYFUNCTION("""COMPUTED_VALUE"""),100.401099999999)</f>
        <v>100.4011</v>
      </c>
    </row>
    <row r="1080">
      <c r="A1080" s="1" t="s">
        <v>1079</v>
      </c>
      <c r="D1080" s="3">
        <f>IFERROR(__xludf.DUMMYFUNCTION("SPLIT(A1080, ""|"")"),43073.0)</f>
        <v>43073</v>
      </c>
      <c r="E1080" s="2">
        <f>IFERROR(__xludf.DUMMYFUNCTION("""COMPUTED_VALUE"""),1107963.0)</f>
        <v>1107963</v>
      </c>
      <c r="F1080" s="2">
        <f>IFERROR(__xludf.DUMMYFUNCTION("""COMPUTED_VALUE"""),4007959.0)</f>
        <v>4007959</v>
      </c>
      <c r="G1080" s="2">
        <f>IFERROR(__xludf.DUMMYFUNCTION("""COMPUTED_VALUE"""),59.9925)</f>
        <v>59.9925</v>
      </c>
    </row>
    <row r="1081">
      <c r="A1081" s="1" t="s">
        <v>1080</v>
      </c>
      <c r="D1081" s="3">
        <f>IFERROR(__xludf.DUMMYFUNCTION("SPLIT(A1081, ""|"")"),43073.0)</f>
        <v>43073</v>
      </c>
      <c r="E1081" s="2">
        <f>IFERROR(__xludf.DUMMYFUNCTION("""COMPUTED_VALUE"""),1469433.0)</f>
        <v>1469433</v>
      </c>
      <c r="F1081" s="2">
        <f>IFERROR(__xludf.DUMMYFUNCTION("""COMPUTED_VALUE"""),4010500.0)</f>
        <v>4010500</v>
      </c>
      <c r="G1081" s="2">
        <f>IFERROR(__xludf.DUMMYFUNCTION("""COMPUTED_VALUE"""),39.9179)</f>
        <v>39.9179</v>
      </c>
    </row>
    <row r="1082">
      <c r="A1082" s="1" t="s">
        <v>1081</v>
      </c>
      <c r="D1082" s="3">
        <f>IFERROR(__xludf.DUMMYFUNCTION("SPLIT(A1082, ""|"")"),43073.0)</f>
        <v>43073</v>
      </c>
      <c r="E1082" s="2">
        <f>IFERROR(__xludf.DUMMYFUNCTION("""COMPUTED_VALUE"""),1471263.0)</f>
        <v>1471263</v>
      </c>
      <c r="F1082" s="2">
        <f>IFERROR(__xludf.DUMMYFUNCTION("""COMPUTED_VALUE"""),4010295.0)</f>
        <v>4010295</v>
      </c>
      <c r="G1082" s="2">
        <f>IFERROR(__xludf.DUMMYFUNCTION("""COMPUTED_VALUE"""),41.2624)</f>
        <v>41.2624</v>
      </c>
    </row>
    <row r="1083">
      <c r="A1083" s="1" t="s">
        <v>1082</v>
      </c>
      <c r="D1083" s="3">
        <f>IFERROR(__xludf.DUMMYFUNCTION("SPLIT(A1083, ""|"")"),43073.0)</f>
        <v>43073</v>
      </c>
      <c r="E1083" s="2">
        <f>IFERROR(__xludf.DUMMYFUNCTION("""COMPUTED_VALUE"""),331473.0)</f>
        <v>331473</v>
      </c>
      <c r="F1083" s="2">
        <f>IFERROR(__xludf.DUMMYFUNCTION("""COMPUTED_VALUE"""),4007571.0)</f>
        <v>4007571</v>
      </c>
      <c r="G1083" s="2">
        <f>IFERROR(__xludf.DUMMYFUNCTION("""COMPUTED_VALUE"""),32.3)</f>
        <v>32.3</v>
      </c>
    </row>
    <row r="1084">
      <c r="A1084" s="1" t="s">
        <v>1083</v>
      </c>
      <c r="D1084" s="3">
        <f>IFERROR(__xludf.DUMMYFUNCTION("SPLIT(A1084, ""|"")"),43073.0)</f>
        <v>43073</v>
      </c>
      <c r="E1084" s="2">
        <f>IFERROR(__xludf.DUMMYFUNCTION("""COMPUTED_VALUE"""),1409553.0)</f>
        <v>1409553</v>
      </c>
      <c r="F1084" s="2">
        <f>IFERROR(__xludf.DUMMYFUNCTION("""COMPUTED_VALUE"""),4009146.0)</f>
        <v>4009146</v>
      </c>
      <c r="G1084" s="2">
        <f>IFERROR(__xludf.DUMMYFUNCTION("""COMPUTED_VALUE"""),79.1791)</f>
        <v>79.1791</v>
      </c>
    </row>
    <row r="1085">
      <c r="A1085" s="1" t="s">
        <v>1084</v>
      </c>
      <c r="D1085" s="3">
        <f>IFERROR(__xludf.DUMMYFUNCTION("SPLIT(A1085, ""|"")"),43073.0)</f>
        <v>43073</v>
      </c>
      <c r="E1085" s="2">
        <f>IFERROR(__xludf.DUMMYFUNCTION("""COMPUTED_VALUE"""),1470933.0)</f>
        <v>1470933</v>
      </c>
      <c r="F1085" s="2">
        <f>IFERROR(__xludf.DUMMYFUNCTION("""COMPUTED_VALUE"""),4009272.0)</f>
        <v>4009272</v>
      </c>
      <c r="G1085" s="2">
        <f>IFERROR(__xludf.DUMMYFUNCTION("""COMPUTED_VALUE"""),6.654)</f>
        <v>6.654</v>
      </c>
    </row>
    <row r="1086">
      <c r="A1086" s="1" t="s">
        <v>1085</v>
      </c>
      <c r="D1086" s="3">
        <f>IFERROR(__xludf.DUMMYFUNCTION("SPLIT(A1086, ""|"")"),43073.0)</f>
        <v>43073</v>
      </c>
      <c r="E1086" s="2">
        <f>IFERROR(__xludf.DUMMYFUNCTION("""COMPUTED_VALUE"""),1470453.0)</f>
        <v>1470453</v>
      </c>
      <c r="F1086" s="2">
        <f>IFERROR(__xludf.DUMMYFUNCTION("""COMPUTED_VALUE"""),4007612.0)</f>
        <v>4007612</v>
      </c>
      <c r="G1086" s="2">
        <f>IFERROR(__xludf.DUMMYFUNCTION("""COMPUTED_VALUE"""),17.9583)</f>
        <v>17.9583</v>
      </c>
    </row>
    <row r="1087">
      <c r="A1087" s="1" t="s">
        <v>1086</v>
      </c>
      <c r="D1087" s="3">
        <f>IFERROR(__xludf.DUMMYFUNCTION("SPLIT(A1087, ""|"")"),43073.0)</f>
        <v>43073</v>
      </c>
      <c r="E1087" s="2">
        <f>IFERROR(__xludf.DUMMYFUNCTION("""COMPUTED_VALUE"""),1469103.0)</f>
        <v>1469103</v>
      </c>
      <c r="F1087" s="2">
        <f>IFERROR(__xludf.DUMMYFUNCTION("""COMPUTED_VALUE"""),4006946.0)</f>
        <v>4006946</v>
      </c>
      <c r="G1087" s="2">
        <f>IFERROR(__xludf.DUMMYFUNCTION("""COMPUTED_VALUE"""),37.9167)</f>
        <v>37.9167</v>
      </c>
    </row>
    <row r="1088">
      <c r="A1088" s="1" t="s">
        <v>1087</v>
      </c>
      <c r="D1088" s="3">
        <f>IFERROR(__xludf.DUMMYFUNCTION("SPLIT(A1088, ""|"")"),43073.0)</f>
        <v>43073</v>
      </c>
      <c r="E1088" s="2">
        <f>IFERROR(__xludf.DUMMYFUNCTION("""COMPUTED_VALUE"""),1470813.0)</f>
        <v>1470813</v>
      </c>
      <c r="F1088" s="2">
        <f>IFERROR(__xludf.DUMMYFUNCTION("""COMPUTED_VALUE"""),4008851.0)</f>
        <v>4008851</v>
      </c>
      <c r="G1088" s="2">
        <f>IFERROR(__xludf.DUMMYFUNCTION("""COMPUTED_VALUE"""),35.9751)</f>
        <v>35.9751</v>
      </c>
    </row>
    <row r="1089">
      <c r="A1089" s="1" t="s">
        <v>1088</v>
      </c>
      <c r="D1089" s="3">
        <f>IFERROR(__xludf.DUMMYFUNCTION("SPLIT(A1089, ""|"")"),43329.0)</f>
        <v>43329</v>
      </c>
      <c r="E1089" s="2">
        <f>IFERROR(__xludf.DUMMYFUNCTION("""COMPUTED_VALUE"""),33993.0)</f>
        <v>33993</v>
      </c>
      <c r="F1089" s="2">
        <f>IFERROR(__xludf.DUMMYFUNCTION("""COMPUTED_VALUE"""),4690255.0)</f>
        <v>4690255</v>
      </c>
      <c r="G1089" s="2">
        <f>IFERROR(__xludf.DUMMYFUNCTION("""COMPUTED_VALUE"""),85.1846)</f>
        <v>85.1846</v>
      </c>
    </row>
    <row r="1090">
      <c r="A1090" s="1" t="s">
        <v>1089</v>
      </c>
      <c r="D1090" s="3">
        <f>IFERROR(__xludf.DUMMYFUNCTION("SPLIT(A1090, ""|"")"),43329.0)</f>
        <v>43329</v>
      </c>
      <c r="E1090" s="2">
        <f>IFERROR(__xludf.DUMMYFUNCTION("""COMPUTED_VALUE"""),1645653.0)</f>
        <v>1645653</v>
      </c>
      <c r="F1090" s="2">
        <f>IFERROR(__xludf.DUMMYFUNCTION("""COMPUTED_VALUE"""),4689754.0)</f>
        <v>4689754</v>
      </c>
      <c r="G1090" s="2">
        <f>IFERROR(__xludf.DUMMYFUNCTION("""COMPUTED_VALUE"""),18.9479)</f>
        <v>18.9479</v>
      </c>
    </row>
    <row r="1091">
      <c r="A1091" s="1" t="s">
        <v>1090</v>
      </c>
      <c r="D1091" s="3">
        <f>IFERROR(__xludf.DUMMYFUNCTION("SPLIT(A1091, ""|"")"),43329.0)</f>
        <v>43329</v>
      </c>
      <c r="E1091" s="2">
        <f>IFERROR(__xludf.DUMMYFUNCTION("""COMPUTED_VALUE"""),1547883.0)</f>
        <v>1547883</v>
      </c>
      <c r="F1091" s="2">
        <f>IFERROR(__xludf.DUMMYFUNCTION("""COMPUTED_VALUE"""),4689610.0)</f>
        <v>4689610</v>
      </c>
      <c r="G1091" s="2">
        <f>IFERROR(__xludf.DUMMYFUNCTION("""COMPUTED_VALUE"""),73.32)</f>
        <v>73.32</v>
      </c>
    </row>
    <row r="1092">
      <c r="A1092" s="1" t="s">
        <v>1091</v>
      </c>
      <c r="D1092" s="3">
        <f>IFERROR(__xludf.DUMMYFUNCTION("SPLIT(A1092, ""|"")"),43329.0)</f>
        <v>43329</v>
      </c>
      <c r="E1092" s="2">
        <f>IFERROR(__xludf.DUMMYFUNCTION("""COMPUTED_VALUE"""),1645953.0)</f>
        <v>1645953</v>
      </c>
      <c r="F1092" s="2">
        <f>IFERROR(__xludf.DUMMYFUNCTION("""COMPUTED_VALUE"""),4689101.0)</f>
        <v>4689101</v>
      </c>
      <c r="G1092" s="2">
        <f>IFERROR(__xludf.DUMMYFUNCTION("""COMPUTED_VALUE"""),85.8358999999999)</f>
        <v>85.8359</v>
      </c>
    </row>
    <row r="1093">
      <c r="A1093" s="1" t="s">
        <v>1092</v>
      </c>
      <c r="D1093" s="3">
        <f>IFERROR(__xludf.DUMMYFUNCTION("SPLIT(A1093, ""|"")"),43329.0)</f>
        <v>43329</v>
      </c>
      <c r="E1093" s="2">
        <f>IFERROR(__xludf.DUMMYFUNCTION("""COMPUTED_VALUE"""),1390533.0)</f>
        <v>1390533</v>
      </c>
      <c r="F1093" s="2">
        <f>IFERROR(__xludf.DUMMYFUNCTION("""COMPUTED_VALUE"""),4690235.0)</f>
        <v>4690235</v>
      </c>
      <c r="G1093" s="2">
        <f>IFERROR(__xludf.DUMMYFUNCTION("""COMPUTED_VALUE"""),44.381)</f>
        <v>44.381</v>
      </c>
    </row>
    <row r="1094">
      <c r="A1094" s="1" t="s">
        <v>1093</v>
      </c>
      <c r="D1094" s="3">
        <f>IFERROR(__xludf.DUMMYFUNCTION("SPLIT(A1094, ""|"")"),43329.0)</f>
        <v>43329</v>
      </c>
      <c r="E1094" s="2">
        <f>IFERROR(__xludf.DUMMYFUNCTION("""COMPUTED_VALUE"""),474633.0)</f>
        <v>474633</v>
      </c>
      <c r="F1094" s="2">
        <f>IFERROR(__xludf.DUMMYFUNCTION("""COMPUTED_VALUE"""),4690570.0)</f>
        <v>4690570</v>
      </c>
      <c r="G1094" s="2">
        <f>IFERROR(__xludf.DUMMYFUNCTION("""COMPUTED_VALUE"""),115.09)</f>
        <v>115.09</v>
      </c>
    </row>
    <row r="1095">
      <c r="A1095" s="1" t="s">
        <v>1094</v>
      </c>
      <c r="D1095" s="3">
        <f>IFERROR(__xludf.DUMMYFUNCTION("SPLIT(A1095, ""|"")"),43074.0)</f>
        <v>43074</v>
      </c>
      <c r="E1095" s="2">
        <f>IFERROR(__xludf.DUMMYFUNCTION("""COMPUTED_VALUE"""),366003.0)</f>
        <v>366003</v>
      </c>
      <c r="F1095" s="2">
        <f>IFERROR(__xludf.DUMMYFUNCTION("""COMPUTED_VALUE"""),4011808.0)</f>
        <v>4011808</v>
      </c>
      <c r="G1095" s="2">
        <f>IFERROR(__xludf.DUMMYFUNCTION("""COMPUTED_VALUE"""),115.4126)</f>
        <v>115.4126</v>
      </c>
    </row>
    <row r="1096">
      <c r="A1096" s="1" t="s">
        <v>1095</v>
      </c>
      <c r="D1096" s="3">
        <f>IFERROR(__xludf.DUMMYFUNCTION("SPLIT(A1096, ""|"")"),43074.0)</f>
        <v>43074</v>
      </c>
      <c r="E1096" s="2">
        <f>IFERROR(__xludf.DUMMYFUNCTION("""COMPUTED_VALUE"""),1380573.0)</f>
        <v>1380573</v>
      </c>
      <c r="F1096" s="2">
        <f>IFERROR(__xludf.DUMMYFUNCTION("""COMPUTED_VALUE"""),4013326.0)</f>
        <v>4013326</v>
      </c>
      <c r="G1096" s="2">
        <f>IFERROR(__xludf.DUMMYFUNCTION("""COMPUTED_VALUE"""),42.4292)</f>
        <v>42.4292</v>
      </c>
    </row>
    <row r="1097">
      <c r="A1097" s="1" t="s">
        <v>1096</v>
      </c>
      <c r="D1097" s="3">
        <f>IFERROR(__xludf.DUMMYFUNCTION("SPLIT(A1097, ""|"")"),43074.0)</f>
        <v>43074</v>
      </c>
      <c r="E1097" s="2">
        <f>IFERROR(__xludf.DUMMYFUNCTION("""COMPUTED_VALUE"""),1471713.0)</f>
        <v>1471713</v>
      </c>
      <c r="F1097" s="2">
        <f>IFERROR(__xludf.DUMMYFUNCTION("""COMPUTED_VALUE"""),4011952.0)</f>
        <v>4011952</v>
      </c>
      <c r="G1097" s="2">
        <f>IFERROR(__xludf.DUMMYFUNCTION("""COMPUTED_VALUE"""),20.175)</f>
        <v>20.175</v>
      </c>
    </row>
    <row r="1098">
      <c r="A1098" s="1" t="s">
        <v>1097</v>
      </c>
      <c r="D1098" s="3">
        <f>IFERROR(__xludf.DUMMYFUNCTION("SPLIT(A1098, ""|"")"),43074.0)</f>
        <v>43074</v>
      </c>
      <c r="E1098" s="2">
        <f>IFERROR(__xludf.DUMMYFUNCTION("""COMPUTED_VALUE"""),1384563.0)</f>
        <v>1384563</v>
      </c>
      <c r="F1098" s="2">
        <f>IFERROR(__xludf.DUMMYFUNCTION("""COMPUTED_VALUE"""),4011836.0)</f>
        <v>4011836</v>
      </c>
      <c r="G1098" s="2">
        <f>IFERROR(__xludf.DUMMYFUNCTION("""COMPUTED_VALUE"""),68.0625)</f>
        <v>68.0625</v>
      </c>
    </row>
    <row r="1099">
      <c r="A1099" s="1" t="s">
        <v>1098</v>
      </c>
      <c r="D1099" s="3">
        <f>IFERROR(__xludf.DUMMYFUNCTION("SPLIT(A1099, ""|"")"),43074.0)</f>
        <v>43074</v>
      </c>
      <c r="E1099" s="2">
        <f>IFERROR(__xludf.DUMMYFUNCTION("""COMPUTED_VALUE"""),1471743.0)</f>
        <v>1471743</v>
      </c>
      <c r="F1099" s="2">
        <f>IFERROR(__xludf.DUMMYFUNCTION("""COMPUTED_VALUE"""),4012023.0)</f>
        <v>4012023</v>
      </c>
      <c r="G1099" s="2">
        <f>IFERROR(__xludf.DUMMYFUNCTION("""COMPUTED_VALUE"""),60.6479999999999)</f>
        <v>60.648</v>
      </c>
    </row>
    <row r="1100">
      <c r="A1100" s="1" t="s">
        <v>1099</v>
      </c>
      <c r="D1100" s="3">
        <f>IFERROR(__xludf.DUMMYFUNCTION("SPLIT(A1100, ""|"")"),43330.0)</f>
        <v>43330</v>
      </c>
      <c r="E1100" s="2">
        <f>IFERROR(__xludf.DUMMYFUNCTION("""COMPUTED_VALUE"""),1423773.0)</f>
        <v>1423773</v>
      </c>
      <c r="F1100" s="2">
        <f>IFERROR(__xludf.DUMMYFUNCTION("""COMPUTED_VALUE"""),4691349.0)</f>
        <v>4691349</v>
      </c>
      <c r="G1100" s="2">
        <f>IFERROR(__xludf.DUMMYFUNCTION("""COMPUTED_VALUE"""),150.446299999999)</f>
        <v>150.4463</v>
      </c>
    </row>
    <row r="1101">
      <c r="A1101" s="1" t="s">
        <v>1100</v>
      </c>
      <c r="D1101" s="3">
        <f>IFERROR(__xludf.DUMMYFUNCTION("SPLIT(A1101, ""|"")"),43330.0)</f>
        <v>43330</v>
      </c>
      <c r="E1101" s="2">
        <f>IFERROR(__xludf.DUMMYFUNCTION("""COMPUTED_VALUE"""),415473.0)</f>
        <v>415473</v>
      </c>
      <c r="F1101" s="2">
        <f>IFERROR(__xludf.DUMMYFUNCTION("""COMPUTED_VALUE"""),4691795.0)</f>
        <v>4691795</v>
      </c>
      <c r="G1101" s="2">
        <f>IFERROR(__xludf.DUMMYFUNCTION("""COMPUTED_VALUE"""),107.8204)</f>
        <v>107.8204</v>
      </c>
    </row>
    <row r="1102">
      <c r="A1102" s="1" t="s">
        <v>1101</v>
      </c>
      <c r="D1102" s="3">
        <f>IFERROR(__xludf.DUMMYFUNCTION("SPLIT(A1102, ""|"")"),43330.0)</f>
        <v>43330</v>
      </c>
      <c r="E1102" s="2">
        <f>IFERROR(__xludf.DUMMYFUNCTION("""COMPUTED_VALUE"""),1162143.0)</f>
        <v>1162143</v>
      </c>
      <c r="F1102" s="2">
        <f>IFERROR(__xludf.DUMMYFUNCTION("""COMPUTED_VALUE"""),4691630.0)</f>
        <v>4691630</v>
      </c>
      <c r="G1102" s="2">
        <f>IFERROR(__xludf.DUMMYFUNCTION("""COMPUTED_VALUE"""),74.6696)</f>
        <v>74.6696</v>
      </c>
    </row>
    <row r="1103">
      <c r="A1103" s="1" t="s">
        <v>1102</v>
      </c>
      <c r="D1103" s="3">
        <f>IFERROR(__xludf.DUMMYFUNCTION("SPLIT(A1103, ""|"")"),43330.0)</f>
        <v>43330</v>
      </c>
      <c r="E1103" s="2">
        <f>IFERROR(__xludf.DUMMYFUNCTION("""COMPUTED_VALUE"""),1646493.0)</f>
        <v>1646493</v>
      </c>
      <c r="F1103" s="2">
        <f>IFERROR(__xludf.DUMMYFUNCTION("""COMPUTED_VALUE"""),4691084.0)</f>
        <v>4691084</v>
      </c>
      <c r="G1103" s="2">
        <f>IFERROR(__xludf.DUMMYFUNCTION("""COMPUTED_VALUE"""),69.0149)</f>
        <v>69.0149</v>
      </c>
    </row>
    <row r="1104">
      <c r="A1104" s="1" t="s">
        <v>1103</v>
      </c>
      <c r="D1104" s="3">
        <f>IFERROR(__xludf.DUMMYFUNCTION("SPLIT(A1104, ""|"")"),43075.0)</f>
        <v>43075</v>
      </c>
      <c r="E1104" s="2">
        <f>IFERROR(__xludf.DUMMYFUNCTION("""COMPUTED_VALUE"""),1473093.0)</f>
        <v>1473093</v>
      </c>
      <c r="F1104" s="2">
        <f>IFERROR(__xludf.DUMMYFUNCTION("""COMPUTED_VALUE"""),4016205.0)</f>
        <v>4016205</v>
      </c>
      <c r="G1104" s="2">
        <f>IFERROR(__xludf.DUMMYFUNCTION("""COMPUTED_VALUE"""),92.9167)</f>
        <v>92.9167</v>
      </c>
    </row>
    <row r="1105">
      <c r="A1105" s="1" t="s">
        <v>1104</v>
      </c>
      <c r="D1105" s="3">
        <f>IFERROR(__xludf.DUMMYFUNCTION("SPLIT(A1105, ""|"")"),43075.0)</f>
        <v>43075</v>
      </c>
      <c r="E1105" s="2">
        <f>IFERROR(__xludf.DUMMYFUNCTION("""COMPUTED_VALUE"""),1010553.0)</f>
        <v>1010553</v>
      </c>
      <c r="F1105" s="2">
        <f>IFERROR(__xludf.DUMMYFUNCTION("""COMPUTED_VALUE"""),4014420.0)</f>
        <v>4014420</v>
      </c>
      <c r="G1105" s="2">
        <f>IFERROR(__xludf.DUMMYFUNCTION("""COMPUTED_VALUE"""),62.3351999999999)</f>
        <v>62.3352</v>
      </c>
    </row>
    <row r="1106">
      <c r="A1106" s="1" t="s">
        <v>1105</v>
      </c>
      <c r="D1106" s="3">
        <f>IFERROR(__xludf.DUMMYFUNCTION("SPLIT(A1106, ""|"")"),43075.0)</f>
        <v>43075</v>
      </c>
      <c r="E1106" s="2">
        <f>IFERROR(__xludf.DUMMYFUNCTION("""COMPUTED_VALUE"""),1194483.0)</f>
        <v>1194483</v>
      </c>
      <c r="F1106" s="2">
        <f>IFERROR(__xludf.DUMMYFUNCTION("""COMPUTED_VALUE"""),4016506.0)</f>
        <v>4016506</v>
      </c>
      <c r="G1106" s="2">
        <f>IFERROR(__xludf.DUMMYFUNCTION("""COMPUTED_VALUE"""),170.7121)</f>
        <v>170.7121</v>
      </c>
    </row>
    <row r="1107">
      <c r="A1107" s="1" t="s">
        <v>1106</v>
      </c>
      <c r="D1107" s="3">
        <f>IFERROR(__xludf.DUMMYFUNCTION("SPLIT(A1107, ""|"")"),43075.0)</f>
        <v>43075</v>
      </c>
      <c r="E1107" s="2">
        <f>IFERROR(__xludf.DUMMYFUNCTION("""COMPUTED_VALUE"""),1472523.0)</f>
        <v>1472523</v>
      </c>
      <c r="F1107" s="2">
        <f>IFERROR(__xludf.DUMMYFUNCTION("""COMPUTED_VALUE"""),4014390.0)</f>
        <v>4014390</v>
      </c>
      <c r="G1107" s="2">
        <f>IFERROR(__xludf.DUMMYFUNCTION("""COMPUTED_VALUE"""),72.4923)</f>
        <v>72.4923</v>
      </c>
    </row>
    <row r="1108">
      <c r="A1108" s="1" t="s">
        <v>1107</v>
      </c>
      <c r="D1108" s="3">
        <f>IFERROR(__xludf.DUMMYFUNCTION("SPLIT(A1108, ""|"")"),43075.0)</f>
        <v>43075</v>
      </c>
      <c r="E1108" s="2">
        <f>IFERROR(__xludf.DUMMYFUNCTION("""COMPUTED_VALUE"""),1423773.0)</f>
        <v>1423773</v>
      </c>
      <c r="F1108" s="2">
        <f>IFERROR(__xludf.DUMMYFUNCTION("""COMPUTED_VALUE"""),4016499.0)</f>
        <v>4016499</v>
      </c>
      <c r="G1108" s="2">
        <f>IFERROR(__xludf.DUMMYFUNCTION("""COMPUTED_VALUE"""),62.4375)</f>
        <v>62.4375</v>
      </c>
    </row>
    <row r="1109">
      <c r="A1109" s="1" t="s">
        <v>1108</v>
      </c>
      <c r="D1109" s="3">
        <f>IFERROR(__xludf.DUMMYFUNCTION("SPLIT(A1109, ""|"")"),43075.0)</f>
        <v>43075</v>
      </c>
      <c r="E1109" s="2">
        <f>IFERROR(__xludf.DUMMYFUNCTION("""COMPUTED_VALUE"""),262083.0)</f>
        <v>262083</v>
      </c>
      <c r="F1109" s="2">
        <f>IFERROR(__xludf.DUMMYFUNCTION("""COMPUTED_VALUE"""),4016946.0)</f>
        <v>4016946</v>
      </c>
      <c r="G1109" s="2">
        <f>IFERROR(__xludf.DUMMYFUNCTION("""COMPUTED_VALUE"""),83.7278)</f>
        <v>83.7278</v>
      </c>
    </row>
    <row r="1110">
      <c r="A1110" s="1" t="s">
        <v>1109</v>
      </c>
      <c r="D1110" s="3">
        <f>IFERROR(__xludf.DUMMYFUNCTION("SPLIT(A1110, ""|"")"),43075.0)</f>
        <v>43075</v>
      </c>
      <c r="E1110" s="2">
        <f>IFERROR(__xludf.DUMMYFUNCTION("""COMPUTED_VALUE"""),481893.0)</f>
        <v>481893</v>
      </c>
      <c r="F1110" s="2">
        <f>IFERROR(__xludf.DUMMYFUNCTION("""COMPUTED_VALUE"""),4016511.0)</f>
        <v>4016511</v>
      </c>
      <c r="G1110" s="2">
        <f>IFERROR(__xludf.DUMMYFUNCTION("""COMPUTED_VALUE"""),86.5527)</f>
        <v>86.5527</v>
      </c>
    </row>
    <row r="1111">
      <c r="A1111" s="1" t="s">
        <v>1110</v>
      </c>
      <c r="D1111" s="3">
        <f>IFERROR(__xludf.DUMMYFUNCTION("SPLIT(A1111, ""|"")"),43331.0)</f>
        <v>43331</v>
      </c>
      <c r="E1111" s="2">
        <f>IFERROR(__xludf.DUMMYFUNCTION("""COMPUTED_VALUE"""),1261383.0)</f>
        <v>1261383</v>
      </c>
      <c r="F1111" s="2">
        <f>IFERROR(__xludf.DUMMYFUNCTION("""COMPUTED_VALUE"""),4692921.0)</f>
        <v>4692921</v>
      </c>
      <c r="G1111" s="2">
        <f>IFERROR(__xludf.DUMMYFUNCTION("""COMPUTED_VALUE"""),96.0688)</f>
        <v>96.0688</v>
      </c>
    </row>
    <row r="1112">
      <c r="A1112" s="1" t="s">
        <v>1111</v>
      </c>
      <c r="D1112" s="3">
        <f>IFERROR(__xludf.DUMMYFUNCTION("SPLIT(A1112, ""|"")"),43076.0)</f>
        <v>43076</v>
      </c>
      <c r="E1112" s="2">
        <f>IFERROR(__xludf.DUMMYFUNCTION("""COMPUTED_VALUE"""),1100373.0)</f>
        <v>1100373</v>
      </c>
      <c r="F1112" s="2">
        <f>IFERROR(__xludf.DUMMYFUNCTION("""COMPUTED_VALUE"""),4019008.0)</f>
        <v>4019008</v>
      </c>
      <c r="G1112" s="2">
        <f>IFERROR(__xludf.DUMMYFUNCTION("""COMPUTED_VALUE"""),77.6687999999999)</f>
        <v>77.6688</v>
      </c>
    </row>
    <row r="1113">
      <c r="A1113" s="1" t="s">
        <v>1112</v>
      </c>
      <c r="D1113" s="3">
        <f>IFERROR(__xludf.DUMMYFUNCTION("SPLIT(A1113, ""|"")"),43076.0)</f>
        <v>43076</v>
      </c>
      <c r="E1113" s="2">
        <f>IFERROR(__xludf.DUMMYFUNCTION("""COMPUTED_VALUE"""),1473153.0)</f>
        <v>1473153</v>
      </c>
      <c r="F1113" s="2">
        <f>IFERROR(__xludf.DUMMYFUNCTION("""COMPUTED_VALUE"""),4020411.0)</f>
        <v>4020411</v>
      </c>
      <c r="G1113" s="2">
        <f>IFERROR(__xludf.DUMMYFUNCTION("""COMPUTED_VALUE"""),23.2949)</f>
        <v>23.2949</v>
      </c>
    </row>
    <row r="1114">
      <c r="A1114" s="1" t="s">
        <v>1113</v>
      </c>
      <c r="D1114" s="3">
        <f>IFERROR(__xludf.DUMMYFUNCTION("SPLIT(A1114, ""|"")"),43076.0)</f>
        <v>43076</v>
      </c>
      <c r="E1114" s="2">
        <f>IFERROR(__xludf.DUMMYFUNCTION("""COMPUTED_VALUE"""),1387443.0)</f>
        <v>1387443</v>
      </c>
      <c r="F1114" s="2">
        <f>IFERROR(__xludf.DUMMYFUNCTION("""COMPUTED_VALUE"""),4018343.0)</f>
        <v>4018343</v>
      </c>
      <c r="G1114" s="2">
        <f>IFERROR(__xludf.DUMMYFUNCTION("""COMPUTED_VALUE"""),105.5512)</f>
        <v>105.5512</v>
      </c>
    </row>
    <row r="1115">
      <c r="A1115" s="1" t="s">
        <v>1114</v>
      </c>
      <c r="D1115" s="3">
        <f>IFERROR(__xludf.DUMMYFUNCTION("SPLIT(A1115, ""|"")"),43076.0)</f>
        <v>43076</v>
      </c>
      <c r="E1115" s="2">
        <f>IFERROR(__xludf.DUMMYFUNCTION("""COMPUTED_VALUE"""),63723.0)</f>
        <v>63723</v>
      </c>
      <c r="F1115" s="2">
        <f>IFERROR(__xludf.DUMMYFUNCTION("""COMPUTED_VALUE"""),4020568.0)</f>
        <v>4020568</v>
      </c>
      <c r="G1115" s="2">
        <f>IFERROR(__xludf.DUMMYFUNCTION("""COMPUTED_VALUE"""),122.8697)</f>
        <v>122.8697</v>
      </c>
    </row>
    <row r="1116">
      <c r="A1116" s="1" t="s">
        <v>1115</v>
      </c>
      <c r="D1116" s="3">
        <f>IFERROR(__xludf.DUMMYFUNCTION("SPLIT(A1116, ""|"")"),43076.0)</f>
        <v>43076</v>
      </c>
      <c r="E1116" s="2">
        <f>IFERROR(__xludf.DUMMYFUNCTION("""COMPUTED_VALUE"""),1468563.0)</f>
        <v>1468563</v>
      </c>
      <c r="F1116" s="2">
        <f>IFERROR(__xludf.DUMMYFUNCTION("""COMPUTED_VALUE"""),4019589.0)</f>
        <v>4019589</v>
      </c>
      <c r="G1116" s="2">
        <f>IFERROR(__xludf.DUMMYFUNCTION("""COMPUTED_VALUE"""),3.6598)</f>
        <v>3.6598</v>
      </c>
    </row>
    <row r="1117">
      <c r="A1117" s="1" t="s">
        <v>1116</v>
      </c>
      <c r="D1117" s="3">
        <f>IFERROR(__xludf.DUMMYFUNCTION("SPLIT(A1117, ""|"")"),43076.0)</f>
        <v>43076</v>
      </c>
      <c r="E1117" s="2">
        <f>IFERROR(__xludf.DUMMYFUNCTION("""COMPUTED_VALUE"""),1473483.0)</f>
        <v>1473483</v>
      </c>
      <c r="F1117" s="2">
        <f>IFERROR(__xludf.DUMMYFUNCTION("""COMPUTED_VALUE"""),4017448.0)</f>
        <v>4017448</v>
      </c>
      <c r="G1117" s="2">
        <f>IFERROR(__xludf.DUMMYFUNCTION("""COMPUTED_VALUE"""),73.1721)</f>
        <v>73.1721</v>
      </c>
    </row>
    <row r="1118">
      <c r="A1118" s="1" t="s">
        <v>1117</v>
      </c>
      <c r="D1118" s="3">
        <f>IFERROR(__xludf.DUMMYFUNCTION("SPLIT(A1118, ""|"")"),43076.0)</f>
        <v>43076</v>
      </c>
      <c r="E1118" s="2">
        <f>IFERROR(__xludf.DUMMYFUNCTION("""COMPUTED_VALUE"""),171213.0)</f>
        <v>171213</v>
      </c>
      <c r="F1118" s="2">
        <f>IFERROR(__xludf.DUMMYFUNCTION("""COMPUTED_VALUE"""),4019026.0)</f>
        <v>4019026</v>
      </c>
      <c r="G1118" s="2">
        <f>IFERROR(__xludf.DUMMYFUNCTION("""COMPUTED_VALUE"""),79.2667)</f>
        <v>79.2667</v>
      </c>
    </row>
    <row r="1119">
      <c r="A1119" s="1" t="s">
        <v>1118</v>
      </c>
      <c r="D1119" s="3">
        <f>IFERROR(__xludf.DUMMYFUNCTION("SPLIT(A1119, ""|"")"),43332.0)</f>
        <v>43332</v>
      </c>
      <c r="E1119" s="2">
        <f>IFERROR(__xludf.DUMMYFUNCTION("""COMPUTED_VALUE"""),1534623.0)</f>
        <v>1534623</v>
      </c>
      <c r="F1119" s="2">
        <f>IFERROR(__xludf.DUMMYFUNCTION("""COMPUTED_VALUE"""),4696189.0)</f>
        <v>4696189</v>
      </c>
      <c r="G1119" s="2">
        <f>IFERROR(__xludf.DUMMYFUNCTION("""COMPUTED_VALUE"""),75.9503999999999)</f>
        <v>75.9504</v>
      </c>
    </row>
    <row r="1120">
      <c r="A1120" s="1" t="s">
        <v>1119</v>
      </c>
      <c r="D1120" s="3">
        <f>IFERROR(__xludf.DUMMYFUNCTION("SPLIT(A1120, ""|"")"),43332.0)</f>
        <v>43332</v>
      </c>
      <c r="E1120" s="2">
        <f>IFERROR(__xludf.DUMMYFUNCTION("""COMPUTED_VALUE"""),1648083.0)</f>
        <v>1648083</v>
      </c>
      <c r="F1120" s="2">
        <f>IFERROR(__xludf.DUMMYFUNCTION("""COMPUTED_VALUE"""),4696980.0)</f>
        <v>4696980</v>
      </c>
      <c r="G1120" s="2">
        <f>IFERROR(__xludf.DUMMYFUNCTION("""COMPUTED_VALUE"""),23.128)</f>
        <v>23.128</v>
      </c>
    </row>
    <row r="1121">
      <c r="A1121" s="1" t="s">
        <v>1120</v>
      </c>
      <c r="D1121" s="3">
        <f>IFERROR(__xludf.DUMMYFUNCTION("SPLIT(A1121, ""|"")"),43332.0)</f>
        <v>43332</v>
      </c>
      <c r="E1121" s="2">
        <f>IFERROR(__xludf.DUMMYFUNCTION("""COMPUTED_VALUE"""),1647693.0)</f>
        <v>1647693</v>
      </c>
      <c r="F1121" s="2">
        <f>IFERROR(__xludf.DUMMYFUNCTION("""COMPUTED_VALUE"""),4695449.0)</f>
        <v>4695449</v>
      </c>
      <c r="G1121" s="2">
        <f>IFERROR(__xludf.DUMMYFUNCTION("""COMPUTED_VALUE"""),9.6161)</f>
        <v>9.6161</v>
      </c>
    </row>
    <row r="1122">
      <c r="A1122" s="1" t="s">
        <v>1121</v>
      </c>
      <c r="D1122" s="3">
        <f>IFERROR(__xludf.DUMMYFUNCTION("SPLIT(A1122, ""|"")"),43332.0)</f>
        <v>43332</v>
      </c>
      <c r="E1122" s="2">
        <f>IFERROR(__xludf.DUMMYFUNCTION("""COMPUTED_VALUE"""),1644393.0)</f>
        <v>1644393</v>
      </c>
      <c r="F1122" s="2">
        <f>IFERROR(__xludf.DUMMYFUNCTION("""COMPUTED_VALUE"""),4695216.0)</f>
        <v>4695216</v>
      </c>
      <c r="G1122" s="2">
        <f>IFERROR(__xludf.DUMMYFUNCTION("""COMPUTED_VALUE"""),11.9224)</f>
        <v>11.9224</v>
      </c>
    </row>
    <row r="1123">
      <c r="A1123" s="1" t="s">
        <v>1122</v>
      </c>
      <c r="D1123" s="3">
        <f>IFERROR(__xludf.DUMMYFUNCTION("SPLIT(A1123, ""|"")"),43332.0)</f>
        <v>43332</v>
      </c>
      <c r="E1123" s="2">
        <f>IFERROR(__xludf.DUMMYFUNCTION("""COMPUTED_VALUE"""),1648203.0)</f>
        <v>1648203</v>
      </c>
      <c r="F1123" s="2">
        <f>IFERROR(__xludf.DUMMYFUNCTION("""COMPUTED_VALUE"""),4697493.0)</f>
        <v>4697493</v>
      </c>
      <c r="G1123" s="2">
        <f>IFERROR(__xludf.DUMMYFUNCTION("""COMPUTED_VALUE"""),15.25)</f>
        <v>15.25</v>
      </c>
    </row>
    <row r="1124">
      <c r="A1124" s="1" t="s">
        <v>1123</v>
      </c>
      <c r="D1124" s="3">
        <f>IFERROR(__xludf.DUMMYFUNCTION("SPLIT(A1124, ""|"")"),43077.0)</f>
        <v>43077</v>
      </c>
      <c r="E1124" s="2">
        <f>IFERROR(__xludf.DUMMYFUNCTION("""COMPUTED_VALUE"""),1228443.0)</f>
        <v>1228443</v>
      </c>
      <c r="F1124" s="2">
        <f>IFERROR(__xludf.DUMMYFUNCTION("""COMPUTED_VALUE"""),4022569.0)</f>
        <v>4022569</v>
      </c>
      <c r="G1124" s="2">
        <f>IFERROR(__xludf.DUMMYFUNCTION("""COMPUTED_VALUE"""),78.8339)</f>
        <v>78.8339</v>
      </c>
    </row>
    <row r="1125">
      <c r="A1125" s="1" t="s">
        <v>1124</v>
      </c>
      <c r="D1125" s="3">
        <f>IFERROR(__xludf.DUMMYFUNCTION("SPLIT(A1125, ""|"")"),43077.0)</f>
        <v>43077</v>
      </c>
      <c r="E1125" s="2">
        <f>IFERROR(__xludf.DUMMYFUNCTION("""COMPUTED_VALUE"""),1474983.0)</f>
        <v>1474983</v>
      </c>
      <c r="F1125" s="2">
        <f>IFERROR(__xludf.DUMMYFUNCTION("""COMPUTED_VALUE"""),4022626.0)</f>
        <v>4022626</v>
      </c>
      <c r="G1125" s="2">
        <f>IFERROR(__xludf.DUMMYFUNCTION("""COMPUTED_VALUE"""),55.575)</f>
        <v>55.575</v>
      </c>
    </row>
    <row r="1126">
      <c r="A1126" s="1" t="s">
        <v>1125</v>
      </c>
      <c r="D1126" s="3">
        <f>IFERROR(__xludf.DUMMYFUNCTION("SPLIT(A1126, ""|"")"),43077.0)</f>
        <v>43077</v>
      </c>
      <c r="E1126" s="2">
        <f>IFERROR(__xludf.DUMMYFUNCTION("""COMPUTED_VALUE"""),1474443.0)</f>
        <v>1474443</v>
      </c>
      <c r="F1126" s="2">
        <f>IFERROR(__xludf.DUMMYFUNCTION("""COMPUTED_VALUE"""),4022339.0)</f>
        <v>4022339</v>
      </c>
      <c r="G1126" s="2">
        <f>IFERROR(__xludf.DUMMYFUNCTION("""COMPUTED_VALUE"""),36.8414)</f>
        <v>36.8414</v>
      </c>
    </row>
    <row r="1127">
      <c r="A1127" s="1" t="s">
        <v>1126</v>
      </c>
      <c r="D1127" s="3">
        <f>IFERROR(__xludf.DUMMYFUNCTION("SPLIT(A1127, ""|"")"),43077.0)</f>
        <v>43077</v>
      </c>
      <c r="E1127" s="2">
        <f>IFERROR(__xludf.DUMMYFUNCTION("""COMPUTED_VALUE"""),1430133.0)</f>
        <v>1430133</v>
      </c>
      <c r="F1127" s="2">
        <f>IFERROR(__xludf.DUMMYFUNCTION("""COMPUTED_VALUE"""),4021719.0)</f>
        <v>4021719</v>
      </c>
      <c r="G1127" s="2">
        <f>IFERROR(__xludf.DUMMYFUNCTION("""COMPUTED_VALUE"""),18.0008999999999)</f>
        <v>18.0009</v>
      </c>
    </row>
    <row r="1128">
      <c r="A1128" s="1" t="s">
        <v>1127</v>
      </c>
      <c r="D1128" s="3">
        <f>IFERROR(__xludf.DUMMYFUNCTION("SPLIT(A1128, ""|"")"),43077.0)</f>
        <v>43077</v>
      </c>
      <c r="E1128" s="2">
        <f>IFERROR(__xludf.DUMMYFUNCTION("""COMPUTED_VALUE"""),1474593.0)</f>
        <v>1474593</v>
      </c>
      <c r="F1128" s="2">
        <f>IFERROR(__xludf.DUMMYFUNCTION("""COMPUTED_VALUE"""),4021385.0)</f>
        <v>4021385</v>
      </c>
      <c r="G1128" s="2">
        <f>IFERROR(__xludf.DUMMYFUNCTION("""COMPUTED_VALUE"""),85.5411)</f>
        <v>85.5411</v>
      </c>
    </row>
    <row r="1129">
      <c r="A1129" s="1" t="s">
        <v>1128</v>
      </c>
      <c r="D1129" s="3">
        <f>IFERROR(__xludf.DUMMYFUNCTION("SPLIT(A1129, ""|"")"),43077.0)</f>
        <v>43077</v>
      </c>
      <c r="E1129" s="2">
        <f>IFERROR(__xludf.DUMMYFUNCTION("""COMPUTED_VALUE"""),1173993.0)</f>
        <v>1173993</v>
      </c>
      <c r="F1129" s="2">
        <f>IFERROR(__xludf.DUMMYFUNCTION("""COMPUTED_VALUE"""),4022747.0)</f>
        <v>4022747</v>
      </c>
      <c r="G1129" s="2">
        <f>IFERROR(__xludf.DUMMYFUNCTION("""COMPUTED_VALUE"""),71.6751)</f>
        <v>71.6751</v>
      </c>
    </row>
    <row r="1130">
      <c r="A1130" s="1" t="s">
        <v>1129</v>
      </c>
      <c r="D1130" s="3">
        <f>IFERROR(__xludf.DUMMYFUNCTION("SPLIT(A1130, ""|"")"),43077.0)</f>
        <v>43077</v>
      </c>
      <c r="E1130" s="2">
        <f>IFERROR(__xludf.DUMMYFUNCTION("""COMPUTED_VALUE"""),1474503.0)</f>
        <v>1474503</v>
      </c>
      <c r="F1130" s="2">
        <f>IFERROR(__xludf.DUMMYFUNCTION("""COMPUTED_VALUE"""),4021061.0)</f>
        <v>4021061</v>
      </c>
      <c r="G1130" s="2">
        <f>IFERROR(__xludf.DUMMYFUNCTION("""COMPUTED_VALUE"""),20.6824999999999)</f>
        <v>20.6825</v>
      </c>
    </row>
    <row r="1131">
      <c r="A1131" s="1" t="s">
        <v>1130</v>
      </c>
      <c r="D1131" s="3">
        <f>IFERROR(__xludf.DUMMYFUNCTION("SPLIT(A1131, ""|"")"),43077.0)</f>
        <v>43077</v>
      </c>
      <c r="E1131" s="2">
        <f>IFERROR(__xludf.DUMMYFUNCTION("""COMPUTED_VALUE"""),1077423.0)</f>
        <v>1077423</v>
      </c>
      <c r="F1131" s="2">
        <f>IFERROR(__xludf.DUMMYFUNCTION("""COMPUTED_VALUE"""),4021493.0)</f>
        <v>4021493</v>
      </c>
      <c r="G1131" s="2">
        <f>IFERROR(__xludf.DUMMYFUNCTION("""COMPUTED_VALUE"""),198.4296)</f>
        <v>198.4296</v>
      </c>
    </row>
    <row r="1132">
      <c r="A1132" s="1" t="s">
        <v>1131</v>
      </c>
      <c r="D1132" s="3">
        <f>IFERROR(__xludf.DUMMYFUNCTION("SPLIT(A1132, ""|"")"),43077.0)</f>
        <v>43077</v>
      </c>
      <c r="E1132" s="2">
        <f>IFERROR(__xludf.DUMMYFUNCTION("""COMPUTED_VALUE"""),1077273.0)</f>
        <v>1077273</v>
      </c>
      <c r="F1132" s="2">
        <f>IFERROR(__xludf.DUMMYFUNCTION("""COMPUTED_VALUE"""),4022907.0)</f>
        <v>4022907</v>
      </c>
      <c r="G1132" s="2">
        <f>IFERROR(__xludf.DUMMYFUNCTION("""COMPUTED_VALUE"""),83.3219)</f>
        <v>83.3219</v>
      </c>
    </row>
    <row r="1133">
      <c r="A1133" s="1" t="s">
        <v>1132</v>
      </c>
      <c r="D1133" s="3">
        <f>IFERROR(__xludf.DUMMYFUNCTION("SPLIT(A1133, ""|"")"),43077.0)</f>
        <v>43077</v>
      </c>
      <c r="E1133" s="2">
        <f>IFERROR(__xludf.DUMMYFUNCTION("""COMPUTED_VALUE"""),1468713.0)</f>
        <v>1468713</v>
      </c>
      <c r="F1133" s="2">
        <f>IFERROR(__xludf.DUMMYFUNCTION("""COMPUTED_VALUE"""),4020664.0)</f>
        <v>4020664</v>
      </c>
      <c r="G1133" s="2">
        <f>IFERROR(__xludf.DUMMYFUNCTION("""COMPUTED_VALUE"""),40.7078999999999)</f>
        <v>40.7079</v>
      </c>
    </row>
    <row r="1134">
      <c r="A1134" s="1" t="s">
        <v>1133</v>
      </c>
      <c r="D1134" s="3">
        <f>IFERROR(__xludf.DUMMYFUNCTION("SPLIT(A1134, ""|"")"),43077.0)</f>
        <v>43077</v>
      </c>
      <c r="E1134" s="2">
        <f>IFERROR(__xludf.DUMMYFUNCTION("""COMPUTED_VALUE"""),1387683.0)</f>
        <v>1387683</v>
      </c>
      <c r="F1134" s="2">
        <f>IFERROR(__xludf.DUMMYFUNCTION("""COMPUTED_VALUE"""),4020853.0)</f>
        <v>4020853</v>
      </c>
      <c r="G1134" s="2">
        <f>IFERROR(__xludf.DUMMYFUNCTION("""COMPUTED_VALUE"""),28.6476999999999)</f>
        <v>28.6477</v>
      </c>
    </row>
    <row r="1135">
      <c r="A1135" s="1" t="s">
        <v>1134</v>
      </c>
      <c r="D1135" s="3">
        <f>IFERROR(__xludf.DUMMYFUNCTION("SPLIT(A1135, ""|"")"),43077.0)</f>
        <v>43077</v>
      </c>
      <c r="E1135" s="2">
        <f>IFERROR(__xludf.DUMMYFUNCTION("""COMPUTED_VALUE"""),1474893.0)</f>
        <v>1474893</v>
      </c>
      <c r="F1135" s="2">
        <f>IFERROR(__xludf.DUMMYFUNCTION("""COMPUTED_VALUE"""),4022334.0)</f>
        <v>4022334</v>
      </c>
      <c r="G1135" s="2">
        <f>IFERROR(__xludf.DUMMYFUNCTION("""COMPUTED_VALUE"""),84.3749)</f>
        <v>84.3749</v>
      </c>
    </row>
    <row r="1136">
      <c r="A1136" s="1" t="s">
        <v>1135</v>
      </c>
      <c r="D1136" s="3">
        <f>IFERROR(__xludf.DUMMYFUNCTION("SPLIT(A1136, ""|"")"),43333.0)</f>
        <v>43333</v>
      </c>
      <c r="E1136" s="2">
        <f>IFERROR(__xludf.DUMMYFUNCTION("""COMPUTED_VALUE"""),223263.0)</f>
        <v>223263</v>
      </c>
      <c r="F1136" s="2">
        <f>IFERROR(__xludf.DUMMYFUNCTION("""COMPUTED_VALUE"""),4698300.0)</f>
        <v>4698300</v>
      </c>
      <c r="G1136" s="2">
        <f>IFERROR(__xludf.DUMMYFUNCTION("""COMPUTED_VALUE"""),92.7081999999999)</f>
        <v>92.7082</v>
      </c>
    </row>
    <row r="1137">
      <c r="A1137" s="1" t="s">
        <v>1136</v>
      </c>
      <c r="D1137" s="3">
        <f>IFERROR(__xludf.DUMMYFUNCTION("SPLIT(A1137, ""|"")"),43333.0)</f>
        <v>43333</v>
      </c>
      <c r="E1137" s="2">
        <f>IFERROR(__xludf.DUMMYFUNCTION("""COMPUTED_VALUE"""),1077813.0)</f>
        <v>1077813</v>
      </c>
      <c r="F1137" s="2">
        <f>IFERROR(__xludf.DUMMYFUNCTION("""COMPUTED_VALUE"""),4699880.0)</f>
        <v>4699880</v>
      </c>
      <c r="G1137" s="2">
        <f>IFERROR(__xludf.DUMMYFUNCTION("""COMPUTED_VALUE"""),98.6315)</f>
        <v>98.6315</v>
      </c>
    </row>
    <row r="1138">
      <c r="A1138" s="1" t="s">
        <v>1137</v>
      </c>
      <c r="D1138" s="3">
        <f>IFERROR(__xludf.DUMMYFUNCTION("SPLIT(A1138, ""|"")"),43333.0)</f>
        <v>43333</v>
      </c>
      <c r="E1138" s="2">
        <f>IFERROR(__xludf.DUMMYFUNCTION("""COMPUTED_VALUE"""),1648683.0)</f>
        <v>1648683</v>
      </c>
      <c r="F1138" s="2">
        <f>IFERROR(__xludf.DUMMYFUNCTION("""COMPUTED_VALUE"""),4699361.0)</f>
        <v>4699361</v>
      </c>
      <c r="G1138" s="2">
        <f>IFERROR(__xludf.DUMMYFUNCTION("""COMPUTED_VALUE"""),197.889499999999)</f>
        <v>197.8895</v>
      </c>
    </row>
    <row r="1139">
      <c r="A1139" s="1" t="s">
        <v>1138</v>
      </c>
      <c r="D1139" s="3">
        <f>IFERROR(__xludf.DUMMYFUNCTION("SPLIT(A1139, ""|"")"),43078.0)</f>
        <v>43078</v>
      </c>
      <c r="E1139" s="2">
        <f>IFERROR(__xludf.DUMMYFUNCTION("""COMPUTED_VALUE"""),1475313.0)</f>
        <v>1475313</v>
      </c>
      <c r="F1139" s="2">
        <f>IFERROR(__xludf.DUMMYFUNCTION("""COMPUTED_VALUE"""),4023677.0)</f>
        <v>4023677</v>
      </c>
      <c r="G1139" s="2">
        <f>IFERROR(__xludf.DUMMYFUNCTION("""COMPUTED_VALUE"""),12.0207)</f>
        <v>12.0207</v>
      </c>
    </row>
    <row r="1140">
      <c r="A1140" s="1" t="s">
        <v>1139</v>
      </c>
      <c r="D1140" s="3">
        <f>IFERROR(__xludf.DUMMYFUNCTION("SPLIT(A1140, ""|"")"),43078.0)</f>
        <v>43078</v>
      </c>
      <c r="E1140" s="2">
        <f>IFERROR(__xludf.DUMMYFUNCTION("""COMPUTED_VALUE"""),1465233.0)</f>
        <v>1465233</v>
      </c>
      <c r="F1140" s="2">
        <f>IFERROR(__xludf.DUMMYFUNCTION("""COMPUTED_VALUE"""),4024430.0)</f>
        <v>4024430</v>
      </c>
      <c r="G1140" s="2">
        <f>IFERROR(__xludf.DUMMYFUNCTION("""COMPUTED_VALUE"""),126.3172)</f>
        <v>126.3172</v>
      </c>
    </row>
    <row r="1141">
      <c r="A1141" s="1" t="s">
        <v>1140</v>
      </c>
      <c r="D1141" s="3">
        <f>IFERROR(__xludf.DUMMYFUNCTION("SPLIT(A1141, ""|"")"),43078.0)</f>
        <v>43078</v>
      </c>
      <c r="E1141" s="2">
        <f>IFERROR(__xludf.DUMMYFUNCTION("""COMPUTED_VALUE"""),1415343.0)</f>
        <v>1415343</v>
      </c>
      <c r="F1141" s="2">
        <f>IFERROR(__xludf.DUMMYFUNCTION("""COMPUTED_VALUE"""),4025279.0)</f>
        <v>4025279</v>
      </c>
      <c r="G1141" s="2">
        <f>IFERROR(__xludf.DUMMYFUNCTION("""COMPUTED_VALUE"""),44.078)</f>
        <v>44.078</v>
      </c>
    </row>
    <row r="1142">
      <c r="A1142" s="1" t="s">
        <v>1141</v>
      </c>
      <c r="D1142" s="3">
        <f>IFERROR(__xludf.DUMMYFUNCTION("SPLIT(A1142, ""|"")"),43078.0)</f>
        <v>43078</v>
      </c>
      <c r="E1142" s="2">
        <f>IFERROR(__xludf.DUMMYFUNCTION("""COMPUTED_VALUE"""),1475463.0)</f>
        <v>1475463</v>
      </c>
      <c r="F1142" s="2">
        <f>IFERROR(__xludf.DUMMYFUNCTION("""COMPUTED_VALUE"""),4024196.0)</f>
        <v>4024196</v>
      </c>
      <c r="G1142" s="2">
        <f>IFERROR(__xludf.DUMMYFUNCTION("""COMPUTED_VALUE"""),141.3025)</f>
        <v>141.3025</v>
      </c>
    </row>
    <row r="1143">
      <c r="A1143" s="1" t="s">
        <v>1142</v>
      </c>
      <c r="D1143" s="3">
        <f>IFERROR(__xludf.DUMMYFUNCTION("SPLIT(A1143, ""|"")"),43078.0)</f>
        <v>43078</v>
      </c>
      <c r="E1143" s="2">
        <f>IFERROR(__xludf.DUMMYFUNCTION("""COMPUTED_VALUE"""),1475553.0)</f>
        <v>1475553</v>
      </c>
      <c r="F1143" s="2">
        <f>IFERROR(__xludf.DUMMYFUNCTION("""COMPUTED_VALUE"""),4024494.0)</f>
        <v>4024494</v>
      </c>
      <c r="G1143" s="2">
        <f>IFERROR(__xludf.DUMMYFUNCTION("""COMPUTED_VALUE"""),48.477)</f>
        <v>48.477</v>
      </c>
    </row>
    <row r="1144">
      <c r="A1144" s="1" t="s">
        <v>1143</v>
      </c>
      <c r="D1144" s="3">
        <f>IFERROR(__xludf.DUMMYFUNCTION("SPLIT(A1144, ""|"")"),43078.0)</f>
        <v>43078</v>
      </c>
      <c r="E1144" s="2">
        <f>IFERROR(__xludf.DUMMYFUNCTION("""COMPUTED_VALUE"""),1452273.0)</f>
        <v>1452273</v>
      </c>
      <c r="F1144" s="2">
        <f>IFERROR(__xludf.DUMMYFUNCTION("""COMPUTED_VALUE"""),4023277.0)</f>
        <v>4023277</v>
      </c>
      <c r="G1144" s="2">
        <f>IFERROR(__xludf.DUMMYFUNCTION("""COMPUTED_VALUE"""),29.0259)</f>
        <v>29.0259</v>
      </c>
    </row>
    <row r="1145">
      <c r="A1145" s="1" t="s">
        <v>1144</v>
      </c>
      <c r="D1145" s="3">
        <f>IFERROR(__xludf.DUMMYFUNCTION("SPLIT(A1145, ""|"")"),43078.0)</f>
        <v>43078</v>
      </c>
      <c r="E1145" s="2">
        <f>IFERROR(__xludf.DUMMYFUNCTION("""COMPUTED_VALUE"""),1341843.0)</f>
        <v>1341843</v>
      </c>
      <c r="F1145" s="2">
        <f>IFERROR(__xludf.DUMMYFUNCTION("""COMPUTED_VALUE"""),4024374.0)</f>
        <v>4024374</v>
      </c>
      <c r="G1145" s="2">
        <f>IFERROR(__xludf.DUMMYFUNCTION("""COMPUTED_VALUE"""),130.3084)</f>
        <v>130.3084</v>
      </c>
    </row>
    <row r="1146">
      <c r="A1146" s="1" t="s">
        <v>1145</v>
      </c>
      <c r="D1146" s="3">
        <f>IFERROR(__xludf.DUMMYFUNCTION("SPLIT(A1146, ""|"")"),43078.0)</f>
        <v>43078</v>
      </c>
      <c r="E1146" s="2">
        <f>IFERROR(__xludf.DUMMYFUNCTION("""COMPUTED_VALUE"""),331473.0)</f>
        <v>331473</v>
      </c>
      <c r="F1146" s="2">
        <f>IFERROR(__xludf.DUMMYFUNCTION("""COMPUTED_VALUE"""),4024198.0)</f>
        <v>4024198</v>
      </c>
      <c r="G1146" s="2">
        <f>IFERROR(__xludf.DUMMYFUNCTION("""COMPUTED_VALUE"""),56.0053999999999)</f>
        <v>56.0054</v>
      </c>
    </row>
    <row r="1147">
      <c r="A1147" s="1" t="s">
        <v>1146</v>
      </c>
      <c r="D1147" s="3">
        <f>IFERROR(__xludf.DUMMYFUNCTION("SPLIT(A1147, ""|"")"),43078.0)</f>
        <v>43078</v>
      </c>
      <c r="E1147" s="2">
        <f>IFERROR(__xludf.DUMMYFUNCTION("""COMPUTED_VALUE"""),1223673.0)</f>
        <v>1223673</v>
      </c>
      <c r="F1147" s="2">
        <f>IFERROR(__xludf.DUMMYFUNCTION("""COMPUTED_VALUE"""),4025543.0)</f>
        <v>4025543</v>
      </c>
      <c r="G1147" s="2">
        <f>IFERROR(__xludf.DUMMYFUNCTION("""COMPUTED_VALUE"""),72.3163)</f>
        <v>72.3163</v>
      </c>
    </row>
    <row r="1148">
      <c r="A1148" s="1" t="s">
        <v>1147</v>
      </c>
      <c r="D1148" s="3">
        <f>IFERROR(__xludf.DUMMYFUNCTION("SPLIT(A1148, ""|"")"),43078.0)</f>
        <v>43078</v>
      </c>
      <c r="E1148" s="2">
        <f>IFERROR(__xludf.DUMMYFUNCTION("""COMPUTED_VALUE"""),1475793.0)</f>
        <v>1475793</v>
      </c>
      <c r="F1148" s="2">
        <f>IFERROR(__xludf.DUMMYFUNCTION("""COMPUTED_VALUE"""),4025196.0)</f>
        <v>4025196</v>
      </c>
      <c r="G1148" s="2">
        <f>IFERROR(__xludf.DUMMYFUNCTION("""COMPUTED_VALUE"""),29.925)</f>
        <v>29.925</v>
      </c>
    </row>
    <row r="1149">
      <c r="A1149" s="1" t="s">
        <v>1148</v>
      </c>
      <c r="D1149" s="3">
        <f>IFERROR(__xludf.DUMMYFUNCTION("SPLIT(A1149, ""|"")"),43078.0)</f>
        <v>43078</v>
      </c>
      <c r="E1149" s="2">
        <f>IFERROR(__xludf.DUMMYFUNCTION("""COMPUTED_VALUE"""),1381413.0)</f>
        <v>1381413</v>
      </c>
      <c r="F1149" s="2">
        <f>IFERROR(__xludf.DUMMYFUNCTION("""COMPUTED_VALUE"""),4025102.0)</f>
        <v>4025102</v>
      </c>
      <c r="G1149" s="2">
        <f>IFERROR(__xludf.DUMMYFUNCTION("""COMPUTED_VALUE"""),66.8181)</f>
        <v>66.8181</v>
      </c>
    </row>
    <row r="1150">
      <c r="A1150" s="1" t="s">
        <v>1149</v>
      </c>
      <c r="D1150" s="3">
        <f>IFERROR(__xludf.DUMMYFUNCTION("SPLIT(A1150, ""|"")"),43334.0)</f>
        <v>43334</v>
      </c>
      <c r="E1150" s="2">
        <f>IFERROR(__xludf.DUMMYFUNCTION("""COMPUTED_VALUE"""),1442343.0)</f>
        <v>1442343</v>
      </c>
      <c r="F1150" s="2">
        <f>IFERROR(__xludf.DUMMYFUNCTION("""COMPUTED_VALUE"""),4701878.0)</f>
        <v>4701878</v>
      </c>
      <c r="G1150" s="2">
        <f>IFERROR(__xludf.DUMMYFUNCTION("""COMPUTED_VALUE"""),38.6432)</f>
        <v>38.6432</v>
      </c>
    </row>
    <row r="1151">
      <c r="A1151" s="1" t="s">
        <v>1150</v>
      </c>
      <c r="D1151" s="3">
        <f>IFERROR(__xludf.DUMMYFUNCTION("SPLIT(A1151, ""|"")"),43334.0)</f>
        <v>43334</v>
      </c>
      <c r="E1151" s="2">
        <f>IFERROR(__xludf.DUMMYFUNCTION("""COMPUTED_VALUE"""),1649283.0)</f>
        <v>1649283</v>
      </c>
      <c r="F1151" s="2">
        <f>IFERROR(__xludf.DUMMYFUNCTION("""COMPUTED_VALUE"""),4701920.0)</f>
        <v>4701920</v>
      </c>
      <c r="G1151" s="2">
        <f>IFERROR(__xludf.DUMMYFUNCTION("""COMPUTED_VALUE"""),38.8649)</f>
        <v>38.8649</v>
      </c>
    </row>
    <row r="1152">
      <c r="A1152" s="1" t="s">
        <v>1151</v>
      </c>
      <c r="D1152" s="3">
        <f>IFERROR(__xludf.DUMMYFUNCTION("SPLIT(A1152, ""|"")"),43079.0)</f>
        <v>43079</v>
      </c>
      <c r="E1152" s="2">
        <f>IFERROR(__xludf.DUMMYFUNCTION("""COMPUTED_VALUE"""),1476003.0)</f>
        <v>1476003</v>
      </c>
      <c r="F1152" s="2">
        <f>IFERROR(__xludf.DUMMYFUNCTION("""COMPUTED_VALUE"""),4025909.0)</f>
        <v>4025909</v>
      </c>
      <c r="G1152" s="2">
        <f>IFERROR(__xludf.DUMMYFUNCTION("""COMPUTED_VALUE"""),15.1277)</f>
        <v>15.1277</v>
      </c>
    </row>
    <row r="1153">
      <c r="A1153" s="1" t="s">
        <v>1152</v>
      </c>
      <c r="D1153" s="3">
        <f>IFERROR(__xludf.DUMMYFUNCTION("SPLIT(A1153, ""|"")"),43079.0)</f>
        <v>43079</v>
      </c>
      <c r="E1153" s="2">
        <f>IFERROR(__xludf.DUMMYFUNCTION("""COMPUTED_VALUE"""),1476873.0)</f>
        <v>1476873</v>
      </c>
      <c r="F1153" s="2">
        <f>IFERROR(__xludf.DUMMYFUNCTION("""COMPUTED_VALUE"""),4028939.0)</f>
        <v>4028939</v>
      </c>
      <c r="G1153" s="2">
        <f>IFERROR(__xludf.DUMMYFUNCTION("""COMPUTED_VALUE"""),27.7004)</f>
        <v>27.7004</v>
      </c>
    </row>
    <row r="1154">
      <c r="A1154" s="1" t="s">
        <v>1153</v>
      </c>
      <c r="D1154" s="3">
        <f>IFERROR(__xludf.DUMMYFUNCTION("SPLIT(A1154, ""|"")"),43079.0)</f>
        <v>43079</v>
      </c>
      <c r="E1154" s="2">
        <f>IFERROR(__xludf.DUMMYFUNCTION("""COMPUTED_VALUE"""),228423.0)</f>
        <v>228423</v>
      </c>
      <c r="F1154" s="2">
        <f>IFERROR(__xludf.DUMMYFUNCTION("""COMPUTED_VALUE"""),4028317.0)</f>
        <v>4028317</v>
      </c>
      <c r="G1154" s="2">
        <f>IFERROR(__xludf.DUMMYFUNCTION("""COMPUTED_VALUE"""),73.6312)</f>
        <v>73.6312</v>
      </c>
    </row>
    <row r="1155">
      <c r="A1155" s="1" t="s">
        <v>1154</v>
      </c>
      <c r="D1155" s="3">
        <f>IFERROR(__xludf.DUMMYFUNCTION("SPLIT(A1155, ""|"")"),43079.0)</f>
        <v>43079</v>
      </c>
      <c r="E1155" s="2">
        <f>IFERROR(__xludf.DUMMYFUNCTION("""COMPUTED_VALUE"""),1196013.0)</f>
        <v>1196013</v>
      </c>
      <c r="F1155" s="2">
        <f>IFERROR(__xludf.DUMMYFUNCTION("""COMPUTED_VALUE"""),4026811.0)</f>
        <v>4026811</v>
      </c>
      <c r="G1155" s="2">
        <f>IFERROR(__xludf.DUMMYFUNCTION("""COMPUTED_VALUE"""),206.8749)</f>
        <v>206.8749</v>
      </c>
    </row>
    <row r="1156">
      <c r="A1156" s="1" t="s">
        <v>1155</v>
      </c>
      <c r="D1156" s="3">
        <f>IFERROR(__xludf.DUMMYFUNCTION("SPLIT(A1156, ""|"")"),43079.0)</f>
        <v>43079</v>
      </c>
      <c r="E1156" s="2">
        <f>IFERROR(__xludf.DUMMYFUNCTION("""COMPUTED_VALUE"""),1475943.0)</f>
        <v>1475943</v>
      </c>
      <c r="F1156" s="2">
        <f>IFERROR(__xludf.DUMMYFUNCTION("""COMPUTED_VALUE"""),4025730.0)</f>
        <v>4025730</v>
      </c>
      <c r="G1156" s="2">
        <f>IFERROR(__xludf.DUMMYFUNCTION("""COMPUTED_VALUE"""),62.1948)</f>
        <v>62.1948</v>
      </c>
    </row>
    <row r="1157">
      <c r="A1157" s="1" t="s">
        <v>1156</v>
      </c>
      <c r="D1157" s="3">
        <f>IFERROR(__xludf.DUMMYFUNCTION("SPLIT(A1157, ""|"")"),43079.0)</f>
        <v>43079</v>
      </c>
      <c r="E1157" s="2">
        <f>IFERROR(__xludf.DUMMYFUNCTION("""COMPUTED_VALUE"""),1476093.0)</f>
        <v>1476093</v>
      </c>
      <c r="F1157" s="2">
        <f>IFERROR(__xludf.DUMMYFUNCTION("""COMPUTED_VALUE"""),4026203.0)</f>
        <v>4026203</v>
      </c>
      <c r="G1157" s="2">
        <f>IFERROR(__xludf.DUMMYFUNCTION("""COMPUTED_VALUE"""),132.6)</f>
        <v>132.6</v>
      </c>
    </row>
    <row r="1158">
      <c r="A1158" s="1" t="s">
        <v>1157</v>
      </c>
      <c r="D1158" s="3">
        <f>IFERROR(__xludf.DUMMYFUNCTION("SPLIT(A1158, ""|"")"),43079.0)</f>
        <v>43079</v>
      </c>
      <c r="E1158" s="2">
        <f>IFERROR(__xludf.DUMMYFUNCTION("""COMPUTED_VALUE"""),1455903.0)</f>
        <v>1455903</v>
      </c>
      <c r="F1158" s="2">
        <f>IFERROR(__xludf.DUMMYFUNCTION("""COMPUTED_VALUE"""),4025983.0)</f>
        <v>4025983</v>
      </c>
      <c r="G1158" s="2">
        <f>IFERROR(__xludf.DUMMYFUNCTION("""COMPUTED_VALUE"""),53.5405)</f>
        <v>53.5405</v>
      </c>
    </row>
    <row r="1159">
      <c r="A1159" s="1" t="s">
        <v>1158</v>
      </c>
      <c r="D1159" s="3">
        <f>IFERROR(__xludf.DUMMYFUNCTION("SPLIT(A1159, ""|"")"),43335.0)</f>
        <v>43335</v>
      </c>
      <c r="E1159" s="2">
        <f>IFERROR(__xludf.DUMMYFUNCTION("""COMPUTED_VALUE"""),1046973.0)</f>
        <v>1046973</v>
      </c>
      <c r="F1159" s="2">
        <f>IFERROR(__xludf.DUMMYFUNCTION("""COMPUTED_VALUE"""),4703155.0)</f>
        <v>4703155</v>
      </c>
      <c r="G1159" s="2">
        <f>IFERROR(__xludf.DUMMYFUNCTION("""COMPUTED_VALUE"""),90.6004)</f>
        <v>90.6004</v>
      </c>
    </row>
    <row r="1160">
      <c r="A1160" s="1" t="s">
        <v>1159</v>
      </c>
      <c r="D1160" s="3">
        <f>IFERROR(__xludf.DUMMYFUNCTION("SPLIT(A1160, ""|"")"),43335.0)</f>
        <v>43335</v>
      </c>
      <c r="E1160" s="2">
        <f>IFERROR(__xludf.DUMMYFUNCTION("""COMPUTED_VALUE"""),1649883.0)</f>
        <v>1649883</v>
      </c>
      <c r="F1160" s="2">
        <f>IFERROR(__xludf.DUMMYFUNCTION("""COMPUTED_VALUE"""),4704267.0)</f>
        <v>4704267</v>
      </c>
      <c r="G1160" s="2">
        <f>IFERROR(__xludf.DUMMYFUNCTION("""COMPUTED_VALUE"""),130.5506)</f>
        <v>130.5506</v>
      </c>
    </row>
    <row r="1161">
      <c r="A1161" s="1" t="s">
        <v>1160</v>
      </c>
      <c r="D1161" s="3">
        <f>IFERROR(__xludf.DUMMYFUNCTION("SPLIT(A1161, ""|"")"),43335.0)</f>
        <v>43335</v>
      </c>
      <c r="E1161" s="2">
        <f>IFERROR(__xludf.DUMMYFUNCTION("""COMPUTED_VALUE"""),1649583.0)</f>
        <v>1649583</v>
      </c>
      <c r="F1161" s="2">
        <f>IFERROR(__xludf.DUMMYFUNCTION("""COMPUTED_VALUE"""),4703018.0)</f>
        <v>4703018</v>
      </c>
      <c r="G1161" s="2">
        <f>IFERROR(__xludf.DUMMYFUNCTION("""COMPUTED_VALUE"""),108.130299999999)</f>
        <v>108.1303</v>
      </c>
    </row>
    <row r="1162">
      <c r="A1162" s="1" t="s">
        <v>1161</v>
      </c>
      <c r="D1162" s="3">
        <f>IFERROR(__xludf.DUMMYFUNCTION("SPLIT(A1162, ""|"")"),43335.0)</f>
        <v>43335</v>
      </c>
      <c r="E1162" s="2">
        <f>IFERROR(__xludf.DUMMYFUNCTION("""COMPUTED_VALUE"""),1478463.0)</f>
        <v>1478463</v>
      </c>
      <c r="F1162" s="2">
        <f>IFERROR(__xludf.DUMMYFUNCTION("""COMPUTED_VALUE"""),4702751.0)</f>
        <v>4702751</v>
      </c>
      <c r="G1162" s="2">
        <f>IFERROR(__xludf.DUMMYFUNCTION("""COMPUTED_VALUE"""),128.1686)</f>
        <v>128.1686</v>
      </c>
    </row>
    <row r="1163">
      <c r="A1163" s="1" t="s">
        <v>1162</v>
      </c>
      <c r="D1163" s="3">
        <f>IFERROR(__xludf.DUMMYFUNCTION("SPLIT(A1163, ""|"")"),43335.0)</f>
        <v>43335</v>
      </c>
      <c r="E1163" s="2">
        <f>IFERROR(__xludf.DUMMYFUNCTION("""COMPUTED_VALUE"""),1262733.0)</f>
        <v>1262733</v>
      </c>
      <c r="F1163" s="2">
        <f>IFERROR(__xludf.DUMMYFUNCTION("""COMPUTED_VALUE"""),4702486.0)</f>
        <v>4702486</v>
      </c>
      <c r="G1163" s="2">
        <f>IFERROR(__xludf.DUMMYFUNCTION("""COMPUTED_VALUE"""),172.7696)</f>
        <v>172.7696</v>
      </c>
    </row>
    <row r="1164">
      <c r="A1164" s="1" t="s">
        <v>1163</v>
      </c>
      <c r="D1164" s="3">
        <f>IFERROR(__xludf.DUMMYFUNCTION("SPLIT(A1164, ""|"")"),43335.0)</f>
        <v>43335</v>
      </c>
      <c r="E1164" s="2">
        <f>IFERROR(__xludf.DUMMYFUNCTION("""COMPUTED_VALUE"""),1626933.0)</f>
        <v>1626933</v>
      </c>
      <c r="F1164" s="2">
        <f>IFERROR(__xludf.DUMMYFUNCTION("""COMPUTED_VALUE"""),4704319.0)</f>
        <v>4704319</v>
      </c>
      <c r="G1164" s="2">
        <f>IFERROR(__xludf.DUMMYFUNCTION("""COMPUTED_VALUE"""),43.3249)</f>
        <v>43.3249</v>
      </c>
    </row>
    <row r="1165">
      <c r="A1165" s="1" t="s">
        <v>1164</v>
      </c>
      <c r="D1165" s="3">
        <f>IFERROR(__xludf.DUMMYFUNCTION("SPLIT(A1165, ""|"")"),43080.0)</f>
        <v>43080</v>
      </c>
      <c r="E1165" s="2">
        <f>IFERROR(__xludf.DUMMYFUNCTION("""COMPUTED_VALUE"""),273093.0)</f>
        <v>273093</v>
      </c>
      <c r="F1165" s="2">
        <f>IFERROR(__xludf.DUMMYFUNCTION("""COMPUTED_VALUE"""),4030975.0)</f>
        <v>4030975</v>
      </c>
      <c r="G1165" s="2">
        <f>IFERROR(__xludf.DUMMYFUNCTION("""COMPUTED_VALUE"""),47.4269)</f>
        <v>47.4269</v>
      </c>
    </row>
    <row r="1166">
      <c r="A1166" s="1" t="s">
        <v>1165</v>
      </c>
      <c r="D1166" s="3">
        <f>IFERROR(__xludf.DUMMYFUNCTION("SPLIT(A1166, ""|"")"),43080.0)</f>
        <v>43080</v>
      </c>
      <c r="E1166" s="2">
        <f>IFERROR(__xludf.DUMMYFUNCTION("""COMPUTED_VALUE"""),1477293.0)</f>
        <v>1477293</v>
      </c>
      <c r="F1166" s="2">
        <f>IFERROR(__xludf.DUMMYFUNCTION("""COMPUTED_VALUE"""),4030602.0)</f>
        <v>4030602</v>
      </c>
      <c r="G1166" s="2">
        <f>IFERROR(__xludf.DUMMYFUNCTION("""COMPUTED_VALUE"""),180.1413)</f>
        <v>180.1413</v>
      </c>
    </row>
    <row r="1167">
      <c r="A1167" s="1" t="s">
        <v>1166</v>
      </c>
      <c r="D1167" s="3">
        <f>IFERROR(__xludf.DUMMYFUNCTION("SPLIT(A1167, ""|"")"),43080.0)</f>
        <v>43080</v>
      </c>
      <c r="E1167" s="2">
        <f>IFERROR(__xludf.DUMMYFUNCTION("""COMPUTED_VALUE"""),1380573.0)</f>
        <v>1380573</v>
      </c>
      <c r="F1167" s="2">
        <f>IFERROR(__xludf.DUMMYFUNCTION("""COMPUTED_VALUE"""),4032266.0)</f>
        <v>4032266</v>
      </c>
      <c r="G1167" s="2">
        <f>IFERROR(__xludf.DUMMYFUNCTION("""COMPUTED_VALUE"""),35.2528)</f>
        <v>35.2528</v>
      </c>
    </row>
    <row r="1168">
      <c r="A1168" s="1" t="s">
        <v>1167</v>
      </c>
      <c r="D1168" s="3">
        <f>IFERROR(__xludf.DUMMYFUNCTION("SPLIT(A1168, ""|"")"),43080.0)</f>
        <v>43080</v>
      </c>
      <c r="E1168" s="2">
        <f>IFERROR(__xludf.DUMMYFUNCTION("""COMPUTED_VALUE"""),1477113.0)</f>
        <v>1477113</v>
      </c>
      <c r="F1168" s="2">
        <f>IFERROR(__xludf.DUMMYFUNCTION("""COMPUTED_VALUE"""),4029804.0)</f>
        <v>4029804</v>
      </c>
      <c r="G1168" s="2">
        <f>IFERROR(__xludf.DUMMYFUNCTION("""COMPUTED_VALUE"""),135.8293)</f>
        <v>135.8293</v>
      </c>
    </row>
    <row r="1169">
      <c r="A1169" s="1" t="s">
        <v>1168</v>
      </c>
      <c r="D1169" s="3">
        <f>IFERROR(__xludf.DUMMYFUNCTION("SPLIT(A1169, ""|"")"),43080.0)</f>
        <v>43080</v>
      </c>
      <c r="E1169" s="2">
        <f>IFERROR(__xludf.DUMMYFUNCTION("""COMPUTED_VALUE"""),473733.0)</f>
        <v>473733</v>
      </c>
      <c r="F1169" s="2">
        <f>IFERROR(__xludf.DUMMYFUNCTION("""COMPUTED_VALUE"""),4030154.0)</f>
        <v>4030154</v>
      </c>
      <c r="G1169" s="2">
        <f>IFERROR(__xludf.DUMMYFUNCTION("""COMPUTED_VALUE"""),43.6017)</f>
        <v>43.6017</v>
      </c>
    </row>
    <row r="1170">
      <c r="A1170" s="1" t="s">
        <v>1169</v>
      </c>
      <c r="D1170" s="3">
        <f>IFERROR(__xludf.DUMMYFUNCTION("SPLIT(A1170, ""|"")"),43080.0)</f>
        <v>43080</v>
      </c>
      <c r="E1170" s="2">
        <f>IFERROR(__xludf.DUMMYFUNCTION("""COMPUTED_VALUE"""),1316463.0)</f>
        <v>1316463</v>
      </c>
      <c r="F1170" s="2">
        <f>IFERROR(__xludf.DUMMYFUNCTION("""COMPUTED_VALUE"""),4029873.0)</f>
        <v>4029873</v>
      </c>
      <c r="G1170" s="2">
        <f>IFERROR(__xludf.DUMMYFUNCTION("""COMPUTED_VALUE"""),60.4117)</f>
        <v>60.4117</v>
      </c>
    </row>
    <row r="1171">
      <c r="A1171" s="1" t="s">
        <v>1170</v>
      </c>
      <c r="D1171" s="3">
        <f>IFERROR(__xludf.DUMMYFUNCTION("SPLIT(A1171, ""|"")"),43336.0)</f>
        <v>43336</v>
      </c>
      <c r="E1171" s="2">
        <f>IFERROR(__xludf.DUMMYFUNCTION("""COMPUTED_VALUE"""),1650423.0)</f>
        <v>1650423</v>
      </c>
      <c r="F1171" s="2">
        <f>IFERROR(__xludf.DUMMYFUNCTION("""COMPUTED_VALUE"""),4706089.0)</f>
        <v>4706089</v>
      </c>
      <c r="G1171" s="2">
        <f>IFERROR(__xludf.DUMMYFUNCTION("""COMPUTED_VALUE"""),49.394)</f>
        <v>49.394</v>
      </c>
    </row>
    <row r="1172">
      <c r="A1172" s="1" t="s">
        <v>1171</v>
      </c>
      <c r="D1172" s="3">
        <f>IFERROR(__xludf.DUMMYFUNCTION("SPLIT(A1172, ""|"")"),43336.0)</f>
        <v>43336</v>
      </c>
      <c r="E1172" s="2">
        <f>IFERROR(__xludf.DUMMYFUNCTION("""COMPUTED_VALUE"""),1433553.0)</f>
        <v>1433553</v>
      </c>
      <c r="F1172" s="2">
        <f>IFERROR(__xludf.DUMMYFUNCTION("""COMPUTED_VALUE"""),4705228.0)</f>
        <v>4705228</v>
      </c>
      <c r="G1172" s="2">
        <f>IFERROR(__xludf.DUMMYFUNCTION("""COMPUTED_VALUE"""),313.1614)</f>
        <v>313.1614</v>
      </c>
    </row>
    <row r="1173">
      <c r="A1173" s="1" t="s">
        <v>1172</v>
      </c>
      <c r="D1173" s="3">
        <f>IFERROR(__xludf.DUMMYFUNCTION("SPLIT(A1173, ""|"")"),43336.0)</f>
        <v>43336</v>
      </c>
      <c r="E1173" s="2">
        <f>IFERROR(__xludf.DUMMYFUNCTION("""COMPUTED_VALUE"""),1409553.0)</f>
        <v>1409553</v>
      </c>
      <c r="F1173" s="2">
        <f>IFERROR(__xludf.DUMMYFUNCTION("""COMPUTED_VALUE"""),4705800.0)</f>
        <v>4705800</v>
      </c>
      <c r="G1173" s="2">
        <f>IFERROR(__xludf.DUMMYFUNCTION("""COMPUTED_VALUE"""),73.3752)</f>
        <v>73.3752</v>
      </c>
    </row>
    <row r="1174">
      <c r="A1174" s="1" t="s">
        <v>1173</v>
      </c>
      <c r="D1174" s="3">
        <f>IFERROR(__xludf.DUMMYFUNCTION("SPLIT(A1174, ""|"")"),43336.0)</f>
        <v>43336</v>
      </c>
      <c r="E1174" s="2">
        <f>IFERROR(__xludf.DUMMYFUNCTION("""COMPUTED_VALUE"""),1428633.0)</f>
        <v>1428633</v>
      </c>
      <c r="F1174" s="2">
        <f>IFERROR(__xludf.DUMMYFUNCTION("""COMPUTED_VALUE"""),4706711.0)</f>
        <v>4706711</v>
      </c>
      <c r="G1174" s="2">
        <f>IFERROR(__xludf.DUMMYFUNCTION("""COMPUTED_VALUE"""),123.124)</f>
        <v>123.124</v>
      </c>
    </row>
    <row r="1175">
      <c r="A1175" s="1" t="s">
        <v>1174</v>
      </c>
      <c r="D1175" s="3">
        <f>IFERROR(__xludf.DUMMYFUNCTION("SPLIT(A1175, ""|"")"),43336.0)</f>
        <v>43336</v>
      </c>
      <c r="E1175" s="2">
        <f>IFERROR(__xludf.DUMMYFUNCTION("""COMPUTED_VALUE"""),1650513.0)</f>
        <v>1650513</v>
      </c>
      <c r="F1175" s="2">
        <f>IFERROR(__xludf.DUMMYFUNCTION("""COMPUTED_VALUE"""),4706389.0)</f>
        <v>4706389</v>
      </c>
      <c r="G1175" s="2">
        <f>IFERROR(__xludf.DUMMYFUNCTION("""COMPUTED_VALUE"""),68.6789)</f>
        <v>68.6789</v>
      </c>
    </row>
    <row r="1176">
      <c r="A1176" s="1" t="s">
        <v>1175</v>
      </c>
      <c r="D1176" s="3">
        <f>IFERROR(__xludf.DUMMYFUNCTION("SPLIT(A1176, ""|"")"),43081.0)</f>
        <v>43081</v>
      </c>
      <c r="E1176" s="2">
        <f>IFERROR(__xludf.DUMMYFUNCTION("""COMPUTED_VALUE"""),1478673.0)</f>
        <v>1478673</v>
      </c>
      <c r="F1176" s="2">
        <f>IFERROR(__xludf.DUMMYFUNCTION("""COMPUTED_VALUE"""),4035694.0)</f>
        <v>4035694</v>
      </c>
      <c r="G1176" s="2">
        <f>IFERROR(__xludf.DUMMYFUNCTION("""COMPUTED_VALUE"""),70.6282)</f>
        <v>70.6282</v>
      </c>
    </row>
    <row r="1177">
      <c r="A1177" s="1" t="s">
        <v>1176</v>
      </c>
      <c r="D1177" s="3">
        <f>IFERROR(__xludf.DUMMYFUNCTION("SPLIT(A1177, ""|"")"),43081.0)</f>
        <v>43081</v>
      </c>
      <c r="E1177" s="2">
        <f>IFERROR(__xludf.DUMMYFUNCTION("""COMPUTED_VALUE"""),1478643.0)</f>
        <v>1478643</v>
      </c>
      <c r="F1177" s="2">
        <f>IFERROR(__xludf.DUMMYFUNCTION("""COMPUTED_VALUE"""),4035510.0)</f>
        <v>4035510</v>
      </c>
      <c r="G1177" s="2">
        <f>IFERROR(__xludf.DUMMYFUNCTION("""COMPUTED_VALUE"""),56.2417)</f>
        <v>56.2417</v>
      </c>
    </row>
    <row r="1178">
      <c r="A1178" s="1" t="s">
        <v>1177</v>
      </c>
      <c r="D1178" s="3">
        <f>IFERROR(__xludf.DUMMYFUNCTION("SPLIT(A1178, ""|"")"),43081.0)</f>
        <v>43081</v>
      </c>
      <c r="E1178" s="2">
        <f>IFERROR(__xludf.DUMMYFUNCTION("""COMPUTED_VALUE"""),231843.0)</f>
        <v>231843</v>
      </c>
      <c r="F1178" s="2">
        <f>IFERROR(__xludf.DUMMYFUNCTION("""COMPUTED_VALUE"""),4033941.0)</f>
        <v>4033941</v>
      </c>
      <c r="G1178" s="2">
        <f>IFERROR(__xludf.DUMMYFUNCTION("""COMPUTED_VALUE"""),58.6119)</f>
        <v>58.6119</v>
      </c>
    </row>
    <row r="1179">
      <c r="A1179" s="1" t="s">
        <v>1178</v>
      </c>
      <c r="D1179" s="3">
        <f>IFERROR(__xludf.DUMMYFUNCTION("SPLIT(A1179, ""|"")"),43081.0)</f>
        <v>43081</v>
      </c>
      <c r="E1179" s="2">
        <f>IFERROR(__xludf.DUMMYFUNCTION("""COMPUTED_VALUE"""),1156593.0)</f>
        <v>1156593</v>
      </c>
      <c r="F1179" s="2">
        <f>IFERROR(__xludf.DUMMYFUNCTION("""COMPUTED_VALUE"""),4035703.0)</f>
        <v>4035703</v>
      </c>
      <c r="G1179" s="2">
        <f>IFERROR(__xludf.DUMMYFUNCTION("""COMPUTED_VALUE"""),41.9072)</f>
        <v>41.9072</v>
      </c>
    </row>
    <row r="1180">
      <c r="A1180" s="1" t="s">
        <v>1179</v>
      </c>
      <c r="D1180" s="3">
        <f>IFERROR(__xludf.DUMMYFUNCTION("SPLIT(A1180, ""|"")"),43081.0)</f>
        <v>43081</v>
      </c>
      <c r="E1180" s="2">
        <f>IFERROR(__xludf.DUMMYFUNCTION("""COMPUTED_VALUE"""),1399533.0)</f>
        <v>1399533</v>
      </c>
      <c r="F1180" s="2">
        <f>IFERROR(__xludf.DUMMYFUNCTION("""COMPUTED_VALUE"""),4036394.0)</f>
        <v>4036394</v>
      </c>
      <c r="G1180" s="2">
        <f>IFERROR(__xludf.DUMMYFUNCTION("""COMPUTED_VALUE"""),38.9478)</f>
        <v>38.9478</v>
      </c>
    </row>
    <row r="1181">
      <c r="A1181" s="1" t="s">
        <v>1180</v>
      </c>
      <c r="D1181" s="3">
        <f>IFERROR(__xludf.DUMMYFUNCTION("SPLIT(A1181, ""|"")"),43081.0)</f>
        <v>43081</v>
      </c>
      <c r="E1181" s="2">
        <f>IFERROR(__xludf.DUMMYFUNCTION("""COMPUTED_VALUE"""),217743.0)</f>
        <v>217743</v>
      </c>
      <c r="F1181" s="2">
        <f>IFERROR(__xludf.DUMMYFUNCTION("""COMPUTED_VALUE"""),4035852.0)</f>
        <v>4035852</v>
      </c>
      <c r="G1181" s="2">
        <f>IFERROR(__xludf.DUMMYFUNCTION("""COMPUTED_VALUE"""),91.7561999999999)</f>
        <v>91.7562</v>
      </c>
    </row>
    <row r="1182">
      <c r="A1182" s="1" t="s">
        <v>1181</v>
      </c>
      <c r="D1182" s="3">
        <f>IFERROR(__xludf.DUMMYFUNCTION("SPLIT(A1182, ""|"")"),43081.0)</f>
        <v>43081</v>
      </c>
      <c r="E1182" s="2">
        <f>IFERROR(__xludf.DUMMYFUNCTION("""COMPUTED_VALUE"""),1478823.0)</f>
        <v>1478823</v>
      </c>
      <c r="F1182" s="2">
        <f>IFERROR(__xludf.DUMMYFUNCTION("""COMPUTED_VALUE"""),4036085.0)</f>
        <v>4036085</v>
      </c>
      <c r="G1182" s="2">
        <f>IFERROR(__xludf.DUMMYFUNCTION("""COMPUTED_VALUE"""),73.1158)</f>
        <v>73.1158</v>
      </c>
    </row>
    <row r="1183">
      <c r="A1183" s="1" t="s">
        <v>1182</v>
      </c>
      <c r="D1183" s="3">
        <f>IFERROR(__xludf.DUMMYFUNCTION("SPLIT(A1183, ""|"")"),43081.0)</f>
        <v>43081</v>
      </c>
      <c r="E1183" s="2">
        <f>IFERROR(__xludf.DUMMYFUNCTION("""COMPUTED_VALUE"""),251463.0)</f>
        <v>251463</v>
      </c>
      <c r="F1183" s="2">
        <f>IFERROR(__xludf.DUMMYFUNCTION("""COMPUTED_VALUE"""),4034866.0)</f>
        <v>4034866</v>
      </c>
      <c r="G1183" s="2">
        <f>IFERROR(__xludf.DUMMYFUNCTION("""COMPUTED_VALUE"""),82.388)</f>
        <v>82.388</v>
      </c>
    </row>
    <row r="1184">
      <c r="A1184" s="1" t="s">
        <v>1183</v>
      </c>
      <c r="D1184" s="3">
        <f>IFERROR(__xludf.DUMMYFUNCTION("SPLIT(A1184, ""|"")"),43081.0)</f>
        <v>43081</v>
      </c>
      <c r="E1184" s="2">
        <f>IFERROR(__xludf.DUMMYFUNCTION("""COMPUTED_VALUE"""),1478463.0)</f>
        <v>1478463</v>
      </c>
      <c r="F1184" s="2">
        <f>IFERROR(__xludf.DUMMYFUNCTION("""COMPUTED_VALUE"""),4035032.0)</f>
        <v>4035032</v>
      </c>
      <c r="G1184" s="2">
        <f>IFERROR(__xludf.DUMMYFUNCTION("""COMPUTED_VALUE"""),42.3512)</f>
        <v>42.3512</v>
      </c>
    </row>
    <row r="1185">
      <c r="A1185" s="1" t="s">
        <v>1184</v>
      </c>
      <c r="D1185" s="3">
        <f>IFERROR(__xludf.DUMMYFUNCTION("SPLIT(A1185, ""|"")"),43337.0)</f>
        <v>43337</v>
      </c>
      <c r="E1185" s="2">
        <f>IFERROR(__xludf.DUMMYFUNCTION("""COMPUTED_VALUE"""),1304853.0)</f>
        <v>1304853</v>
      </c>
      <c r="F1185" s="2">
        <f>IFERROR(__xludf.DUMMYFUNCTION("""COMPUTED_VALUE"""),4707279.0)</f>
        <v>4707279</v>
      </c>
      <c r="G1185" s="2">
        <f>IFERROR(__xludf.DUMMYFUNCTION("""COMPUTED_VALUE"""),67.1517)</f>
        <v>67.1517</v>
      </c>
    </row>
    <row r="1186">
      <c r="A1186" s="1" t="s">
        <v>1185</v>
      </c>
      <c r="D1186" s="3">
        <f>IFERROR(__xludf.DUMMYFUNCTION("SPLIT(A1186, ""|"")"),43337.0)</f>
        <v>43337</v>
      </c>
      <c r="E1186" s="2">
        <f>IFERROR(__xludf.DUMMYFUNCTION("""COMPUTED_VALUE"""),1304793.0)</f>
        <v>1304793</v>
      </c>
      <c r="F1186" s="2">
        <f>IFERROR(__xludf.DUMMYFUNCTION("""COMPUTED_VALUE"""),4707041.0)</f>
        <v>4707041</v>
      </c>
      <c r="G1186" s="2">
        <f>IFERROR(__xludf.DUMMYFUNCTION("""COMPUTED_VALUE"""),26.3333999999999)</f>
        <v>26.3334</v>
      </c>
    </row>
    <row r="1187">
      <c r="A1187" s="1" t="s">
        <v>1186</v>
      </c>
      <c r="D1187" s="3">
        <f>IFERROR(__xludf.DUMMYFUNCTION("SPLIT(A1187, ""|"")"),43337.0)</f>
        <v>43337</v>
      </c>
      <c r="E1187" s="2">
        <f>IFERROR(__xludf.DUMMYFUNCTION("""COMPUTED_VALUE"""),1465233.0)</f>
        <v>1465233</v>
      </c>
      <c r="F1187" s="2">
        <f>IFERROR(__xludf.DUMMYFUNCTION("""COMPUTED_VALUE"""),4708468.0)</f>
        <v>4708468</v>
      </c>
      <c r="G1187" s="2">
        <f>IFERROR(__xludf.DUMMYFUNCTION("""COMPUTED_VALUE"""),114.9534)</f>
        <v>114.9534</v>
      </c>
    </row>
    <row r="1188">
      <c r="A1188" s="1" t="s">
        <v>1187</v>
      </c>
      <c r="D1188" s="3">
        <f>IFERROR(__xludf.DUMMYFUNCTION("SPLIT(A1188, ""|"")"),43337.0)</f>
        <v>43337</v>
      </c>
      <c r="E1188" s="2">
        <f>IFERROR(__xludf.DUMMYFUNCTION("""COMPUTED_VALUE"""),126813.0)</f>
        <v>126813</v>
      </c>
      <c r="F1188" s="2">
        <f>IFERROR(__xludf.DUMMYFUNCTION("""COMPUTED_VALUE"""),4707561.0)</f>
        <v>4707561</v>
      </c>
      <c r="G1188" s="2">
        <f>IFERROR(__xludf.DUMMYFUNCTION("""COMPUTED_VALUE"""),44.6137)</f>
        <v>44.6137</v>
      </c>
    </row>
    <row r="1189">
      <c r="A1189" s="1" t="s">
        <v>1188</v>
      </c>
      <c r="D1189" s="3">
        <f>IFERROR(__xludf.DUMMYFUNCTION("SPLIT(A1189, ""|"")"),43337.0)</f>
        <v>43337</v>
      </c>
      <c r="E1189" s="2">
        <f>IFERROR(__xludf.DUMMYFUNCTION("""COMPUTED_VALUE"""),1321323.0)</f>
        <v>1321323</v>
      </c>
      <c r="F1189" s="2">
        <f>IFERROR(__xludf.DUMMYFUNCTION("""COMPUTED_VALUE"""),4708079.0)</f>
        <v>4708079</v>
      </c>
      <c r="G1189" s="2">
        <f>IFERROR(__xludf.DUMMYFUNCTION("""COMPUTED_VALUE"""),32.6666)</f>
        <v>32.6666</v>
      </c>
    </row>
    <row r="1190">
      <c r="A1190" s="1" t="s">
        <v>1189</v>
      </c>
      <c r="D1190" s="3">
        <f>IFERROR(__xludf.DUMMYFUNCTION("SPLIT(A1190, ""|"")"),43337.0)</f>
        <v>43337</v>
      </c>
      <c r="E1190" s="2">
        <f>IFERROR(__xludf.DUMMYFUNCTION("""COMPUTED_VALUE"""),1128333.0)</f>
        <v>1128333</v>
      </c>
      <c r="F1190" s="2">
        <f>IFERROR(__xludf.DUMMYFUNCTION("""COMPUTED_VALUE"""),4707060.0)</f>
        <v>4707060</v>
      </c>
      <c r="G1190" s="2">
        <f>IFERROR(__xludf.DUMMYFUNCTION("""COMPUTED_VALUE"""),11.4124)</f>
        <v>11.4124</v>
      </c>
    </row>
    <row r="1191">
      <c r="A1191" s="1" t="s">
        <v>1190</v>
      </c>
      <c r="D1191" s="3">
        <f>IFERROR(__xludf.DUMMYFUNCTION("SPLIT(A1191, ""|"")"),43082.0)</f>
        <v>43082</v>
      </c>
      <c r="E1191" s="2">
        <f>IFERROR(__xludf.DUMMYFUNCTION("""COMPUTED_VALUE"""),1479873.0)</f>
        <v>1479873</v>
      </c>
      <c r="F1191" s="2">
        <f>IFERROR(__xludf.DUMMYFUNCTION("""COMPUTED_VALUE"""),4039658.0)</f>
        <v>4039658</v>
      </c>
      <c r="G1191" s="2">
        <f>IFERROR(__xludf.DUMMYFUNCTION("""COMPUTED_VALUE"""),17.4583)</f>
        <v>17.4583</v>
      </c>
    </row>
    <row r="1192">
      <c r="A1192" s="1" t="s">
        <v>1191</v>
      </c>
      <c r="D1192" s="3">
        <f>IFERROR(__xludf.DUMMYFUNCTION("SPLIT(A1192, ""|"")"),43082.0)</f>
        <v>43082</v>
      </c>
      <c r="E1192" s="2">
        <f>IFERROR(__xludf.DUMMYFUNCTION("""COMPUTED_VALUE"""),1416303.0)</f>
        <v>1416303</v>
      </c>
      <c r="F1192" s="2">
        <f>IFERROR(__xludf.DUMMYFUNCTION("""COMPUTED_VALUE"""),4040207.0)</f>
        <v>4040207</v>
      </c>
      <c r="G1192" s="2">
        <f>IFERROR(__xludf.DUMMYFUNCTION("""COMPUTED_VALUE"""),39.5811)</f>
        <v>39.5811</v>
      </c>
    </row>
    <row r="1193">
      <c r="A1193" s="1" t="s">
        <v>1192</v>
      </c>
      <c r="D1193" s="3">
        <f>IFERROR(__xludf.DUMMYFUNCTION("SPLIT(A1193, ""|"")"),43082.0)</f>
        <v>43082</v>
      </c>
      <c r="E1193" s="2">
        <f>IFERROR(__xludf.DUMMYFUNCTION("""COMPUTED_VALUE"""),278733.0)</f>
        <v>278733</v>
      </c>
      <c r="F1193" s="2">
        <f>IFERROR(__xludf.DUMMYFUNCTION("""COMPUTED_VALUE"""),4040226.0)</f>
        <v>4040226</v>
      </c>
      <c r="G1193" s="2">
        <f>IFERROR(__xludf.DUMMYFUNCTION("""COMPUTED_VALUE"""),114.988599999999)</f>
        <v>114.9886</v>
      </c>
    </row>
    <row r="1194">
      <c r="A1194" s="1" t="s">
        <v>1193</v>
      </c>
      <c r="D1194" s="3">
        <f>IFERROR(__xludf.DUMMYFUNCTION("SPLIT(A1194, ""|"")"),43082.0)</f>
        <v>43082</v>
      </c>
      <c r="E1194" s="2">
        <f>IFERROR(__xludf.DUMMYFUNCTION("""COMPUTED_VALUE"""),1261023.0)</f>
        <v>1261023</v>
      </c>
      <c r="F1194" s="2">
        <f>IFERROR(__xludf.DUMMYFUNCTION("""COMPUTED_VALUE"""),4038942.0)</f>
        <v>4038942</v>
      </c>
      <c r="G1194" s="2">
        <f>IFERROR(__xludf.DUMMYFUNCTION("""COMPUTED_VALUE"""),46.7335999999999)</f>
        <v>46.7336</v>
      </c>
    </row>
    <row r="1195">
      <c r="A1195" s="1" t="s">
        <v>1194</v>
      </c>
      <c r="D1195" s="3">
        <f>IFERROR(__xludf.DUMMYFUNCTION("SPLIT(A1195, ""|"")"),43082.0)</f>
        <v>43082</v>
      </c>
      <c r="E1195" s="2">
        <f>IFERROR(__xludf.DUMMYFUNCTION("""COMPUTED_VALUE"""),1479513.0)</f>
        <v>1479513</v>
      </c>
      <c r="F1195" s="2">
        <f>IFERROR(__xludf.DUMMYFUNCTION("""COMPUTED_VALUE"""),4038439.0)</f>
        <v>4038439</v>
      </c>
      <c r="G1195" s="2">
        <f>IFERROR(__xludf.DUMMYFUNCTION("""COMPUTED_VALUE"""),84.5131)</f>
        <v>84.5131</v>
      </c>
    </row>
    <row r="1196">
      <c r="A1196" s="1" t="s">
        <v>1195</v>
      </c>
      <c r="D1196" s="3">
        <f>IFERROR(__xludf.DUMMYFUNCTION("SPLIT(A1196, ""|"")"),43082.0)</f>
        <v>43082</v>
      </c>
      <c r="E1196" s="2">
        <f>IFERROR(__xludf.DUMMYFUNCTION("""COMPUTED_VALUE"""),1455873.0)</f>
        <v>1455873</v>
      </c>
      <c r="F1196" s="2">
        <f>IFERROR(__xludf.DUMMYFUNCTION("""COMPUTED_VALUE"""),4039501.0)</f>
        <v>4039501</v>
      </c>
      <c r="G1196" s="2">
        <f>IFERROR(__xludf.DUMMYFUNCTION("""COMPUTED_VALUE"""),71.8034)</f>
        <v>71.8034</v>
      </c>
    </row>
    <row r="1197">
      <c r="A1197" s="1" t="s">
        <v>1196</v>
      </c>
      <c r="D1197" s="3">
        <f>IFERROR(__xludf.DUMMYFUNCTION("SPLIT(A1197, ""|"")"),43082.0)</f>
        <v>43082</v>
      </c>
      <c r="E1197" s="2">
        <f>IFERROR(__xludf.DUMMYFUNCTION("""COMPUTED_VALUE"""),1407333.0)</f>
        <v>1407333</v>
      </c>
      <c r="F1197" s="2">
        <f>IFERROR(__xludf.DUMMYFUNCTION("""COMPUTED_VALUE"""),4038619.0)</f>
        <v>4038619</v>
      </c>
      <c r="G1197" s="2">
        <f>IFERROR(__xludf.DUMMYFUNCTION("""COMPUTED_VALUE"""),28.4982)</f>
        <v>28.4982</v>
      </c>
    </row>
    <row r="1198">
      <c r="A1198" s="1" t="s">
        <v>1197</v>
      </c>
      <c r="D1198" s="3">
        <f>IFERROR(__xludf.DUMMYFUNCTION("SPLIT(A1198, ""|"")"),43082.0)</f>
        <v>43082</v>
      </c>
      <c r="E1198" s="2">
        <f>IFERROR(__xludf.DUMMYFUNCTION("""COMPUTED_VALUE"""),257913.0)</f>
        <v>257913</v>
      </c>
      <c r="F1198" s="2">
        <f>IFERROR(__xludf.DUMMYFUNCTION("""COMPUTED_VALUE"""),4037617.0)</f>
        <v>4037617</v>
      </c>
      <c r="G1198" s="2">
        <f>IFERROR(__xludf.DUMMYFUNCTION("""COMPUTED_VALUE"""),101.7464)</f>
        <v>101.7464</v>
      </c>
    </row>
    <row r="1199">
      <c r="A1199" s="1" t="s">
        <v>1198</v>
      </c>
      <c r="D1199" s="3">
        <f>IFERROR(__xludf.DUMMYFUNCTION("SPLIT(A1199, ""|"")"),43082.0)</f>
        <v>43082</v>
      </c>
      <c r="E1199" s="2">
        <f>IFERROR(__xludf.DUMMYFUNCTION("""COMPUTED_VALUE"""),363183.0)</f>
        <v>363183</v>
      </c>
      <c r="F1199" s="2">
        <f>IFERROR(__xludf.DUMMYFUNCTION("""COMPUTED_VALUE"""),4038733.0)</f>
        <v>4038733</v>
      </c>
      <c r="G1199" s="2">
        <f>IFERROR(__xludf.DUMMYFUNCTION("""COMPUTED_VALUE"""),39.7919)</f>
        <v>39.7919</v>
      </c>
    </row>
    <row r="1200">
      <c r="A1200" s="1" t="s">
        <v>1199</v>
      </c>
      <c r="D1200" s="3">
        <f>IFERROR(__xludf.DUMMYFUNCTION("SPLIT(A1200, ""|"")"),43082.0)</f>
        <v>43082</v>
      </c>
      <c r="E1200" s="2">
        <f>IFERROR(__xludf.DUMMYFUNCTION("""COMPUTED_VALUE"""),1479183.0)</f>
        <v>1479183</v>
      </c>
      <c r="F1200" s="2">
        <f>IFERROR(__xludf.DUMMYFUNCTION("""COMPUTED_VALUE"""),4037370.0)</f>
        <v>4037370</v>
      </c>
      <c r="G1200" s="2">
        <f>IFERROR(__xludf.DUMMYFUNCTION("""COMPUTED_VALUE"""),56.0)</f>
        <v>56</v>
      </c>
    </row>
    <row r="1201">
      <c r="A1201" s="1" t="s">
        <v>1200</v>
      </c>
      <c r="D1201" s="3">
        <f>IFERROR(__xludf.DUMMYFUNCTION("SPLIT(A1201, ""|"")"),43082.0)</f>
        <v>43082</v>
      </c>
      <c r="E1201" s="2">
        <f>IFERROR(__xludf.DUMMYFUNCTION("""COMPUTED_VALUE"""),1479543.0)</f>
        <v>1479543</v>
      </c>
      <c r="F1201" s="2">
        <f>IFERROR(__xludf.DUMMYFUNCTION("""COMPUTED_VALUE"""),4038541.0)</f>
        <v>4038541</v>
      </c>
      <c r="G1201" s="2">
        <f>IFERROR(__xludf.DUMMYFUNCTION("""COMPUTED_VALUE"""),19.3334)</f>
        <v>19.3334</v>
      </c>
    </row>
    <row r="1202">
      <c r="A1202" s="1" t="s">
        <v>1201</v>
      </c>
      <c r="D1202" s="3">
        <f>IFERROR(__xludf.DUMMYFUNCTION("SPLIT(A1202, ""|"")"),43082.0)</f>
        <v>43082</v>
      </c>
      <c r="E1202" s="2">
        <f>IFERROR(__xludf.DUMMYFUNCTION("""COMPUTED_VALUE"""),1480083.0)</f>
        <v>1480083</v>
      </c>
      <c r="F1202" s="2">
        <f>IFERROR(__xludf.DUMMYFUNCTION("""COMPUTED_VALUE"""),4040331.0)</f>
        <v>4040331</v>
      </c>
      <c r="G1202" s="2">
        <f>IFERROR(__xludf.DUMMYFUNCTION("""COMPUTED_VALUE"""),35.825)</f>
        <v>35.825</v>
      </c>
    </row>
    <row r="1203">
      <c r="A1203" s="1" t="s">
        <v>1202</v>
      </c>
      <c r="D1203" s="3">
        <f>IFERROR(__xludf.DUMMYFUNCTION("SPLIT(A1203, ""|"")"),43338.0)</f>
        <v>43338</v>
      </c>
      <c r="E1203" s="2">
        <f>IFERROR(__xludf.DUMMYFUNCTION("""COMPUTED_VALUE"""),1341843.0)</f>
        <v>1341843</v>
      </c>
      <c r="F1203" s="2">
        <f>IFERROR(__xludf.DUMMYFUNCTION("""COMPUTED_VALUE"""),4710768.0)</f>
        <v>4710768</v>
      </c>
      <c r="G1203" s="2">
        <f>IFERROR(__xludf.DUMMYFUNCTION("""COMPUTED_VALUE"""),88.9565)</f>
        <v>88.9565</v>
      </c>
    </row>
    <row r="1204">
      <c r="A1204" s="1" t="s">
        <v>1203</v>
      </c>
      <c r="D1204" s="3">
        <f>IFERROR(__xludf.DUMMYFUNCTION("SPLIT(A1204, ""|"")"),43338.0)</f>
        <v>43338</v>
      </c>
      <c r="E1204" s="2">
        <f>IFERROR(__xludf.DUMMYFUNCTION("""COMPUTED_VALUE"""),1651563.0)</f>
        <v>1651563</v>
      </c>
      <c r="F1204" s="2">
        <f>IFERROR(__xludf.DUMMYFUNCTION("""COMPUTED_VALUE"""),4711071.0)</f>
        <v>4711071</v>
      </c>
      <c r="G1204" s="2">
        <f>IFERROR(__xludf.DUMMYFUNCTION("""COMPUTED_VALUE"""),12.1887)</f>
        <v>12.1887</v>
      </c>
    </row>
    <row r="1205">
      <c r="A1205" s="1" t="s">
        <v>1204</v>
      </c>
      <c r="D1205" s="3">
        <f>IFERROR(__xludf.DUMMYFUNCTION("SPLIT(A1205, ""|"")"),43338.0)</f>
        <v>43338</v>
      </c>
      <c r="E1205" s="2">
        <f>IFERROR(__xludf.DUMMYFUNCTION("""COMPUTED_VALUE"""),1532013.0)</f>
        <v>1532013</v>
      </c>
      <c r="F1205" s="2">
        <f>IFERROR(__xludf.DUMMYFUNCTION("""COMPUTED_VALUE"""),4709634.0)</f>
        <v>4709634</v>
      </c>
      <c r="G1205" s="2">
        <f>IFERROR(__xludf.DUMMYFUNCTION("""COMPUTED_VALUE"""),23.0128)</f>
        <v>23.0128</v>
      </c>
    </row>
    <row r="1206">
      <c r="A1206" s="1" t="s">
        <v>1205</v>
      </c>
      <c r="D1206" s="3">
        <f>IFERROR(__xludf.DUMMYFUNCTION("SPLIT(A1206, ""|"")"),43338.0)</f>
        <v>43338</v>
      </c>
      <c r="E1206" s="2">
        <f>IFERROR(__xludf.DUMMYFUNCTION("""COMPUTED_VALUE"""),1543983.0)</f>
        <v>1543983</v>
      </c>
      <c r="F1206" s="2">
        <f>IFERROR(__xludf.DUMMYFUNCTION("""COMPUTED_VALUE"""),4708898.0)</f>
        <v>4708898</v>
      </c>
      <c r="G1206" s="2">
        <f>IFERROR(__xludf.DUMMYFUNCTION("""COMPUTED_VALUE"""),63.5375)</f>
        <v>63.5375</v>
      </c>
    </row>
    <row r="1207">
      <c r="A1207" s="1" t="s">
        <v>1206</v>
      </c>
      <c r="D1207" s="3">
        <f>IFERROR(__xludf.DUMMYFUNCTION("SPLIT(A1207, ""|"")"),43338.0)</f>
        <v>43338</v>
      </c>
      <c r="E1207" s="2">
        <f>IFERROR(__xludf.DUMMYFUNCTION("""COMPUTED_VALUE"""),1651653.0)</f>
        <v>1651653</v>
      </c>
      <c r="F1207" s="2">
        <f>IFERROR(__xludf.DUMMYFUNCTION("""COMPUTED_VALUE"""),4710517.0)</f>
        <v>4710517</v>
      </c>
      <c r="G1207" s="2">
        <f>IFERROR(__xludf.DUMMYFUNCTION("""COMPUTED_VALUE"""),112.4401)</f>
        <v>112.4401</v>
      </c>
    </row>
    <row r="1208">
      <c r="A1208" s="1" t="s">
        <v>1207</v>
      </c>
      <c r="D1208" s="3">
        <f>IFERROR(__xludf.DUMMYFUNCTION("SPLIT(A1208, ""|"")"),43338.0)</f>
        <v>43338</v>
      </c>
      <c r="E1208" s="2">
        <f>IFERROR(__xludf.DUMMYFUNCTION("""COMPUTED_VALUE"""),1651263.0)</f>
        <v>1651263</v>
      </c>
      <c r="F1208" s="2">
        <f>IFERROR(__xludf.DUMMYFUNCTION("""COMPUTED_VALUE"""),4708865.0)</f>
        <v>4708865</v>
      </c>
      <c r="G1208" s="2">
        <f>IFERROR(__xludf.DUMMYFUNCTION("""COMPUTED_VALUE"""),41.8413)</f>
        <v>41.8413</v>
      </c>
    </row>
    <row r="1209">
      <c r="A1209" s="1" t="s">
        <v>1208</v>
      </c>
      <c r="D1209" s="3">
        <f>IFERROR(__xludf.DUMMYFUNCTION("SPLIT(A1209, ""|"")"),43338.0)</f>
        <v>43338</v>
      </c>
      <c r="E1209" s="2">
        <f>IFERROR(__xludf.DUMMYFUNCTION("""COMPUTED_VALUE"""),1538703.0)</f>
        <v>1538703</v>
      </c>
      <c r="F1209" s="2">
        <f>IFERROR(__xludf.DUMMYFUNCTION("""COMPUTED_VALUE"""),4709398.0)</f>
        <v>4709398</v>
      </c>
      <c r="G1209" s="2">
        <f>IFERROR(__xludf.DUMMYFUNCTION("""COMPUTED_VALUE"""),4.1879)</f>
        <v>4.1879</v>
      </c>
    </row>
    <row r="1210">
      <c r="A1210" s="1" t="s">
        <v>1209</v>
      </c>
      <c r="D1210" s="3">
        <f>IFERROR(__xludf.DUMMYFUNCTION("SPLIT(A1210, ""|"")"),43338.0)</f>
        <v>43338</v>
      </c>
      <c r="E1210" s="2">
        <f>IFERROR(__xludf.DUMMYFUNCTION("""COMPUTED_VALUE"""),1410633.0)</f>
        <v>1410633</v>
      </c>
      <c r="F1210" s="2">
        <f>IFERROR(__xludf.DUMMYFUNCTION("""COMPUTED_VALUE"""),4708943.0)</f>
        <v>4708943</v>
      </c>
      <c r="G1210" s="2">
        <f>IFERROR(__xludf.DUMMYFUNCTION("""COMPUTED_VALUE"""),97.0736)</f>
        <v>97.0736</v>
      </c>
    </row>
    <row r="1211">
      <c r="A1211" s="1" t="s">
        <v>1210</v>
      </c>
      <c r="D1211" s="3">
        <f>IFERROR(__xludf.DUMMYFUNCTION("SPLIT(A1211, ""|"")"),43338.0)</f>
        <v>43338</v>
      </c>
      <c r="E1211" s="2">
        <f>IFERROR(__xludf.DUMMYFUNCTION("""COMPUTED_VALUE"""),1165353.0)</f>
        <v>1165353</v>
      </c>
      <c r="F1211" s="2">
        <f>IFERROR(__xludf.DUMMYFUNCTION("""COMPUTED_VALUE"""),4710364.0)</f>
        <v>4710364</v>
      </c>
      <c r="G1211" s="2">
        <f>IFERROR(__xludf.DUMMYFUNCTION("""COMPUTED_VALUE"""),95.1606)</f>
        <v>95.1606</v>
      </c>
    </row>
    <row r="1212">
      <c r="A1212" s="1" t="s">
        <v>1211</v>
      </c>
      <c r="D1212" s="3">
        <f>IFERROR(__xludf.DUMMYFUNCTION("SPLIT(A1212, ""|"")"),43083.0)</f>
        <v>43083</v>
      </c>
      <c r="E1212" s="2">
        <f>IFERROR(__xludf.DUMMYFUNCTION("""COMPUTED_VALUE"""),1416123.0)</f>
        <v>1416123</v>
      </c>
      <c r="F1212" s="2">
        <f>IFERROR(__xludf.DUMMYFUNCTION("""COMPUTED_VALUE"""),4041106.0)</f>
        <v>4041106</v>
      </c>
      <c r="G1212" s="2">
        <f>IFERROR(__xludf.DUMMYFUNCTION("""COMPUTED_VALUE"""),106.0856)</f>
        <v>106.0856</v>
      </c>
    </row>
    <row r="1213">
      <c r="A1213" s="1" t="s">
        <v>1212</v>
      </c>
      <c r="D1213" s="3">
        <f>IFERROR(__xludf.DUMMYFUNCTION("SPLIT(A1213, ""|"")"),43083.0)</f>
        <v>43083</v>
      </c>
      <c r="E1213" s="2">
        <f>IFERROR(__xludf.DUMMYFUNCTION("""COMPUTED_VALUE"""),1089273.0)</f>
        <v>1089273</v>
      </c>
      <c r="F1213" s="2">
        <f>IFERROR(__xludf.DUMMYFUNCTION("""COMPUTED_VALUE"""),4040926.0)</f>
        <v>4040926</v>
      </c>
      <c r="G1213" s="2">
        <f>IFERROR(__xludf.DUMMYFUNCTION("""COMPUTED_VALUE"""),52.1)</f>
        <v>52.1</v>
      </c>
    </row>
    <row r="1214">
      <c r="A1214" s="1" t="s">
        <v>1213</v>
      </c>
      <c r="D1214" s="3">
        <f>IFERROR(__xludf.DUMMYFUNCTION("SPLIT(A1214, ""|"")"),43083.0)</f>
        <v>43083</v>
      </c>
      <c r="E1214" s="2">
        <f>IFERROR(__xludf.DUMMYFUNCTION("""COMPUTED_VALUE"""),1328943.0)</f>
        <v>1328943</v>
      </c>
      <c r="F1214" s="2">
        <f>IFERROR(__xludf.DUMMYFUNCTION("""COMPUTED_VALUE"""),4042431.0)</f>
        <v>4042431</v>
      </c>
      <c r="G1214" s="2">
        <f>IFERROR(__xludf.DUMMYFUNCTION("""COMPUTED_VALUE"""),49.7555999999999)</f>
        <v>49.7556</v>
      </c>
    </row>
    <row r="1215">
      <c r="A1215" s="1" t="s">
        <v>1214</v>
      </c>
      <c r="D1215" s="3">
        <f>IFERROR(__xludf.DUMMYFUNCTION("SPLIT(A1215, ""|"")"),43083.0)</f>
        <v>43083</v>
      </c>
      <c r="E1215" s="2">
        <f>IFERROR(__xludf.DUMMYFUNCTION("""COMPUTED_VALUE"""),1480473.0)</f>
        <v>1480473</v>
      </c>
      <c r="F1215" s="2">
        <f>IFERROR(__xludf.DUMMYFUNCTION("""COMPUTED_VALUE"""),4041967.0)</f>
        <v>4041967</v>
      </c>
      <c r="G1215" s="2">
        <f>IFERROR(__xludf.DUMMYFUNCTION("""COMPUTED_VALUE"""),31.4925)</f>
        <v>31.4925</v>
      </c>
    </row>
    <row r="1216">
      <c r="A1216" s="1" t="s">
        <v>1215</v>
      </c>
      <c r="D1216" s="3">
        <f>IFERROR(__xludf.DUMMYFUNCTION("SPLIT(A1216, ""|"")"),43083.0)</f>
        <v>43083</v>
      </c>
      <c r="E1216" s="2">
        <f>IFERROR(__xludf.DUMMYFUNCTION("""COMPUTED_VALUE"""),1480353.0)</f>
        <v>1480353</v>
      </c>
      <c r="F1216" s="2">
        <f>IFERROR(__xludf.DUMMYFUNCTION("""COMPUTED_VALUE"""),4041550.0)</f>
        <v>4041550</v>
      </c>
      <c r="G1216" s="2">
        <f>IFERROR(__xludf.DUMMYFUNCTION("""COMPUTED_VALUE"""),68.5612)</f>
        <v>68.5612</v>
      </c>
    </row>
    <row r="1217">
      <c r="A1217" s="1" t="s">
        <v>1216</v>
      </c>
      <c r="D1217" s="3">
        <f>IFERROR(__xludf.DUMMYFUNCTION("SPLIT(A1217, ""|"")"),43083.0)</f>
        <v>43083</v>
      </c>
      <c r="E1217" s="2">
        <f>IFERROR(__xludf.DUMMYFUNCTION("""COMPUTED_VALUE"""),1387113.0)</f>
        <v>1387113</v>
      </c>
      <c r="F1217" s="2">
        <f>IFERROR(__xludf.DUMMYFUNCTION("""COMPUTED_VALUE"""),4041382.0)</f>
        <v>4041382</v>
      </c>
      <c r="G1217" s="2">
        <f>IFERROR(__xludf.DUMMYFUNCTION("""COMPUTED_VALUE"""),164.142799999999)</f>
        <v>164.1428</v>
      </c>
    </row>
    <row r="1218">
      <c r="A1218" s="1" t="s">
        <v>1217</v>
      </c>
      <c r="D1218" s="3">
        <f>IFERROR(__xludf.DUMMYFUNCTION("SPLIT(A1218, ""|"")"),43339.0)</f>
        <v>43339</v>
      </c>
      <c r="E1218" s="2">
        <f>IFERROR(__xludf.DUMMYFUNCTION("""COMPUTED_VALUE"""),1077423.0)</f>
        <v>1077423</v>
      </c>
      <c r="F1218" s="2">
        <f>IFERROR(__xludf.DUMMYFUNCTION("""COMPUTED_VALUE"""),4712542.0)</f>
        <v>4712542</v>
      </c>
      <c r="G1218" s="2">
        <f>IFERROR(__xludf.DUMMYFUNCTION("""COMPUTED_VALUE"""),119.003899999999)</f>
        <v>119.0039</v>
      </c>
    </row>
    <row r="1219">
      <c r="A1219" s="1" t="s">
        <v>1218</v>
      </c>
      <c r="D1219" s="3">
        <f>IFERROR(__xludf.DUMMYFUNCTION("SPLIT(A1219, ""|"")"),43339.0)</f>
        <v>43339</v>
      </c>
      <c r="E1219" s="2">
        <f>IFERROR(__xludf.DUMMYFUNCTION("""COMPUTED_VALUE"""),1236333.0)</f>
        <v>1236333</v>
      </c>
      <c r="F1219" s="2">
        <f>IFERROR(__xludf.DUMMYFUNCTION("""COMPUTED_VALUE"""),4713823.0)</f>
        <v>4713823</v>
      </c>
      <c r="G1219" s="2">
        <f>IFERROR(__xludf.DUMMYFUNCTION("""COMPUTED_VALUE"""),102.9797)</f>
        <v>102.9797</v>
      </c>
    </row>
    <row r="1220">
      <c r="A1220" s="1" t="s">
        <v>1219</v>
      </c>
      <c r="D1220" s="3">
        <f>IFERROR(__xludf.DUMMYFUNCTION("SPLIT(A1220, ""|"")"),43339.0)</f>
        <v>43339</v>
      </c>
      <c r="E1220" s="2">
        <f>IFERROR(__xludf.DUMMYFUNCTION("""COMPUTED_VALUE"""),1291233.0)</f>
        <v>1291233</v>
      </c>
      <c r="F1220" s="2">
        <f>IFERROR(__xludf.DUMMYFUNCTION("""COMPUTED_VALUE"""),4712933.0)</f>
        <v>4712933</v>
      </c>
      <c r="G1220" s="2">
        <f>IFERROR(__xludf.DUMMYFUNCTION("""COMPUTED_VALUE"""),120.0454)</f>
        <v>120.0454</v>
      </c>
    </row>
    <row r="1221">
      <c r="A1221" s="1" t="s">
        <v>1220</v>
      </c>
      <c r="D1221" s="3">
        <f>IFERROR(__xludf.DUMMYFUNCTION("SPLIT(A1221, ""|"")"),43339.0)</f>
        <v>43339</v>
      </c>
      <c r="E1221" s="2">
        <f>IFERROR(__xludf.DUMMYFUNCTION("""COMPUTED_VALUE"""),1040313.0)</f>
        <v>1040313</v>
      </c>
      <c r="F1221" s="2">
        <f>IFERROR(__xludf.DUMMYFUNCTION("""COMPUTED_VALUE"""),4712007.0)</f>
        <v>4712007</v>
      </c>
      <c r="G1221" s="2">
        <f>IFERROR(__xludf.DUMMYFUNCTION("""COMPUTED_VALUE"""),103.644199999999)</f>
        <v>103.6442</v>
      </c>
    </row>
    <row r="1222">
      <c r="A1222" s="1" t="s">
        <v>1221</v>
      </c>
      <c r="D1222" s="3">
        <f>IFERROR(__xludf.DUMMYFUNCTION("SPLIT(A1222, ""|"")"),43339.0)</f>
        <v>43339</v>
      </c>
      <c r="E1222" s="2">
        <f>IFERROR(__xludf.DUMMYFUNCTION("""COMPUTED_VALUE"""),1652043.0)</f>
        <v>1652043</v>
      </c>
      <c r="F1222" s="2">
        <f>IFERROR(__xludf.DUMMYFUNCTION("""COMPUTED_VALUE"""),4711975.0)</f>
        <v>4711975</v>
      </c>
      <c r="G1222" s="2">
        <f>IFERROR(__xludf.DUMMYFUNCTION("""COMPUTED_VALUE"""),50.9309)</f>
        <v>50.9309</v>
      </c>
    </row>
    <row r="1223">
      <c r="A1223" s="1" t="s">
        <v>1222</v>
      </c>
      <c r="D1223" s="3">
        <f>IFERROR(__xludf.DUMMYFUNCTION("SPLIT(A1223, ""|"")"),43339.0)</f>
        <v>43339</v>
      </c>
      <c r="E1223" s="2">
        <f>IFERROR(__xludf.DUMMYFUNCTION("""COMPUTED_VALUE"""),273093.0)</f>
        <v>273093</v>
      </c>
      <c r="F1223" s="2">
        <f>IFERROR(__xludf.DUMMYFUNCTION("""COMPUTED_VALUE"""),4713264.0)</f>
        <v>4713264</v>
      </c>
      <c r="G1223" s="2">
        <f>IFERROR(__xludf.DUMMYFUNCTION("""COMPUTED_VALUE"""),96.2704)</f>
        <v>96.2704</v>
      </c>
    </row>
    <row r="1224">
      <c r="A1224" s="1" t="s">
        <v>1223</v>
      </c>
      <c r="D1224" s="3">
        <f>IFERROR(__xludf.DUMMYFUNCTION("SPLIT(A1224, ""|"")"),43339.0)</f>
        <v>43339</v>
      </c>
      <c r="E1224" s="2">
        <f>IFERROR(__xludf.DUMMYFUNCTION("""COMPUTED_VALUE"""),1575603.0)</f>
        <v>1575603</v>
      </c>
      <c r="F1224" s="2">
        <f>IFERROR(__xludf.DUMMYFUNCTION("""COMPUTED_VALUE"""),4712349.0)</f>
        <v>4712349</v>
      </c>
      <c r="G1224" s="2">
        <f>IFERROR(__xludf.DUMMYFUNCTION("""COMPUTED_VALUE"""),306.5299)</f>
        <v>306.5299</v>
      </c>
    </row>
    <row r="1225">
      <c r="A1225" s="1" t="s">
        <v>1224</v>
      </c>
      <c r="D1225" s="3">
        <f>IFERROR(__xludf.DUMMYFUNCTION("SPLIT(A1225, ""|"")"),43339.0)</f>
        <v>43339</v>
      </c>
      <c r="E1225" s="2">
        <f>IFERROR(__xludf.DUMMYFUNCTION("""COMPUTED_VALUE"""),1652463.0)</f>
        <v>1652463</v>
      </c>
      <c r="F1225" s="2">
        <f>IFERROR(__xludf.DUMMYFUNCTION("""COMPUTED_VALUE"""),4713658.0)</f>
        <v>4713658</v>
      </c>
      <c r="G1225" s="2">
        <f>IFERROR(__xludf.DUMMYFUNCTION("""COMPUTED_VALUE"""),4.9331)</f>
        <v>4.9331</v>
      </c>
    </row>
    <row r="1226">
      <c r="A1226" s="1" t="s">
        <v>1225</v>
      </c>
      <c r="D1226" s="3">
        <f>IFERROR(__xludf.DUMMYFUNCTION("SPLIT(A1226, ""|"")"),43084.0)</f>
        <v>43084</v>
      </c>
      <c r="E1226" s="2">
        <f>IFERROR(__xludf.DUMMYFUNCTION("""COMPUTED_VALUE"""),1481313.0)</f>
        <v>1481313</v>
      </c>
      <c r="F1226" s="2">
        <f>IFERROR(__xludf.DUMMYFUNCTION("""COMPUTED_VALUE"""),4045268.0)</f>
        <v>4045268</v>
      </c>
      <c r="G1226" s="2">
        <f>IFERROR(__xludf.DUMMYFUNCTION("""COMPUTED_VALUE"""),66.6)</f>
        <v>66.6</v>
      </c>
    </row>
    <row r="1227">
      <c r="A1227" s="1" t="s">
        <v>1226</v>
      </c>
      <c r="D1227" s="3">
        <f>IFERROR(__xludf.DUMMYFUNCTION("SPLIT(A1227, ""|"")"),43084.0)</f>
        <v>43084</v>
      </c>
      <c r="E1227" s="2">
        <f>IFERROR(__xludf.DUMMYFUNCTION("""COMPUTED_VALUE"""),1387113.0)</f>
        <v>1387113</v>
      </c>
      <c r="F1227" s="2">
        <f>IFERROR(__xludf.DUMMYFUNCTION("""COMPUTED_VALUE"""),4044266.0)</f>
        <v>4044266</v>
      </c>
      <c r="G1227" s="2">
        <f>IFERROR(__xludf.DUMMYFUNCTION("""COMPUTED_VALUE"""),73.1244)</f>
        <v>73.1244</v>
      </c>
    </row>
    <row r="1228">
      <c r="A1228" s="1" t="s">
        <v>1227</v>
      </c>
      <c r="D1228" s="3">
        <f>IFERROR(__xludf.DUMMYFUNCTION("SPLIT(A1228, ""|"")"),43084.0)</f>
        <v>43084</v>
      </c>
      <c r="E1228" s="2">
        <f>IFERROR(__xludf.DUMMYFUNCTION("""COMPUTED_VALUE"""),884283.0)</f>
        <v>884283</v>
      </c>
      <c r="F1228" s="2">
        <f>IFERROR(__xludf.DUMMYFUNCTION("""COMPUTED_VALUE"""),4046727.0)</f>
        <v>4046727</v>
      </c>
      <c r="G1228" s="2">
        <f>IFERROR(__xludf.DUMMYFUNCTION("""COMPUTED_VALUE"""),43.4171)</f>
        <v>43.4171</v>
      </c>
    </row>
    <row r="1229">
      <c r="A1229" s="1" t="s">
        <v>1228</v>
      </c>
      <c r="D1229" s="3">
        <f>IFERROR(__xludf.DUMMYFUNCTION("SPLIT(A1229, ""|"")"),43084.0)</f>
        <v>43084</v>
      </c>
      <c r="E1229" s="2">
        <f>IFERROR(__xludf.DUMMYFUNCTION("""COMPUTED_VALUE"""),1410633.0)</f>
        <v>1410633</v>
      </c>
      <c r="F1229" s="2">
        <f>IFERROR(__xludf.DUMMYFUNCTION("""COMPUTED_VALUE"""),4044672.0)</f>
        <v>4044672</v>
      </c>
      <c r="G1229" s="2">
        <f>IFERROR(__xludf.DUMMYFUNCTION("""COMPUTED_VALUE"""),73.5037)</f>
        <v>73.5037</v>
      </c>
    </row>
    <row r="1230">
      <c r="A1230" s="1" t="s">
        <v>1229</v>
      </c>
      <c r="D1230" s="3">
        <f>IFERROR(__xludf.DUMMYFUNCTION("SPLIT(A1230, ""|"")"),43084.0)</f>
        <v>43084</v>
      </c>
      <c r="E1230" s="2">
        <f>IFERROR(__xludf.DUMMYFUNCTION("""COMPUTED_VALUE"""),1481583.0)</f>
        <v>1481583</v>
      </c>
      <c r="F1230" s="2">
        <f>IFERROR(__xludf.DUMMYFUNCTION("""COMPUTED_VALUE"""),4046046.0)</f>
        <v>4046046</v>
      </c>
      <c r="G1230" s="2">
        <f>IFERROR(__xludf.DUMMYFUNCTION("""COMPUTED_VALUE"""),67.6144)</f>
        <v>67.6144</v>
      </c>
    </row>
    <row r="1231">
      <c r="A1231" s="1" t="s">
        <v>1230</v>
      </c>
      <c r="D1231" s="3">
        <f>IFERROR(__xludf.DUMMYFUNCTION("SPLIT(A1231, ""|"")"),43084.0)</f>
        <v>43084</v>
      </c>
      <c r="E1231" s="2">
        <f>IFERROR(__xludf.DUMMYFUNCTION("""COMPUTED_VALUE"""),392763.0)</f>
        <v>392763</v>
      </c>
      <c r="F1231" s="2">
        <f>IFERROR(__xludf.DUMMYFUNCTION("""COMPUTED_VALUE"""),4046396.0)</f>
        <v>4046396</v>
      </c>
      <c r="G1231" s="2">
        <f>IFERROR(__xludf.DUMMYFUNCTION("""COMPUTED_VALUE"""),130.4408)</f>
        <v>130.4408</v>
      </c>
    </row>
    <row r="1232">
      <c r="A1232" s="1" t="s">
        <v>1231</v>
      </c>
      <c r="D1232" s="3">
        <f>IFERROR(__xludf.DUMMYFUNCTION("SPLIT(A1232, ""|"")"),43084.0)</f>
        <v>43084</v>
      </c>
      <c r="E1232" s="2">
        <f>IFERROR(__xludf.DUMMYFUNCTION("""COMPUTED_VALUE"""),1304433.0)</f>
        <v>1304433</v>
      </c>
      <c r="F1232" s="2">
        <f>IFERROR(__xludf.DUMMYFUNCTION("""COMPUTED_VALUE"""),4045701.0)</f>
        <v>4045701</v>
      </c>
      <c r="G1232" s="2">
        <f>IFERROR(__xludf.DUMMYFUNCTION("""COMPUTED_VALUE"""),100.4021)</f>
        <v>100.4021</v>
      </c>
    </row>
    <row r="1233">
      <c r="A1233" s="1" t="s">
        <v>1232</v>
      </c>
      <c r="D1233" s="3">
        <f>IFERROR(__xludf.DUMMYFUNCTION("SPLIT(A1233, ""|"")"),43084.0)</f>
        <v>43084</v>
      </c>
      <c r="E1233" s="2">
        <f>IFERROR(__xludf.DUMMYFUNCTION("""COMPUTED_VALUE"""),1479333.0)</f>
        <v>1479333</v>
      </c>
      <c r="F1233" s="2">
        <f>IFERROR(__xludf.DUMMYFUNCTION("""COMPUTED_VALUE"""),4046499.0)</f>
        <v>4046499</v>
      </c>
      <c r="G1233" s="2">
        <f>IFERROR(__xludf.DUMMYFUNCTION("""COMPUTED_VALUE"""),16.5833)</f>
        <v>16.5833</v>
      </c>
    </row>
    <row r="1234">
      <c r="A1234" s="1" t="s">
        <v>1233</v>
      </c>
      <c r="D1234" s="3">
        <f>IFERROR(__xludf.DUMMYFUNCTION("SPLIT(A1234, ""|"")"),43084.0)</f>
        <v>43084</v>
      </c>
      <c r="E1234" s="2">
        <f>IFERROR(__xludf.DUMMYFUNCTION("""COMPUTED_VALUE"""),1262733.0)</f>
        <v>1262733</v>
      </c>
      <c r="F1234" s="2">
        <f>IFERROR(__xludf.DUMMYFUNCTION("""COMPUTED_VALUE"""),4044714.0)</f>
        <v>4044714</v>
      </c>
      <c r="G1234" s="2">
        <f>IFERROR(__xludf.DUMMYFUNCTION("""COMPUTED_VALUE"""),140.3748)</f>
        <v>140.3748</v>
      </c>
    </row>
    <row r="1235">
      <c r="A1235" s="1" t="s">
        <v>1234</v>
      </c>
      <c r="D1235" s="3">
        <f>IFERROR(__xludf.DUMMYFUNCTION("SPLIT(A1235, ""|"")"),43340.0)</f>
        <v>43340</v>
      </c>
      <c r="E1235" s="2">
        <f>IFERROR(__xludf.DUMMYFUNCTION("""COMPUTED_VALUE"""),1651503.0)</f>
        <v>1651503</v>
      </c>
      <c r="F1235" s="2">
        <f>IFERROR(__xludf.DUMMYFUNCTION("""COMPUTED_VALUE"""),4716428.0)</f>
        <v>4716428</v>
      </c>
      <c r="G1235" s="2">
        <f>IFERROR(__xludf.DUMMYFUNCTION("""COMPUTED_VALUE"""),77.3119)</f>
        <v>77.3119</v>
      </c>
    </row>
    <row r="1236">
      <c r="A1236" s="1" t="s">
        <v>1235</v>
      </c>
      <c r="D1236" s="3">
        <f>IFERROR(__xludf.DUMMYFUNCTION("SPLIT(A1236, ""|"")"),43340.0)</f>
        <v>43340</v>
      </c>
      <c r="E1236" s="2">
        <f>IFERROR(__xludf.DUMMYFUNCTION("""COMPUTED_VALUE"""),1652943.0)</f>
        <v>1652943</v>
      </c>
      <c r="F1236" s="2">
        <f>IFERROR(__xludf.DUMMYFUNCTION("""COMPUTED_VALUE"""),4715654.0)</f>
        <v>4715654</v>
      </c>
      <c r="G1236" s="2">
        <f>IFERROR(__xludf.DUMMYFUNCTION("""COMPUTED_VALUE"""),33.8264)</f>
        <v>33.8264</v>
      </c>
    </row>
    <row r="1237">
      <c r="A1237" s="1" t="s">
        <v>1236</v>
      </c>
      <c r="D1237" s="3">
        <f>IFERROR(__xludf.DUMMYFUNCTION("SPLIT(A1237, ""|"")"),43340.0)</f>
        <v>43340</v>
      </c>
      <c r="E1237" s="2">
        <f>IFERROR(__xludf.DUMMYFUNCTION("""COMPUTED_VALUE"""),1527813.0)</f>
        <v>1527813</v>
      </c>
      <c r="F1237" s="2">
        <f>IFERROR(__xludf.DUMMYFUNCTION("""COMPUTED_VALUE"""),4716784.0)</f>
        <v>4716784</v>
      </c>
      <c r="G1237" s="2">
        <f>IFERROR(__xludf.DUMMYFUNCTION("""COMPUTED_VALUE"""),64.5844)</f>
        <v>64.5844</v>
      </c>
    </row>
    <row r="1238">
      <c r="A1238" s="1" t="s">
        <v>1237</v>
      </c>
      <c r="D1238" s="3">
        <f>IFERROR(__xludf.DUMMYFUNCTION("SPLIT(A1238, ""|"")"),43340.0)</f>
        <v>43340</v>
      </c>
      <c r="E1238" s="2">
        <f>IFERROR(__xludf.DUMMYFUNCTION("""COMPUTED_VALUE"""),1652793.0)</f>
        <v>1652793</v>
      </c>
      <c r="F1238" s="2">
        <f>IFERROR(__xludf.DUMMYFUNCTION("""COMPUTED_VALUE"""),4715050.0)</f>
        <v>4715050</v>
      </c>
      <c r="G1238" s="2">
        <f>IFERROR(__xludf.DUMMYFUNCTION("""COMPUTED_VALUE"""),22.8928)</f>
        <v>22.8928</v>
      </c>
    </row>
    <row r="1239">
      <c r="A1239" s="1" t="s">
        <v>1238</v>
      </c>
      <c r="D1239" s="3">
        <f>IFERROR(__xludf.DUMMYFUNCTION("SPLIT(A1239, ""|"")"),43085.0)</f>
        <v>43085</v>
      </c>
      <c r="E1239" s="2">
        <f>IFERROR(__xludf.DUMMYFUNCTION("""COMPUTED_VALUE"""),1153263.0)</f>
        <v>1153263</v>
      </c>
      <c r="F1239" s="2">
        <f>IFERROR(__xludf.DUMMYFUNCTION("""COMPUTED_VALUE"""),4048925.0)</f>
        <v>4048925</v>
      </c>
      <c r="G1239" s="2">
        <f>IFERROR(__xludf.DUMMYFUNCTION("""COMPUTED_VALUE"""),80.2059999999999)</f>
        <v>80.206</v>
      </c>
    </row>
    <row r="1240">
      <c r="A1240" s="1" t="s">
        <v>1239</v>
      </c>
      <c r="D1240" s="3">
        <f>IFERROR(__xludf.DUMMYFUNCTION("SPLIT(A1240, ""|"")"),43085.0)</f>
        <v>43085</v>
      </c>
      <c r="E1240" s="2">
        <f>IFERROR(__xludf.DUMMYFUNCTION("""COMPUTED_VALUE"""),1436763.0)</f>
        <v>1436763</v>
      </c>
      <c r="F1240" s="2">
        <f>IFERROR(__xludf.DUMMYFUNCTION("""COMPUTED_VALUE"""),4047544.0)</f>
        <v>4047544</v>
      </c>
      <c r="G1240" s="2">
        <f>IFERROR(__xludf.DUMMYFUNCTION("""COMPUTED_VALUE"""),109.9907)</f>
        <v>109.9907</v>
      </c>
    </row>
    <row r="1241">
      <c r="A1241" s="1" t="s">
        <v>1240</v>
      </c>
      <c r="D1241" s="3">
        <f>IFERROR(__xludf.DUMMYFUNCTION("SPLIT(A1241, ""|"")"),43085.0)</f>
        <v>43085</v>
      </c>
      <c r="E1241" s="2">
        <f>IFERROR(__xludf.DUMMYFUNCTION("""COMPUTED_VALUE"""),1482513.0)</f>
        <v>1482513</v>
      </c>
      <c r="F1241" s="2">
        <f>IFERROR(__xludf.DUMMYFUNCTION("""COMPUTED_VALUE"""),4049150.0)</f>
        <v>4049150</v>
      </c>
      <c r="G1241" s="2">
        <f>IFERROR(__xludf.DUMMYFUNCTION("""COMPUTED_VALUE"""),64.4679)</f>
        <v>64.4679</v>
      </c>
    </row>
    <row r="1242">
      <c r="A1242" s="1" t="s">
        <v>1241</v>
      </c>
      <c r="D1242" s="3">
        <f>IFERROR(__xludf.DUMMYFUNCTION("SPLIT(A1242, ""|"")"),43085.0)</f>
        <v>43085</v>
      </c>
      <c r="E1242" s="2">
        <f>IFERROR(__xludf.DUMMYFUNCTION("""COMPUTED_VALUE"""),1344573.0)</f>
        <v>1344573</v>
      </c>
      <c r="F1242" s="2">
        <f>IFERROR(__xludf.DUMMYFUNCTION("""COMPUTED_VALUE"""),4047747.0)</f>
        <v>4047747</v>
      </c>
      <c r="G1242" s="2">
        <f>IFERROR(__xludf.DUMMYFUNCTION("""COMPUTED_VALUE"""),74.4776)</f>
        <v>74.4776</v>
      </c>
    </row>
    <row r="1243">
      <c r="A1243" s="1" t="s">
        <v>1242</v>
      </c>
      <c r="D1243" s="3">
        <f>IFERROR(__xludf.DUMMYFUNCTION("SPLIT(A1243, ""|"")"),43341.0)</f>
        <v>43341</v>
      </c>
      <c r="E1243" s="2">
        <f>IFERROR(__xludf.DUMMYFUNCTION("""COMPUTED_VALUE"""),1653543.0)</f>
        <v>1653543</v>
      </c>
      <c r="F1243" s="2">
        <f>IFERROR(__xludf.DUMMYFUNCTION("""COMPUTED_VALUE"""),4717887.0)</f>
        <v>4717887</v>
      </c>
      <c r="G1243" s="2">
        <f>IFERROR(__xludf.DUMMYFUNCTION("""COMPUTED_VALUE"""),19.9184)</f>
        <v>19.9184</v>
      </c>
    </row>
    <row r="1244">
      <c r="A1244" s="1" t="s">
        <v>1243</v>
      </c>
      <c r="D1244" s="3">
        <f>IFERROR(__xludf.DUMMYFUNCTION("SPLIT(A1244, ""|"")"),43341.0)</f>
        <v>43341</v>
      </c>
      <c r="E1244" s="2">
        <f>IFERROR(__xludf.DUMMYFUNCTION("""COMPUTED_VALUE"""),1296213.0)</f>
        <v>1296213</v>
      </c>
      <c r="F1244" s="2">
        <f>IFERROR(__xludf.DUMMYFUNCTION("""COMPUTED_VALUE"""),4718051.0)</f>
        <v>4718051</v>
      </c>
      <c r="G1244" s="2">
        <f>IFERROR(__xludf.DUMMYFUNCTION("""COMPUTED_VALUE"""),66.1386)</f>
        <v>66.1386</v>
      </c>
    </row>
    <row r="1245">
      <c r="A1245" s="1" t="s">
        <v>1244</v>
      </c>
      <c r="D1245" s="3">
        <f>IFERROR(__xludf.DUMMYFUNCTION("SPLIT(A1245, ""|"")"),43341.0)</f>
        <v>43341</v>
      </c>
      <c r="E1245" s="2">
        <f>IFERROR(__xludf.DUMMYFUNCTION("""COMPUTED_VALUE"""),1489683.0)</f>
        <v>1489683</v>
      </c>
      <c r="F1245" s="2">
        <f>IFERROR(__xludf.DUMMYFUNCTION("""COMPUTED_VALUE"""),4717491.0)</f>
        <v>4717491</v>
      </c>
      <c r="G1245" s="2">
        <f>IFERROR(__xludf.DUMMYFUNCTION("""COMPUTED_VALUE"""),89.8366)</f>
        <v>89.8366</v>
      </c>
    </row>
    <row r="1246">
      <c r="A1246" s="1" t="s">
        <v>1245</v>
      </c>
      <c r="D1246" s="3">
        <f>IFERROR(__xludf.DUMMYFUNCTION("SPLIT(A1246, ""|"")"),43341.0)</f>
        <v>43341</v>
      </c>
      <c r="E1246" s="2">
        <f>IFERROR(__xludf.DUMMYFUNCTION("""COMPUTED_VALUE"""),423153.0)</f>
        <v>423153</v>
      </c>
      <c r="F1246" s="2">
        <f>IFERROR(__xludf.DUMMYFUNCTION("""COMPUTED_VALUE"""),4718032.0)</f>
        <v>4718032</v>
      </c>
      <c r="G1246" s="2">
        <f>IFERROR(__xludf.DUMMYFUNCTION("""COMPUTED_VALUE"""),200.9459)</f>
        <v>200.9459</v>
      </c>
    </row>
    <row r="1247">
      <c r="A1247" s="1" t="s">
        <v>1246</v>
      </c>
      <c r="D1247" s="3">
        <f>IFERROR(__xludf.DUMMYFUNCTION("SPLIT(A1247, ""|"")"),43341.0)</f>
        <v>43341</v>
      </c>
      <c r="E1247" s="2">
        <f>IFERROR(__xludf.DUMMYFUNCTION("""COMPUTED_VALUE"""),1650663.0)</f>
        <v>1650663</v>
      </c>
      <c r="F1247" s="2">
        <f>IFERROR(__xludf.DUMMYFUNCTION("""COMPUTED_VALUE"""),4718255.0)</f>
        <v>4718255</v>
      </c>
      <c r="G1247" s="2">
        <f>IFERROR(__xludf.DUMMYFUNCTION("""COMPUTED_VALUE"""),36.8167)</f>
        <v>36.8167</v>
      </c>
    </row>
    <row r="1248">
      <c r="A1248" s="1" t="s">
        <v>1247</v>
      </c>
      <c r="D1248" s="3">
        <f>IFERROR(__xludf.DUMMYFUNCTION("SPLIT(A1248, ""|"")"),43341.0)</f>
        <v>43341</v>
      </c>
      <c r="E1248" s="2">
        <f>IFERROR(__xludf.DUMMYFUNCTION("""COMPUTED_VALUE"""),1648203.0)</f>
        <v>1648203</v>
      </c>
      <c r="F1248" s="2">
        <f>IFERROR(__xludf.DUMMYFUNCTION("""COMPUTED_VALUE"""),4717945.0)</f>
        <v>4717945</v>
      </c>
      <c r="G1248" s="2">
        <f>IFERROR(__xludf.DUMMYFUNCTION("""COMPUTED_VALUE"""),1.7747)</f>
        <v>1.7747</v>
      </c>
    </row>
    <row r="1249">
      <c r="A1249" s="1" t="s">
        <v>1248</v>
      </c>
      <c r="D1249" s="3">
        <f>IFERROR(__xludf.DUMMYFUNCTION("SPLIT(A1249, ""|"")"),43086.0)</f>
        <v>43086</v>
      </c>
      <c r="E1249" s="2">
        <f>IFERROR(__xludf.DUMMYFUNCTION("""COMPUTED_VALUE"""),430593.0)</f>
        <v>430593</v>
      </c>
      <c r="F1249" s="2">
        <f>IFERROR(__xludf.DUMMYFUNCTION("""COMPUTED_VALUE"""),4049980.0)</f>
        <v>4049980</v>
      </c>
      <c r="G1249" s="2">
        <f>IFERROR(__xludf.DUMMYFUNCTION("""COMPUTED_VALUE"""),17.8334)</f>
        <v>17.8334</v>
      </c>
    </row>
    <row r="1250">
      <c r="A1250" s="1" t="s">
        <v>1249</v>
      </c>
      <c r="D1250" s="3">
        <f>IFERROR(__xludf.DUMMYFUNCTION("SPLIT(A1250, ""|"")"),43086.0)</f>
        <v>43086</v>
      </c>
      <c r="E1250" s="2">
        <f>IFERROR(__xludf.DUMMYFUNCTION("""COMPUTED_VALUE"""),1432323.0)</f>
        <v>1432323</v>
      </c>
      <c r="F1250" s="2">
        <f>IFERROR(__xludf.DUMMYFUNCTION("""COMPUTED_VALUE"""),4052892.0)</f>
        <v>4052892</v>
      </c>
      <c r="G1250" s="2">
        <f>IFERROR(__xludf.DUMMYFUNCTION("""COMPUTED_VALUE"""),34.4492)</f>
        <v>34.4492</v>
      </c>
    </row>
    <row r="1251">
      <c r="A1251" s="1" t="s">
        <v>1250</v>
      </c>
      <c r="D1251" s="3">
        <f>IFERROR(__xludf.DUMMYFUNCTION("SPLIT(A1251, ""|"")"),43086.0)</f>
        <v>43086</v>
      </c>
      <c r="E1251" s="2">
        <f>IFERROR(__xludf.DUMMYFUNCTION("""COMPUTED_VALUE"""),1108803.0)</f>
        <v>1108803</v>
      </c>
      <c r="F1251" s="2">
        <f>IFERROR(__xludf.DUMMYFUNCTION("""COMPUTED_VALUE"""),4050451.0)</f>
        <v>4050451</v>
      </c>
      <c r="G1251" s="2">
        <f>IFERROR(__xludf.DUMMYFUNCTION("""COMPUTED_VALUE"""),20.75)</f>
        <v>20.75</v>
      </c>
    </row>
    <row r="1252">
      <c r="A1252" s="1" t="s">
        <v>1251</v>
      </c>
      <c r="D1252" s="3">
        <f>IFERROR(__xludf.DUMMYFUNCTION("SPLIT(A1252, ""|"")"),43342.0)</f>
        <v>43342</v>
      </c>
      <c r="E1252" s="2">
        <f>IFERROR(__xludf.DUMMYFUNCTION("""COMPUTED_VALUE"""),1654503.0)</f>
        <v>1654503</v>
      </c>
      <c r="F1252" s="2">
        <f>IFERROR(__xludf.DUMMYFUNCTION("""COMPUTED_VALUE"""),4721522.0)</f>
        <v>4721522</v>
      </c>
      <c r="G1252" s="2">
        <f>IFERROR(__xludf.DUMMYFUNCTION("""COMPUTED_VALUE"""),43.4251)</f>
        <v>43.4251</v>
      </c>
    </row>
    <row r="1253">
      <c r="A1253" s="1" t="s">
        <v>1252</v>
      </c>
      <c r="D1253" s="3">
        <f>IFERROR(__xludf.DUMMYFUNCTION("SPLIT(A1253, ""|"")"),43342.0)</f>
        <v>43342</v>
      </c>
      <c r="E1253" s="2">
        <f>IFERROR(__xludf.DUMMYFUNCTION("""COMPUTED_VALUE"""),1653453.0)</f>
        <v>1653453</v>
      </c>
      <c r="F1253" s="2">
        <f>IFERROR(__xludf.DUMMYFUNCTION("""COMPUTED_VALUE"""),4720313.0)</f>
        <v>4720313</v>
      </c>
      <c r="G1253" s="2">
        <f>IFERROR(__xludf.DUMMYFUNCTION("""COMPUTED_VALUE"""),65.6715)</f>
        <v>65.6715</v>
      </c>
    </row>
    <row r="1254">
      <c r="A1254" s="1" t="s">
        <v>1253</v>
      </c>
      <c r="D1254" s="3">
        <f>IFERROR(__xludf.DUMMYFUNCTION("SPLIT(A1254, ""|"")"),43342.0)</f>
        <v>43342</v>
      </c>
      <c r="E1254" s="2">
        <f>IFERROR(__xludf.DUMMYFUNCTION("""COMPUTED_VALUE"""),223263.0)</f>
        <v>223263</v>
      </c>
      <c r="F1254" s="2">
        <f>IFERROR(__xludf.DUMMYFUNCTION("""COMPUTED_VALUE"""),4721420.0)</f>
        <v>4721420</v>
      </c>
      <c r="G1254" s="2">
        <f>IFERROR(__xludf.DUMMYFUNCTION("""COMPUTED_VALUE"""),62.1088)</f>
        <v>62.1088</v>
      </c>
    </row>
    <row r="1255">
      <c r="A1255" s="1" t="s">
        <v>1254</v>
      </c>
      <c r="D1255" s="3">
        <f>IFERROR(__xludf.DUMMYFUNCTION("SPLIT(A1255, ""|"")"),43342.0)</f>
        <v>43342</v>
      </c>
      <c r="E1255" s="2">
        <f>IFERROR(__xludf.DUMMYFUNCTION("""COMPUTED_VALUE"""),1177893.0)</f>
        <v>1177893</v>
      </c>
      <c r="F1255" s="2">
        <f>IFERROR(__xludf.DUMMYFUNCTION("""COMPUTED_VALUE"""),4719901.0)</f>
        <v>4719901</v>
      </c>
      <c r="G1255" s="2">
        <f>IFERROR(__xludf.DUMMYFUNCTION("""COMPUTED_VALUE"""),61.2939)</f>
        <v>61.2939</v>
      </c>
    </row>
    <row r="1256">
      <c r="A1256" s="1" t="s">
        <v>1255</v>
      </c>
      <c r="D1256" s="3">
        <f>IFERROR(__xludf.DUMMYFUNCTION("SPLIT(A1256, ""|"")"),43342.0)</f>
        <v>43342</v>
      </c>
      <c r="E1256" s="2">
        <f>IFERROR(__xludf.DUMMYFUNCTION("""COMPUTED_VALUE"""),415293.0)</f>
        <v>415293</v>
      </c>
      <c r="F1256" s="2">
        <f>IFERROR(__xludf.DUMMYFUNCTION("""COMPUTED_VALUE"""),4720515.0)</f>
        <v>4720515</v>
      </c>
      <c r="G1256" s="2">
        <f>IFERROR(__xludf.DUMMYFUNCTION("""COMPUTED_VALUE"""),62.6250999999999)</f>
        <v>62.6251</v>
      </c>
    </row>
    <row r="1257">
      <c r="A1257" s="1" t="s">
        <v>1256</v>
      </c>
      <c r="D1257" s="3">
        <f>IFERROR(__xludf.DUMMYFUNCTION("SPLIT(A1257, ""|"")"),43342.0)</f>
        <v>43342</v>
      </c>
      <c r="E1257" s="2">
        <f>IFERROR(__xludf.DUMMYFUNCTION("""COMPUTED_VALUE"""),1323693.0)</f>
        <v>1323693</v>
      </c>
      <c r="F1257" s="2">
        <f>IFERROR(__xludf.DUMMYFUNCTION("""COMPUTED_VALUE"""),4721442.0)</f>
        <v>4721442</v>
      </c>
      <c r="G1257" s="2">
        <f>IFERROR(__xludf.DUMMYFUNCTION("""COMPUTED_VALUE"""),116.8635)</f>
        <v>116.8635</v>
      </c>
    </row>
    <row r="1258">
      <c r="A1258" s="1" t="s">
        <v>1257</v>
      </c>
      <c r="D1258" s="3">
        <f>IFERROR(__xludf.DUMMYFUNCTION("SPLIT(A1258, ""|"")"),43087.0)</f>
        <v>43087</v>
      </c>
      <c r="E1258" s="2">
        <f>IFERROR(__xludf.DUMMYFUNCTION("""COMPUTED_VALUE"""),1039983.0)</f>
        <v>1039983</v>
      </c>
      <c r="F1258" s="2">
        <f>IFERROR(__xludf.DUMMYFUNCTION("""COMPUTED_VALUE"""),4055761.0)</f>
        <v>4055761</v>
      </c>
      <c r="G1258" s="2">
        <f>IFERROR(__xludf.DUMMYFUNCTION("""COMPUTED_VALUE"""),106.6177)</f>
        <v>106.6177</v>
      </c>
    </row>
    <row r="1259">
      <c r="A1259" s="1" t="s">
        <v>1258</v>
      </c>
      <c r="D1259" s="3">
        <f>IFERROR(__xludf.DUMMYFUNCTION("SPLIT(A1259, ""|"")"),43087.0)</f>
        <v>43087</v>
      </c>
      <c r="E1259" s="2">
        <f>IFERROR(__xludf.DUMMYFUNCTION("""COMPUTED_VALUE"""),1433553.0)</f>
        <v>1433553</v>
      </c>
      <c r="F1259" s="2">
        <f>IFERROR(__xludf.DUMMYFUNCTION("""COMPUTED_VALUE"""),4054891.0)</f>
        <v>4054891</v>
      </c>
      <c r="G1259" s="2">
        <f>IFERROR(__xludf.DUMMYFUNCTION("""COMPUTED_VALUE"""),78.0144)</f>
        <v>78.0144</v>
      </c>
    </row>
    <row r="1260">
      <c r="A1260" s="1" t="s">
        <v>1259</v>
      </c>
      <c r="D1260" s="3">
        <f>IFERROR(__xludf.DUMMYFUNCTION("SPLIT(A1260, ""|"")"),43087.0)</f>
        <v>43087</v>
      </c>
      <c r="E1260" s="2">
        <f>IFERROR(__xludf.DUMMYFUNCTION("""COMPUTED_VALUE"""),1319373.0)</f>
        <v>1319373</v>
      </c>
      <c r="F1260" s="2">
        <f>IFERROR(__xludf.DUMMYFUNCTION("""COMPUTED_VALUE"""),4056365.0)</f>
        <v>4056365</v>
      </c>
      <c r="G1260" s="2">
        <f>IFERROR(__xludf.DUMMYFUNCTION("""COMPUTED_VALUE"""),86.6658)</f>
        <v>86.6658</v>
      </c>
    </row>
    <row r="1261">
      <c r="A1261" s="1" t="s">
        <v>1260</v>
      </c>
      <c r="D1261" s="3">
        <f>IFERROR(__xludf.DUMMYFUNCTION("SPLIT(A1261, ""|"")"),43087.0)</f>
        <v>43087</v>
      </c>
      <c r="E1261" s="2">
        <f>IFERROR(__xludf.DUMMYFUNCTION("""COMPUTED_VALUE"""),1427553.0)</f>
        <v>1427553</v>
      </c>
      <c r="F1261" s="2">
        <f>IFERROR(__xludf.DUMMYFUNCTION("""COMPUTED_VALUE"""),4055694.0)</f>
        <v>4055694</v>
      </c>
      <c r="G1261" s="2">
        <f>IFERROR(__xludf.DUMMYFUNCTION("""COMPUTED_VALUE"""),62.26)</f>
        <v>62.26</v>
      </c>
    </row>
    <row r="1262">
      <c r="A1262" s="1" t="s">
        <v>1261</v>
      </c>
      <c r="D1262" s="3">
        <f>IFERROR(__xludf.DUMMYFUNCTION("SPLIT(A1262, ""|"")"),43087.0)</f>
        <v>43087</v>
      </c>
      <c r="E1262" s="2">
        <f>IFERROR(__xludf.DUMMYFUNCTION("""COMPUTED_VALUE"""),1223523.0)</f>
        <v>1223523</v>
      </c>
      <c r="F1262" s="2">
        <f>IFERROR(__xludf.DUMMYFUNCTION("""COMPUTED_VALUE"""),4054052.0)</f>
        <v>4054052</v>
      </c>
      <c r="G1262" s="2">
        <f>IFERROR(__xludf.DUMMYFUNCTION("""COMPUTED_VALUE"""),98.8087999999999)</f>
        <v>98.8088</v>
      </c>
    </row>
    <row r="1263">
      <c r="A1263" s="1" t="s">
        <v>1262</v>
      </c>
      <c r="D1263" s="3">
        <f>IFERROR(__xludf.DUMMYFUNCTION("SPLIT(A1263, ""|"")"),43087.0)</f>
        <v>43087</v>
      </c>
      <c r="E1263" s="2">
        <f>IFERROR(__xludf.DUMMYFUNCTION("""COMPUTED_VALUE"""),1405383.0)</f>
        <v>1405383</v>
      </c>
      <c r="F1263" s="2">
        <f>IFERROR(__xludf.DUMMYFUNCTION("""COMPUTED_VALUE"""),4054576.0)</f>
        <v>4054576</v>
      </c>
      <c r="G1263" s="2">
        <f>IFERROR(__xludf.DUMMYFUNCTION("""COMPUTED_VALUE"""),43.05)</f>
        <v>43.05</v>
      </c>
    </row>
    <row r="1264">
      <c r="A1264" s="1" t="s">
        <v>1263</v>
      </c>
      <c r="D1264" s="3">
        <f>IFERROR(__xludf.DUMMYFUNCTION("SPLIT(A1264, ""|"")"),43087.0)</f>
        <v>43087</v>
      </c>
      <c r="E1264" s="2">
        <f>IFERROR(__xludf.DUMMYFUNCTION("""COMPUTED_VALUE"""),1366413.0)</f>
        <v>1366413</v>
      </c>
      <c r="F1264" s="2">
        <f>IFERROR(__xludf.DUMMYFUNCTION("""COMPUTED_VALUE"""),4053912.0)</f>
        <v>4053912</v>
      </c>
      <c r="G1264" s="2">
        <f>IFERROR(__xludf.DUMMYFUNCTION("""COMPUTED_VALUE"""),18.9779)</f>
        <v>18.9779</v>
      </c>
    </row>
    <row r="1265">
      <c r="A1265" s="1" t="s">
        <v>1264</v>
      </c>
      <c r="D1265" s="3">
        <f>IFERROR(__xludf.DUMMYFUNCTION("SPLIT(A1265, ""|"")"),43087.0)</f>
        <v>43087</v>
      </c>
      <c r="E1265" s="2">
        <f>IFERROR(__xludf.DUMMYFUNCTION("""COMPUTED_VALUE"""),1144893.0)</f>
        <v>1144893</v>
      </c>
      <c r="F1265" s="2">
        <f>IFERROR(__xludf.DUMMYFUNCTION("""COMPUTED_VALUE"""),4056113.0)</f>
        <v>4056113</v>
      </c>
      <c r="G1265" s="2">
        <f>IFERROR(__xludf.DUMMYFUNCTION("""COMPUTED_VALUE"""),58.7422)</f>
        <v>58.7422</v>
      </c>
    </row>
    <row r="1266">
      <c r="A1266" s="1" t="s">
        <v>1265</v>
      </c>
      <c r="D1266" s="3">
        <f>IFERROR(__xludf.DUMMYFUNCTION("SPLIT(A1266, ""|"")"),43087.0)</f>
        <v>43087</v>
      </c>
      <c r="E1266" s="2">
        <f>IFERROR(__xludf.DUMMYFUNCTION("""COMPUTED_VALUE"""),1483833.0)</f>
        <v>1483833</v>
      </c>
      <c r="F1266" s="2">
        <f>IFERROR(__xludf.DUMMYFUNCTION("""COMPUTED_VALUE"""),4053752.0)</f>
        <v>4053752</v>
      </c>
      <c r="G1266" s="2">
        <f>IFERROR(__xludf.DUMMYFUNCTION("""COMPUTED_VALUE"""),109.2848)</f>
        <v>109.2848</v>
      </c>
    </row>
    <row r="1267">
      <c r="A1267" s="1" t="s">
        <v>1266</v>
      </c>
      <c r="D1267" s="3">
        <f>IFERROR(__xludf.DUMMYFUNCTION("SPLIT(A1267, ""|"")"),43343.0)</f>
        <v>43343</v>
      </c>
      <c r="E1267" s="2">
        <f>IFERROR(__xludf.DUMMYFUNCTION("""COMPUTED_VALUE"""),20583.0)</f>
        <v>20583</v>
      </c>
      <c r="F1267" s="2">
        <f>IFERROR(__xludf.DUMMYFUNCTION("""COMPUTED_VALUE"""),4723625.0)</f>
        <v>4723625</v>
      </c>
      <c r="G1267" s="2">
        <f>IFERROR(__xludf.DUMMYFUNCTION("""COMPUTED_VALUE"""),34.7652999999999)</f>
        <v>34.7653</v>
      </c>
    </row>
    <row r="1268">
      <c r="A1268" s="1" t="s">
        <v>1267</v>
      </c>
      <c r="D1268" s="3">
        <f>IFERROR(__xludf.DUMMYFUNCTION("SPLIT(A1268, ""|"")"),43343.0)</f>
        <v>43343</v>
      </c>
      <c r="E1268" s="2">
        <f>IFERROR(__xludf.DUMMYFUNCTION("""COMPUTED_VALUE"""),1035903.0)</f>
        <v>1035903</v>
      </c>
      <c r="F1268" s="2">
        <f>IFERROR(__xludf.DUMMYFUNCTION("""COMPUTED_VALUE"""),4723065.0)</f>
        <v>4723065</v>
      </c>
      <c r="G1268" s="2">
        <f>IFERROR(__xludf.DUMMYFUNCTION("""COMPUTED_VALUE"""),21.1685999999999)</f>
        <v>21.1686</v>
      </c>
    </row>
    <row r="1269">
      <c r="A1269" s="1" t="s">
        <v>1268</v>
      </c>
      <c r="D1269" s="3">
        <f>IFERROR(__xludf.DUMMYFUNCTION("SPLIT(A1269, ""|"")"),43343.0)</f>
        <v>43343</v>
      </c>
      <c r="E1269" s="2">
        <f>IFERROR(__xludf.DUMMYFUNCTION("""COMPUTED_VALUE"""),338793.0)</f>
        <v>338793</v>
      </c>
      <c r="F1269" s="2">
        <f>IFERROR(__xludf.DUMMYFUNCTION("""COMPUTED_VALUE"""),4723643.0)</f>
        <v>4723643</v>
      </c>
      <c r="G1269" s="2">
        <f>IFERROR(__xludf.DUMMYFUNCTION("""COMPUTED_VALUE"""),94.1856)</f>
        <v>94.1856</v>
      </c>
    </row>
    <row r="1270">
      <c r="A1270" s="1" t="s">
        <v>1269</v>
      </c>
      <c r="D1270" s="3">
        <f>IFERROR(__xludf.DUMMYFUNCTION("SPLIT(A1270, ""|"")"),43343.0)</f>
        <v>43343</v>
      </c>
      <c r="E1270" s="2">
        <f>IFERROR(__xludf.DUMMYFUNCTION("""COMPUTED_VALUE"""),1644393.0)</f>
        <v>1644393</v>
      </c>
      <c r="F1270" s="2">
        <f>IFERROR(__xludf.DUMMYFUNCTION("""COMPUTED_VALUE"""),4723271.0)</f>
        <v>4723271</v>
      </c>
      <c r="G1270" s="2">
        <f>IFERROR(__xludf.DUMMYFUNCTION("""COMPUTED_VALUE"""),41.7446)</f>
        <v>41.7446</v>
      </c>
    </row>
    <row r="1271">
      <c r="A1271" s="1" t="s">
        <v>1270</v>
      </c>
      <c r="D1271" s="3">
        <f>IFERROR(__xludf.DUMMYFUNCTION("SPLIT(A1271, ""|"")"),43343.0)</f>
        <v>43343</v>
      </c>
      <c r="E1271" s="2">
        <f>IFERROR(__xludf.DUMMYFUNCTION("""COMPUTED_VALUE"""),1223523.0)</f>
        <v>1223523</v>
      </c>
      <c r="F1271" s="2">
        <f>IFERROR(__xludf.DUMMYFUNCTION("""COMPUTED_VALUE"""),4723157.0)</f>
        <v>4723157</v>
      </c>
      <c r="G1271" s="2">
        <f>IFERROR(__xludf.DUMMYFUNCTION("""COMPUTED_VALUE"""),103.7813)</f>
        <v>103.7813</v>
      </c>
    </row>
    <row r="1272">
      <c r="A1272" s="1" t="s">
        <v>1271</v>
      </c>
      <c r="D1272" s="3">
        <f>IFERROR(__xludf.DUMMYFUNCTION("SPLIT(A1272, ""|"")"),43343.0)</f>
        <v>43343</v>
      </c>
      <c r="E1272" s="2">
        <f>IFERROR(__xludf.DUMMYFUNCTION("""COMPUTED_VALUE"""),1655163.0)</f>
        <v>1655163</v>
      </c>
      <c r="F1272" s="2">
        <f>IFERROR(__xludf.DUMMYFUNCTION("""COMPUTED_VALUE"""),4723918.0)</f>
        <v>4723918</v>
      </c>
      <c r="G1272" s="2">
        <f>IFERROR(__xludf.DUMMYFUNCTION("""COMPUTED_VALUE"""),35.6034)</f>
        <v>35.6034</v>
      </c>
    </row>
    <row r="1273">
      <c r="A1273" s="1" t="s">
        <v>1272</v>
      </c>
      <c r="D1273" s="3">
        <f>IFERROR(__xludf.DUMMYFUNCTION("SPLIT(A1273, ""|"")"),43088.0)</f>
        <v>43088</v>
      </c>
      <c r="E1273" s="2">
        <f>IFERROR(__xludf.DUMMYFUNCTION("""COMPUTED_VALUE"""),1256073.0)</f>
        <v>1256073</v>
      </c>
      <c r="F1273" s="2">
        <f>IFERROR(__xludf.DUMMYFUNCTION("""COMPUTED_VALUE"""),4057974.0)</f>
        <v>4057974</v>
      </c>
      <c r="G1273" s="2">
        <f>IFERROR(__xludf.DUMMYFUNCTION("""COMPUTED_VALUE"""),26.4738)</f>
        <v>26.4738</v>
      </c>
    </row>
    <row r="1274">
      <c r="A1274" s="1" t="s">
        <v>1273</v>
      </c>
      <c r="D1274" s="3">
        <f>IFERROR(__xludf.DUMMYFUNCTION("SPLIT(A1274, ""|"")"),43088.0)</f>
        <v>43088</v>
      </c>
      <c r="E1274" s="2">
        <f>IFERROR(__xludf.DUMMYFUNCTION("""COMPUTED_VALUE"""),1485003.0)</f>
        <v>1485003</v>
      </c>
      <c r="F1274" s="2">
        <f>IFERROR(__xludf.DUMMYFUNCTION("""COMPUTED_VALUE"""),4058566.0)</f>
        <v>4058566</v>
      </c>
      <c r="G1274" s="2">
        <f>IFERROR(__xludf.DUMMYFUNCTION("""COMPUTED_VALUE"""),19.4334)</f>
        <v>19.4334</v>
      </c>
    </row>
    <row r="1275">
      <c r="A1275" s="1" t="s">
        <v>1274</v>
      </c>
      <c r="D1275" s="3">
        <f>IFERROR(__xludf.DUMMYFUNCTION("SPLIT(A1275, ""|"")"),43088.0)</f>
        <v>43088</v>
      </c>
      <c r="E1275" s="2">
        <f>IFERROR(__xludf.DUMMYFUNCTION("""COMPUTED_VALUE"""),1423773.0)</f>
        <v>1423773</v>
      </c>
      <c r="F1275" s="2">
        <f>IFERROR(__xludf.DUMMYFUNCTION("""COMPUTED_VALUE"""),4058295.0)</f>
        <v>4058295</v>
      </c>
      <c r="G1275" s="2">
        <f>IFERROR(__xludf.DUMMYFUNCTION("""COMPUTED_VALUE"""),81.928)</f>
        <v>81.928</v>
      </c>
    </row>
    <row r="1276">
      <c r="A1276" s="1" t="s">
        <v>1275</v>
      </c>
      <c r="D1276" s="3">
        <f>IFERROR(__xludf.DUMMYFUNCTION("SPLIT(A1276, ""|"")"),43088.0)</f>
        <v>43088</v>
      </c>
      <c r="E1276" s="2">
        <f>IFERROR(__xludf.DUMMYFUNCTION("""COMPUTED_VALUE"""),935073.0)</f>
        <v>935073</v>
      </c>
      <c r="F1276" s="2">
        <f>IFERROR(__xludf.DUMMYFUNCTION("""COMPUTED_VALUE"""),4057543.0)</f>
        <v>4057543</v>
      </c>
      <c r="G1276" s="2">
        <f>IFERROR(__xludf.DUMMYFUNCTION("""COMPUTED_VALUE"""),70.125)</f>
        <v>70.125</v>
      </c>
    </row>
    <row r="1277">
      <c r="A1277" s="1" t="s">
        <v>1276</v>
      </c>
      <c r="D1277" s="3">
        <f>IFERROR(__xludf.DUMMYFUNCTION("SPLIT(A1277, ""|"")"),43088.0)</f>
        <v>43088</v>
      </c>
      <c r="E1277" s="2">
        <f>IFERROR(__xludf.DUMMYFUNCTION("""COMPUTED_VALUE"""),1484733.0)</f>
        <v>1484733</v>
      </c>
      <c r="F1277" s="2">
        <f>IFERROR(__xludf.DUMMYFUNCTION("""COMPUTED_VALUE"""),4057291.0)</f>
        <v>4057291</v>
      </c>
      <c r="G1277" s="2">
        <f>IFERROR(__xludf.DUMMYFUNCTION("""COMPUTED_VALUE"""),122.8125)</f>
        <v>122.8125</v>
      </c>
    </row>
    <row r="1278">
      <c r="A1278" s="1" t="s">
        <v>1277</v>
      </c>
      <c r="D1278" s="3">
        <f>IFERROR(__xludf.DUMMYFUNCTION("SPLIT(A1278, ""|"")"),43344.0)</f>
        <v>43344</v>
      </c>
      <c r="E1278" s="2">
        <f>IFERROR(__xludf.DUMMYFUNCTION("""COMPUTED_VALUE"""),1655673.0)</f>
        <v>1655673</v>
      </c>
      <c r="F1278" s="2">
        <f>IFERROR(__xludf.DUMMYFUNCTION("""COMPUTED_VALUE"""),4725562.0)</f>
        <v>4725562</v>
      </c>
      <c r="G1278" s="2">
        <f>IFERROR(__xludf.DUMMYFUNCTION("""COMPUTED_VALUE"""),98.9787)</f>
        <v>98.9787</v>
      </c>
    </row>
    <row r="1279">
      <c r="A1279" s="1" t="s">
        <v>1278</v>
      </c>
      <c r="D1279" s="3">
        <f>IFERROR(__xludf.DUMMYFUNCTION("SPLIT(A1279, ""|"")"),43344.0)</f>
        <v>43344</v>
      </c>
      <c r="E1279" s="2">
        <f>IFERROR(__xludf.DUMMYFUNCTION("""COMPUTED_VALUE"""),1215273.0)</f>
        <v>1215273</v>
      </c>
      <c r="F1279" s="2">
        <f>IFERROR(__xludf.DUMMYFUNCTION("""COMPUTED_VALUE"""),4725220.0)</f>
        <v>4725220</v>
      </c>
      <c r="G1279" s="2">
        <f>IFERROR(__xludf.DUMMYFUNCTION("""COMPUTED_VALUE"""),48.3071)</f>
        <v>48.3071</v>
      </c>
    </row>
    <row r="1280">
      <c r="A1280" s="1" t="s">
        <v>1279</v>
      </c>
      <c r="D1280" s="3">
        <f>IFERROR(__xludf.DUMMYFUNCTION("SPLIT(A1280, ""|"")"),43344.0)</f>
        <v>43344</v>
      </c>
      <c r="E1280" s="2">
        <f>IFERROR(__xludf.DUMMYFUNCTION("""COMPUTED_VALUE"""),1655643.0)</f>
        <v>1655643</v>
      </c>
      <c r="F1280" s="2">
        <f>IFERROR(__xludf.DUMMYFUNCTION("""COMPUTED_VALUE"""),4725481.0)</f>
        <v>4725481</v>
      </c>
      <c r="G1280" s="2">
        <f>IFERROR(__xludf.DUMMYFUNCTION("""COMPUTED_VALUE"""),19.6368)</f>
        <v>19.6368</v>
      </c>
    </row>
    <row r="1281">
      <c r="A1281" s="1" t="s">
        <v>1280</v>
      </c>
      <c r="D1281" s="3">
        <f>IFERROR(__xludf.DUMMYFUNCTION("SPLIT(A1281, ""|"")"),43344.0)</f>
        <v>43344</v>
      </c>
      <c r="E1281" s="2">
        <f>IFERROR(__xludf.DUMMYFUNCTION("""COMPUTED_VALUE"""),1543983.0)</f>
        <v>1543983</v>
      </c>
      <c r="F1281" s="2">
        <f>IFERROR(__xludf.DUMMYFUNCTION("""COMPUTED_VALUE"""),4726107.0)</f>
        <v>4726107</v>
      </c>
      <c r="G1281" s="2">
        <f>IFERROR(__xludf.DUMMYFUNCTION("""COMPUTED_VALUE"""),61.3664)</f>
        <v>61.3664</v>
      </c>
    </row>
    <row r="1282">
      <c r="A1282" s="1" t="s">
        <v>1281</v>
      </c>
      <c r="D1282" s="3">
        <f>IFERROR(__xludf.DUMMYFUNCTION("SPLIT(A1282, ""|"")"),43344.0)</f>
        <v>43344</v>
      </c>
      <c r="E1282" s="2">
        <f>IFERROR(__xludf.DUMMYFUNCTION("""COMPUTED_VALUE"""),1214823.0)</f>
        <v>1214823</v>
      </c>
      <c r="F1282" s="2">
        <f>IFERROR(__xludf.DUMMYFUNCTION("""COMPUTED_VALUE"""),4725005.0)</f>
        <v>4725005</v>
      </c>
      <c r="G1282" s="2">
        <f>IFERROR(__xludf.DUMMYFUNCTION("""COMPUTED_VALUE"""),67.6469)</f>
        <v>67.6469</v>
      </c>
    </row>
    <row r="1283">
      <c r="A1283" s="1" t="s">
        <v>1282</v>
      </c>
      <c r="D1283" s="3">
        <f>IFERROR(__xludf.DUMMYFUNCTION("SPLIT(A1283, ""|"")"),43344.0)</f>
        <v>43344</v>
      </c>
      <c r="E1283" s="2">
        <f>IFERROR(__xludf.DUMMYFUNCTION("""COMPUTED_VALUE"""),1348683.0)</f>
        <v>1348683</v>
      </c>
      <c r="F1283" s="2">
        <f>IFERROR(__xludf.DUMMYFUNCTION("""COMPUTED_VALUE"""),4724957.0)</f>
        <v>4724957</v>
      </c>
      <c r="G1283" s="2">
        <f>IFERROR(__xludf.DUMMYFUNCTION("""COMPUTED_VALUE"""),61.4242)</f>
        <v>61.4242</v>
      </c>
    </row>
    <row r="1284">
      <c r="A1284" s="1" t="s">
        <v>1283</v>
      </c>
      <c r="D1284" s="3">
        <f>IFERROR(__xludf.DUMMYFUNCTION("SPLIT(A1284, ""|"")"),43344.0)</f>
        <v>43344</v>
      </c>
      <c r="E1284" s="2">
        <f>IFERROR(__xludf.DUMMYFUNCTION("""COMPUTED_VALUE"""),1595253.0)</f>
        <v>1595253</v>
      </c>
      <c r="F1284" s="2">
        <f>IFERROR(__xludf.DUMMYFUNCTION("""COMPUTED_VALUE"""),4725124.0)</f>
        <v>4725124</v>
      </c>
      <c r="G1284" s="2">
        <f>IFERROR(__xludf.DUMMYFUNCTION("""COMPUTED_VALUE"""),48.7123)</f>
        <v>48.7123</v>
      </c>
    </row>
    <row r="1285">
      <c r="A1285" s="1" t="s">
        <v>1284</v>
      </c>
      <c r="D1285" s="3">
        <f>IFERROR(__xludf.DUMMYFUNCTION("SPLIT(A1285, ""|"")"),43089.0)</f>
        <v>43089</v>
      </c>
      <c r="E1285" s="2">
        <f>IFERROR(__xludf.DUMMYFUNCTION("""COMPUTED_VALUE"""),1485573.0)</f>
        <v>1485573</v>
      </c>
      <c r="F1285" s="2">
        <f>IFERROR(__xludf.DUMMYFUNCTION("""COMPUTED_VALUE"""),4060952.0)</f>
        <v>4060952</v>
      </c>
      <c r="G1285" s="2">
        <f>IFERROR(__xludf.DUMMYFUNCTION("""COMPUTED_VALUE"""),142.2879)</f>
        <v>142.2879</v>
      </c>
    </row>
    <row r="1286">
      <c r="A1286" s="1" t="s">
        <v>1285</v>
      </c>
      <c r="D1286" s="3">
        <f>IFERROR(__xludf.DUMMYFUNCTION("SPLIT(A1286, ""|"")"),43089.0)</f>
        <v>43089</v>
      </c>
      <c r="E1286" s="2">
        <f>IFERROR(__xludf.DUMMYFUNCTION("""COMPUTED_VALUE"""),1209573.0)</f>
        <v>1209573</v>
      </c>
      <c r="F1286" s="2">
        <f>IFERROR(__xludf.DUMMYFUNCTION("""COMPUTED_VALUE"""),4061276.0)</f>
        <v>4061276</v>
      </c>
      <c r="G1286" s="2">
        <f>IFERROR(__xludf.DUMMYFUNCTION("""COMPUTED_VALUE"""),31.7789)</f>
        <v>31.7789</v>
      </c>
    </row>
    <row r="1287">
      <c r="A1287" s="1" t="s">
        <v>1286</v>
      </c>
      <c r="D1287" s="3">
        <f>IFERROR(__xludf.DUMMYFUNCTION("SPLIT(A1287, ""|"")"),43089.0)</f>
        <v>43089</v>
      </c>
      <c r="E1287" s="2">
        <f>IFERROR(__xludf.DUMMYFUNCTION("""COMPUTED_VALUE"""),142743.0)</f>
        <v>142743</v>
      </c>
      <c r="F1287" s="2">
        <f>IFERROR(__xludf.DUMMYFUNCTION("""COMPUTED_VALUE"""),4059911.0)</f>
        <v>4059911</v>
      </c>
      <c r="G1287" s="2">
        <f>IFERROR(__xludf.DUMMYFUNCTION("""COMPUTED_VALUE"""),41.3837)</f>
        <v>41.3837</v>
      </c>
    </row>
    <row r="1288">
      <c r="A1288" s="1" t="s">
        <v>1287</v>
      </c>
      <c r="D1288" s="3">
        <f>IFERROR(__xludf.DUMMYFUNCTION("SPLIT(A1288, ""|"")"),43089.0)</f>
        <v>43089</v>
      </c>
      <c r="E1288" s="2">
        <f>IFERROR(__xludf.DUMMYFUNCTION("""COMPUTED_VALUE"""),1485753.0)</f>
        <v>1485753</v>
      </c>
      <c r="F1288" s="2">
        <f>IFERROR(__xludf.DUMMYFUNCTION("""COMPUTED_VALUE"""),4061716.0)</f>
        <v>4061716</v>
      </c>
      <c r="G1288" s="2">
        <f>IFERROR(__xludf.DUMMYFUNCTION("""COMPUTED_VALUE"""),4.6445)</f>
        <v>4.6445</v>
      </c>
    </row>
    <row r="1289">
      <c r="A1289" s="1" t="s">
        <v>1288</v>
      </c>
      <c r="D1289" s="3">
        <f>IFERROR(__xludf.DUMMYFUNCTION("SPLIT(A1289, ""|"")"),43345.0)</f>
        <v>43345</v>
      </c>
      <c r="E1289" s="2">
        <f>IFERROR(__xludf.DUMMYFUNCTION("""COMPUTED_VALUE"""),1656093.0)</f>
        <v>1656093</v>
      </c>
      <c r="F1289" s="2">
        <f>IFERROR(__xludf.DUMMYFUNCTION("""COMPUTED_VALUE"""),4727108.0)</f>
        <v>4727108</v>
      </c>
      <c r="G1289" s="2">
        <f>IFERROR(__xludf.DUMMYFUNCTION("""COMPUTED_VALUE"""),113.3333)</f>
        <v>113.3333</v>
      </c>
    </row>
    <row r="1290">
      <c r="A1290" s="1" t="s">
        <v>1289</v>
      </c>
      <c r="D1290" s="3">
        <f>IFERROR(__xludf.DUMMYFUNCTION("SPLIT(A1290, ""|"")"),43345.0)</f>
        <v>43345</v>
      </c>
      <c r="E1290" s="2">
        <f>IFERROR(__xludf.DUMMYFUNCTION("""COMPUTED_VALUE"""),1220583.0)</f>
        <v>1220583</v>
      </c>
      <c r="F1290" s="2">
        <f>IFERROR(__xludf.DUMMYFUNCTION("""COMPUTED_VALUE"""),4729129.0)</f>
        <v>4729129</v>
      </c>
      <c r="G1290" s="2">
        <f>IFERROR(__xludf.DUMMYFUNCTION("""COMPUTED_VALUE"""),77.7634)</f>
        <v>77.7634</v>
      </c>
    </row>
    <row r="1291">
      <c r="A1291" s="1" t="s">
        <v>1290</v>
      </c>
      <c r="D1291" s="3">
        <f>IFERROR(__xludf.DUMMYFUNCTION("SPLIT(A1291, ""|"")"),43345.0)</f>
        <v>43345</v>
      </c>
      <c r="E1291" s="2">
        <f>IFERROR(__xludf.DUMMYFUNCTION("""COMPUTED_VALUE"""),1656453.0)</f>
        <v>1656453</v>
      </c>
      <c r="F1291" s="2">
        <f>IFERROR(__xludf.DUMMYFUNCTION("""COMPUTED_VALUE"""),4728496.0)</f>
        <v>4728496</v>
      </c>
      <c r="G1291" s="2">
        <f>IFERROR(__xludf.DUMMYFUNCTION("""COMPUTED_VALUE"""),58.9145)</f>
        <v>58.9145</v>
      </c>
    </row>
    <row r="1292">
      <c r="A1292" s="1" t="s">
        <v>1291</v>
      </c>
      <c r="D1292" s="3">
        <f>IFERROR(__xludf.DUMMYFUNCTION("SPLIT(A1292, ""|"")"),43345.0)</f>
        <v>43345</v>
      </c>
      <c r="E1292" s="2">
        <f>IFERROR(__xludf.DUMMYFUNCTION("""COMPUTED_VALUE"""),1437663.0)</f>
        <v>1437663</v>
      </c>
      <c r="F1292" s="2">
        <f>IFERROR(__xludf.DUMMYFUNCTION("""COMPUTED_VALUE"""),4727962.0)</f>
        <v>4727962</v>
      </c>
      <c r="G1292" s="2">
        <f>IFERROR(__xludf.DUMMYFUNCTION("""COMPUTED_VALUE"""),61.4122)</f>
        <v>61.4122</v>
      </c>
    </row>
    <row r="1293">
      <c r="A1293" s="1" t="s">
        <v>1292</v>
      </c>
      <c r="D1293" s="3">
        <f>IFERROR(__xludf.DUMMYFUNCTION("SPLIT(A1293, ""|"")"),43345.0)</f>
        <v>43345</v>
      </c>
      <c r="E1293" s="2">
        <f>IFERROR(__xludf.DUMMYFUNCTION("""COMPUTED_VALUE"""),1656633.0)</f>
        <v>1656633</v>
      </c>
      <c r="F1293" s="2">
        <f>IFERROR(__xludf.DUMMYFUNCTION("""COMPUTED_VALUE"""),4729225.0)</f>
        <v>4729225</v>
      </c>
      <c r="G1293" s="2">
        <f>IFERROR(__xludf.DUMMYFUNCTION("""COMPUTED_VALUE"""),21.1792)</f>
        <v>21.1792</v>
      </c>
    </row>
    <row r="1294">
      <c r="A1294" s="1" t="s">
        <v>1293</v>
      </c>
      <c r="D1294" s="3">
        <f>IFERROR(__xludf.DUMMYFUNCTION("SPLIT(A1294, ""|"")"),43345.0)</f>
        <v>43345</v>
      </c>
      <c r="E1294" s="2">
        <f>IFERROR(__xludf.DUMMYFUNCTION("""COMPUTED_VALUE"""),1418703.0)</f>
        <v>1418703</v>
      </c>
      <c r="F1294" s="2">
        <f>IFERROR(__xludf.DUMMYFUNCTION("""COMPUTED_VALUE"""),4726712.0)</f>
        <v>4726712</v>
      </c>
      <c r="G1294" s="2">
        <f>IFERROR(__xludf.DUMMYFUNCTION("""COMPUTED_VALUE"""),96.6567999999999)</f>
        <v>96.6568</v>
      </c>
    </row>
    <row r="1295">
      <c r="A1295" s="1" t="s">
        <v>1294</v>
      </c>
      <c r="D1295" s="3">
        <f>IFERROR(__xludf.DUMMYFUNCTION("SPLIT(A1295, ""|"")"),43345.0)</f>
        <v>43345</v>
      </c>
      <c r="E1295" s="2">
        <f>IFERROR(__xludf.DUMMYFUNCTION("""COMPUTED_VALUE"""),1323963.0)</f>
        <v>1323963</v>
      </c>
      <c r="F1295" s="2">
        <f>IFERROR(__xludf.DUMMYFUNCTION("""COMPUTED_VALUE"""),4726838.0)</f>
        <v>4726838</v>
      </c>
      <c r="G1295" s="2">
        <f>IFERROR(__xludf.DUMMYFUNCTION("""COMPUTED_VALUE"""),44.787)</f>
        <v>44.787</v>
      </c>
    </row>
    <row r="1296">
      <c r="A1296" s="1" t="s">
        <v>1295</v>
      </c>
      <c r="D1296" s="3">
        <f>IFERROR(__xludf.DUMMYFUNCTION("SPLIT(A1296, ""|"")"),43345.0)</f>
        <v>43345</v>
      </c>
      <c r="E1296" s="2">
        <f>IFERROR(__xludf.DUMMYFUNCTION("""COMPUTED_VALUE"""),1656423.0)</f>
        <v>1656423</v>
      </c>
      <c r="F1296" s="2">
        <f>IFERROR(__xludf.DUMMYFUNCTION("""COMPUTED_VALUE"""),4728397.0)</f>
        <v>4728397</v>
      </c>
      <c r="G1296" s="2">
        <f>IFERROR(__xludf.DUMMYFUNCTION("""COMPUTED_VALUE"""),25.6392)</f>
        <v>25.6392</v>
      </c>
    </row>
    <row r="1297">
      <c r="A1297" s="1" t="s">
        <v>1296</v>
      </c>
      <c r="D1297" s="3">
        <f>IFERROR(__xludf.DUMMYFUNCTION("SPLIT(A1297, ""|"")"),43345.0)</f>
        <v>43345</v>
      </c>
      <c r="E1297" s="2">
        <f>IFERROR(__xludf.DUMMYFUNCTION("""COMPUTED_VALUE"""),1656153.0)</f>
        <v>1656153</v>
      </c>
      <c r="F1297" s="2">
        <f>IFERROR(__xludf.DUMMYFUNCTION("""COMPUTED_VALUE"""),4727331.0)</f>
        <v>4727331</v>
      </c>
      <c r="G1297" s="2">
        <f>IFERROR(__xludf.DUMMYFUNCTION("""COMPUTED_VALUE"""),24.4408)</f>
        <v>24.4408</v>
      </c>
    </row>
    <row r="1298">
      <c r="A1298" s="1" t="s">
        <v>1297</v>
      </c>
      <c r="D1298" s="3">
        <f>IFERROR(__xludf.DUMMYFUNCTION("SPLIT(A1298, ""|"")"),43345.0)</f>
        <v>43345</v>
      </c>
      <c r="E1298" s="2">
        <f>IFERROR(__xludf.DUMMYFUNCTION("""COMPUTED_VALUE"""),1210233.0)</f>
        <v>1210233</v>
      </c>
      <c r="F1298" s="2">
        <f>IFERROR(__xludf.DUMMYFUNCTION("""COMPUTED_VALUE"""),4728992.0)</f>
        <v>4728992</v>
      </c>
      <c r="G1298" s="2">
        <f>IFERROR(__xludf.DUMMYFUNCTION("""COMPUTED_VALUE"""),23.5185)</f>
        <v>23.5185</v>
      </c>
    </row>
    <row r="1299">
      <c r="A1299" s="1" t="s">
        <v>1298</v>
      </c>
      <c r="D1299" s="3">
        <f>IFERROR(__xludf.DUMMYFUNCTION("SPLIT(A1299, ""|"")"),43345.0)</f>
        <v>43345</v>
      </c>
      <c r="E1299" s="2">
        <f>IFERROR(__xludf.DUMMYFUNCTION("""COMPUTED_VALUE"""),1061973.0)</f>
        <v>1061973</v>
      </c>
      <c r="F1299" s="2">
        <f>IFERROR(__xludf.DUMMYFUNCTION("""COMPUTED_VALUE"""),4729369.0)</f>
        <v>4729369</v>
      </c>
      <c r="G1299" s="2">
        <f>IFERROR(__xludf.DUMMYFUNCTION("""COMPUTED_VALUE"""),137.310999999999)</f>
        <v>137.311</v>
      </c>
    </row>
    <row r="1300">
      <c r="A1300" s="1" t="s">
        <v>1299</v>
      </c>
      <c r="D1300" s="3">
        <f>IFERROR(__xludf.DUMMYFUNCTION("SPLIT(A1300, ""|"")"),43345.0)</f>
        <v>43345</v>
      </c>
      <c r="E1300" s="2">
        <f>IFERROR(__xludf.DUMMYFUNCTION("""COMPUTED_VALUE"""),1267803.0)</f>
        <v>1267803</v>
      </c>
      <c r="F1300" s="2">
        <f>IFERROR(__xludf.DUMMYFUNCTION("""COMPUTED_VALUE"""),4727564.0)</f>
        <v>4727564</v>
      </c>
      <c r="G1300" s="2">
        <f>IFERROR(__xludf.DUMMYFUNCTION("""COMPUTED_VALUE"""),45.4534)</f>
        <v>45.4534</v>
      </c>
    </row>
    <row r="1301">
      <c r="A1301" s="1" t="s">
        <v>1300</v>
      </c>
      <c r="D1301" s="3">
        <f>IFERROR(__xludf.DUMMYFUNCTION("SPLIT(A1301, ""|"")"),43345.0)</f>
        <v>43345</v>
      </c>
      <c r="E1301" s="2">
        <f>IFERROR(__xludf.DUMMYFUNCTION("""COMPUTED_VALUE"""),1434813.0)</f>
        <v>1434813</v>
      </c>
      <c r="F1301" s="2">
        <f>IFERROR(__xludf.DUMMYFUNCTION("""COMPUTED_VALUE"""),4727418.0)</f>
        <v>4727418</v>
      </c>
      <c r="G1301" s="2">
        <f>IFERROR(__xludf.DUMMYFUNCTION("""COMPUTED_VALUE"""),321.0504)</f>
        <v>321.0504</v>
      </c>
    </row>
    <row r="1302">
      <c r="A1302" s="1" t="s">
        <v>1301</v>
      </c>
      <c r="D1302" s="3">
        <f>IFERROR(__xludf.DUMMYFUNCTION("SPLIT(A1302, ""|"")"),43090.0)</f>
        <v>43090</v>
      </c>
      <c r="E1302" s="2">
        <f>IFERROR(__xludf.DUMMYFUNCTION("""COMPUTED_VALUE"""),1485873.0)</f>
        <v>1485873</v>
      </c>
      <c r="F1302" s="2">
        <f>IFERROR(__xludf.DUMMYFUNCTION("""COMPUTED_VALUE"""),4062214.0)</f>
        <v>4062214</v>
      </c>
      <c r="G1302" s="2">
        <f>IFERROR(__xludf.DUMMYFUNCTION("""COMPUTED_VALUE"""),12.3128)</f>
        <v>12.3128</v>
      </c>
    </row>
    <row r="1303">
      <c r="A1303" s="1" t="s">
        <v>1302</v>
      </c>
      <c r="D1303" s="3">
        <f>IFERROR(__xludf.DUMMYFUNCTION("SPLIT(A1303, ""|"")"),43090.0)</f>
        <v>43090</v>
      </c>
      <c r="E1303" s="2">
        <f>IFERROR(__xludf.DUMMYFUNCTION("""COMPUTED_VALUE"""),1485663.0)</f>
        <v>1485663</v>
      </c>
      <c r="F1303" s="2">
        <f>IFERROR(__xludf.DUMMYFUNCTION("""COMPUTED_VALUE"""),4063214.0)</f>
        <v>4063214</v>
      </c>
      <c r="G1303" s="2">
        <f>IFERROR(__xludf.DUMMYFUNCTION("""COMPUTED_VALUE"""),98.2796)</f>
        <v>98.2796</v>
      </c>
    </row>
    <row r="1304">
      <c r="A1304" s="1" t="s">
        <v>1303</v>
      </c>
      <c r="D1304" s="3">
        <f>IFERROR(__xludf.DUMMYFUNCTION("SPLIT(A1304, ""|"")"),43090.0)</f>
        <v>43090</v>
      </c>
      <c r="E1304" s="2">
        <f>IFERROR(__xludf.DUMMYFUNCTION("""COMPUTED_VALUE"""),1272693.0)</f>
        <v>1272693</v>
      </c>
      <c r="F1304" s="2">
        <f>IFERROR(__xludf.DUMMYFUNCTION("""COMPUTED_VALUE"""),4062459.0)</f>
        <v>4062459</v>
      </c>
      <c r="G1304" s="2">
        <f>IFERROR(__xludf.DUMMYFUNCTION("""COMPUTED_VALUE"""),138.9498)</f>
        <v>138.9498</v>
      </c>
    </row>
    <row r="1305">
      <c r="A1305" s="1" t="s">
        <v>1304</v>
      </c>
      <c r="D1305" s="3">
        <f>IFERROR(__xludf.DUMMYFUNCTION("SPLIT(A1305, ""|"")"),43090.0)</f>
        <v>43090</v>
      </c>
      <c r="E1305" s="2">
        <f>IFERROR(__xludf.DUMMYFUNCTION("""COMPUTED_VALUE"""),1486083.0)</f>
        <v>1486083</v>
      </c>
      <c r="F1305" s="2">
        <f>IFERROR(__xludf.DUMMYFUNCTION("""COMPUTED_VALUE"""),4063180.0)</f>
        <v>4063180</v>
      </c>
      <c r="G1305" s="2">
        <f>IFERROR(__xludf.DUMMYFUNCTION("""COMPUTED_VALUE"""),43.542)</f>
        <v>43.542</v>
      </c>
    </row>
    <row r="1306">
      <c r="A1306" s="1" t="s">
        <v>1305</v>
      </c>
      <c r="D1306" s="3">
        <f>IFERROR(__xludf.DUMMYFUNCTION("SPLIT(A1306, ""|"")"),43090.0)</f>
        <v>43090</v>
      </c>
      <c r="E1306" s="2">
        <f>IFERROR(__xludf.DUMMYFUNCTION("""COMPUTED_VALUE"""),1474983.0)</f>
        <v>1474983</v>
      </c>
      <c r="F1306" s="2">
        <f>IFERROR(__xludf.DUMMYFUNCTION("""COMPUTED_VALUE"""),4063593.0)</f>
        <v>4063593</v>
      </c>
      <c r="G1306" s="2">
        <f>IFERROR(__xludf.DUMMYFUNCTION("""COMPUTED_VALUE"""),29.925)</f>
        <v>29.925</v>
      </c>
    </row>
    <row r="1307">
      <c r="A1307" s="1" t="s">
        <v>1306</v>
      </c>
      <c r="D1307" s="3">
        <f>IFERROR(__xludf.DUMMYFUNCTION("SPLIT(A1307, ""|"")"),43090.0)</f>
        <v>43090</v>
      </c>
      <c r="E1307" s="2">
        <f>IFERROR(__xludf.DUMMYFUNCTION("""COMPUTED_VALUE"""),1125063.0)</f>
        <v>1125063</v>
      </c>
      <c r="F1307" s="2">
        <f>IFERROR(__xludf.DUMMYFUNCTION("""COMPUTED_VALUE"""),4063240.0)</f>
        <v>4063240</v>
      </c>
      <c r="G1307" s="2">
        <f>IFERROR(__xludf.DUMMYFUNCTION("""COMPUTED_VALUE"""),61.5)</f>
        <v>61.5</v>
      </c>
    </row>
    <row r="1308">
      <c r="A1308" s="1" t="s">
        <v>1307</v>
      </c>
      <c r="D1308" s="3">
        <f>IFERROR(__xludf.DUMMYFUNCTION("SPLIT(A1308, ""|"")"),43090.0)</f>
        <v>43090</v>
      </c>
      <c r="E1308" s="2">
        <f>IFERROR(__xludf.DUMMYFUNCTION("""COMPUTED_VALUE"""),1486293.0)</f>
        <v>1486293</v>
      </c>
      <c r="F1308" s="2">
        <f>IFERROR(__xludf.DUMMYFUNCTION("""COMPUTED_VALUE"""),4063975.0)</f>
        <v>4063975</v>
      </c>
      <c r="G1308" s="2">
        <f>IFERROR(__xludf.DUMMYFUNCTION("""COMPUTED_VALUE"""),6.1125)</f>
        <v>6.1125</v>
      </c>
    </row>
    <row r="1309">
      <c r="A1309" s="1" t="s">
        <v>1308</v>
      </c>
      <c r="D1309" s="3">
        <f>IFERROR(__xludf.DUMMYFUNCTION("SPLIT(A1309, ""|"")"),43346.0)</f>
        <v>43346</v>
      </c>
      <c r="E1309" s="2">
        <f>IFERROR(__xludf.DUMMYFUNCTION("""COMPUTED_VALUE"""),1324833.0)</f>
        <v>1324833</v>
      </c>
      <c r="F1309" s="2">
        <f>IFERROR(__xludf.DUMMYFUNCTION("""COMPUTED_VALUE"""),4730318.0)</f>
        <v>4730318</v>
      </c>
      <c r="G1309" s="2">
        <f>IFERROR(__xludf.DUMMYFUNCTION("""COMPUTED_VALUE"""),29.186)</f>
        <v>29.186</v>
      </c>
    </row>
    <row r="1310">
      <c r="A1310" s="1" t="s">
        <v>1309</v>
      </c>
      <c r="D1310" s="3">
        <f>IFERROR(__xludf.DUMMYFUNCTION("SPLIT(A1310, ""|"")"),43346.0)</f>
        <v>43346</v>
      </c>
      <c r="E1310" s="2">
        <f>IFERROR(__xludf.DUMMYFUNCTION("""COMPUTED_VALUE"""),1649883.0)</f>
        <v>1649883</v>
      </c>
      <c r="F1310" s="2">
        <f>IFERROR(__xludf.DUMMYFUNCTION("""COMPUTED_VALUE"""),4729699.0)</f>
        <v>4729699</v>
      </c>
      <c r="G1310" s="2">
        <f>IFERROR(__xludf.DUMMYFUNCTION("""COMPUTED_VALUE"""),141.8787)</f>
        <v>141.8787</v>
      </c>
    </row>
    <row r="1311">
      <c r="A1311" s="1" t="s">
        <v>1310</v>
      </c>
      <c r="D1311" s="3">
        <f>IFERROR(__xludf.DUMMYFUNCTION("SPLIT(A1311, ""|"")"),43346.0)</f>
        <v>43346</v>
      </c>
      <c r="E1311" s="2">
        <f>IFERROR(__xludf.DUMMYFUNCTION("""COMPUTED_VALUE"""),473733.0)</f>
        <v>473733</v>
      </c>
      <c r="F1311" s="2">
        <f>IFERROR(__xludf.DUMMYFUNCTION("""COMPUTED_VALUE"""),4731956.0)</f>
        <v>4731956</v>
      </c>
      <c r="G1311" s="2">
        <f>IFERROR(__xludf.DUMMYFUNCTION("""COMPUTED_VALUE"""),24.9752)</f>
        <v>24.9752</v>
      </c>
    </row>
    <row r="1312">
      <c r="A1312" s="1" t="s">
        <v>1311</v>
      </c>
      <c r="D1312" s="3">
        <f>IFERROR(__xludf.DUMMYFUNCTION("SPLIT(A1312, ""|"")"),43346.0)</f>
        <v>43346</v>
      </c>
      <c r="E1312" s="2">
        <f>IFERROR(__xludf.DUMMYFUNCTION("""COMPUTED_VALUE"""),1657263.0)</f>
        <v>1657263</v>
      </c>
      <c r="F1312" s="2">
        <f>IFERROR(__xludf.DUMMYFUNCTION("""COMPUTED_VALUE"""),4731963.0)</f>
        <v>4731963</v>
      </c>
      <c r="G1312" s="2">
        <f>IFERROR(__xludf.DUMMYFUNCTION("""COMPUTED_VALUE"""),61.6653)</f>
        <v>61.6653</v>
      </c>
    </row>
    <row r="1313">
      <c r="A1313" s="1" t="s">
        <v>1312</v>
      </c>
      <c r="D1313" s="3">
        <f>IFERROR(__xludf.DUMMYFUNCTION("SPLIT(A1313, ""|"")"),43346.0)</f>
        <v>43346</v>
      </c>
      <c r="E1313" s="2">
        <f>IFERROR(__xludf.DUMMYFUNCTION("""COMPUTED_VALUE"""),25173.0)</f>
        <v>25173</v>
      </c>
      <c r="F1313" s="2">
        <f>IFERROR(__xludf.DUMMYFUNCTION("""COMPUTED_VALUE"""),4731573.0)</f>
        <v>4731573</v>
      </c>
      <c r="G1313" s="2">
        <f>IFERROR(__xludf.DUMMYFUNCTION("""COMPUTED_VALUE"""),73.0732999999999)</f>
        <v>73.0733</v>
      </c>
    </row>
    <row r="1314">
      <c r="A1314" s="1" t="s">
        <v>1313</v>
      </c>
      <c r="D1314" s="3">
        <f>IFERROR(__xludf.DUMMYFUNCTION("SPLIT(A1314, ""|"")"),43346.0)</f>
        <v>43346</v>
      </c>
      <c r="E1314" s="2">
        <f>IFERROR(__xludf.DUMMYFUNCTION("""COMPUTED_VALUE"""),1626093.0)</f>
        <v>1626093</v>
      </c>
      <c r="F1314" s="2">
        <f>IFERROR(__xludf.DUMMYFUNCTION("""COMPUTED_VALUE"""),4729735.0)</f>
        <v>4729735</v>
      </c>
      <c r="G1314" s="2">
        <f>IFERROR(__xludf.DUMMYFUNCTION("""COMPUTED_VALUE"""),65.4519)</f>
        <v>65.4519</v>
      </c>
    </row>
    <row r="1315">
      <c r="A1315" s="1" t="s">
        <v>1314</v>
      </c>
      <c r="D1315" s="3">
        <f>IFERROR(__xludf.DUMMYFUNCTION("SPLIT(A1315, ""|"")"),43346.0)</f>
        <v>43346</v>
      </c>
      <c r="E1315" s="2">
        <f>IFERROR(__xludf.DUMMYFUNCTION("""COMPUTED_VALUE"""),384483.0)</f>
        <v>384483</v>
      </c>
      <c r="F1315" s="2">
        <f>IFERROR(__xludf.DUMMYFUNCTION("""COMPUTED_VALUE"""),4732449.0)</f>
        <v>4732449</v>
      </c>
      <c r="G1315" s="2">
        <f>IFERROR(__xludf.DUMMYFUNCTION("""COMPUTED_VALUE"""),92.2351)</f>
        <v>92.2351</v>
      </c>
    </row>
    <row r="1316">
      <c r="A1316" s="1" t="s">
        <v>1315</v>
      </c>
      <c r="D1316" s="3">
        <f>IFERROR(__xludf.DUMMYFUNCTION("SPLIT(A1316, ""|"")"),43346.0)</f>
        <v>43346</v>
      </c>
      <c r="E1316" s="2">
        <f>IFERROR(__xludf.DUMMYFUNCTION("""COMPUTED_VALUE"""),1427553.0)</f>
        <v>1427553</v>
      </c>
      <c r="F1316" s="2">
        <f>IFERROR(__xludf.DUMMYFUNCTION("""COMPUTED_VALUE"""),4731822.0)</f>
        <v>4731822</v>
      </c>
      <c r="G1316" s="2">
        <f>IFERROR(__xludf.DUMMYFUNCTION("""COMPUTED_VALUE"""),44.6650999999999)</f>
        <v>44.6651</v>
      </c>
    </row>
    <row r="1317">
      <c r="A1317" s="1" t="s">
        <v>1316</v>
      </c>
      <c r="D1317" s="3">
        <f>IFERROR(__xludf.DUMMYFUNCTION("SPLIT(A1317, ""|"")"),43346.0)</f>
        <v>43346</v>
      </c>
      <c r="E1317" s="2">
        <f>IFERROR(__xludf.DUMMYFUNCTION("""COMPUTED_VALUE"""),1389153.0)</f>
        <v>1389153</v>
      </c>
      <c r="F1317" s="2">
        <f>IFERROR(__xludf.DUMMYFUNCTION("""COMPUTED_VALUE"""),4731373.0)</f>
        <v>4731373</v>
      </c>
      <c r="G1317" s="2">
        <f>IFERROR(__xludf.DUMMYFUNCTION("""COMPUTED_VALUE"""),40.5809999999999)</f>
        <v>40.581</v>
      </c>
    </row>
    <row r="1318">
      <c r="A1318" s="1" t="s">
        <v>1317</v>
      </c>
      <c r="D1318" s="3">
        <f>IFERROR(__xludf.DUMMYFUNCTION("SPLIT(A1318, ""|"")"),43346.0)</f>
        <v>43346</v>
      </c>
      <c r="E1318" s="2">
        <f>IFERROR(__xludf.DUMMYFUNCTION("""COMPUTED_VALUE"""),1451553.0)</f>
        <v>1451553</v>
      </c>
      <c r="F1318" s="2">
        <f>IFERROR(__xludf.DUMMYFUNCTION("""COMPUTED_VALUE"""),4731040.0)</f>
        <v>4731040</v>
      </c>
      <c r="G1318" s="2">
        <f>IFERROR(__xludf.DUMMYFUNCTION("""COMPUTED_VALUE"""),48.6941)</f>
        <v>48.6941</v>
      </c>
    </row>
    <row r="1319">
      <c r="A1319" s="1" t="s">
        <v>1318</v>
      </c>
      <c r="D1319" s="3">
        <f>IFERROR(__xludf.DUMMYFUNCTION("SPLIT(A1319, ""|"")"),43346.0)</f>
        <v>43346</v>
      </c>
      <c r="E1319" s="2">
        <f>IFERROR(__xludf.DUMMYFUNCTION("""COMPUTED_VALUE"""),1605693.0)</f>
        <v>1605693</v>
      </c>
      <c r="F1319" s="2">
        <f>IFERROR(__xludf.DUMMYFUNCTION("""COMPUTED_VALUE"""),4730121.0)</f>
        <v>4730121</v>
      </c>
      <c r="G1319" s="2">
        <f>IFERROR(__xludf.DUMMYFUNCTION("""COMPUTED_VALUE"""),44.918)</f>
        <v>44.918</v>
      </c>
    </row>
    <row r="1320">
      <c r="A1320" s="1" t="s">
        <v>1319</v>
      </c>
      <c r="D1320" s="3">
        <f>IFERROR(__xludf.DUMMYFUNCTION("SPLIT(A1320, ""|"")"),43346.0)</f>
        <v>43346</v>
      </c>
      <c r="E1320" s="2">
        <f>IFERROR(__xludf.DUMMYFUNCTION("""COMPUTED_VALUE"""),1580073.0)</f>
        <v>1580073</v>
      </c>
      <c r="F1320" s="2">
        <f>IFERROR(__xludf.DUMMYFUNCTION("""COMPUTED_VALUE"""),4730382.0)</f>
        <v>4730382</v>
      </c>
      <c r="G1320" s="2">
        <f>IFERROR(__xludf.DUMMYFUNCTION("""COMPUTED_VALUE"""),37.1085)</f>
        <v>37.1085</v>
      </c>
    </row>
    <row r="1321">
      <c r="A1321" s="1" t="s">
        <v>1320</v>
      </c>
      <c r="D1321" s="3">
        <f>IFERROR(__xludf.DUMMYFUNCTION("SPLIT(A1321, ""|"")"),43346.0)</f>
        <v>43346</v>
      </c>
      <c r="E1321" s="2">
        <f>IFERROR(__xludf.DUMMYFUNCTION("""COMPUTED_VALUE"""),1278843.0)</f>
        <v>1278843</v>
      </c>
      <c r="F1321" s="2">
        <f>IFERROR(__xludf.DUMMYFUNCTION("""COMPUTED_VALUE"""),4731800.0)</f>
        <v>4731800</v>
      </c>
      <c r="G1321" s="2">
        <f>IFERROR(__xludf.DUMMYFUNCTION("""COMPUTED_VALUE"""),54.019)</f>
        <v>54.019</v>
      </c>
    </row>
    <row r="1322">
      <c r="A1322" s="1" t="s">
        <v>1321</v>
      </c>
      <c r="D1322" s="3">
        <f>IFERROR(__xludf.DUMMYFUNCTION("SPLIT(A1322, ""|"")"),43346.0)</f>
        <v>43346</v>
      </c>
      <c r="E1322" s="2">
        <f>IFERROR(__xludf.DUMMYFUNCTION("""COMPUTED_VALUE"""),1588233.0)</f>
        <v>1588233</v>
      </c>
      <c r="F1322" s="2">
        <f>IFERROR(__xludf.DUMMYFUNCTION("""COMPUTED_VALUE"""),4731143.0)</f>
        <v>4731143</v>
      </c>
      <c r="G1322" s="2">
        <f>IFERROR(__xludf.DUMMYFUNCTION("""COMPUTED_VALUE"""),237.027999999999)</f>
        <v>237.028</v>
      </c>
    </row>
    <row r="1323">
      <c r="A1323" s="1" t="s">
        <v>1322</v>
      </c>
      <c r="D1323" s="3">
        <f>IFERROR(__xludf.DUMMYFUNCTION("SPLIT(A1323, ""|"")"),43346.0)</f>
        <v>43346</v>
      </c>
      <c r="E1323" s="2">
        <f>IFERROR(__xludf.DUMMYFUNCTION("""COMPUTED_VALUE"""),1321473.0)</f>
        <v>1321473</v>
      </c>
      <c r="F1323" s="2">
        <f>IFERROR(__xludf.DUMMYFUNCTION("""COMPUTED_VALUE"""),4732069.0)</f>
        <v>4732069</v>
      </c>
      <c r="G1323" s="2">
        <f>IFERROR(__xludf.DUMMYFUNCTION("""COMPUTED_VALUE"""),6.256)</f>
        <v>6.256</v>
      </c>
    </row>
    <row r="1324">
      <c r="A1324" s="1" t="s">
        <v>1323</v>
      </c>
      <c r="D1324" s="3">
        <f>IFERROR(__xludf.DUMMYFUNCTION("SPLIT(A1324, ""|"")"),43346.0)</f>
        <v>43346</v>
      </c>
      <c r="E1324" s="2">
        <f>IFERROR(__xludf.DUMMYFUNCTION("""COMPUTED_VALUE"""),1334643.0)</f>
        <v>1334643</v>
      </c>
      <c r="F1324" s="2">
        <f>IFERROR(__xludf.DUMMYFUNCTION("""COMPUTED_VALUE"""),4731844.0)</f>
        <v>4731844</v>
      </c>
      <c r="G1324" s="2">
        <f>IFERROR(__xludf.DUMMYFUNCTION("""COMPUTED_VALUE"""),89.1213)</f>
        <v>89.1213</v>
      </c>
    </row>
    <row r="1325">
      <c r="A1325" s="1" t="s">
        <v>1324</v>
      </c>
      <c r="D1325" s="3">
        <f>IFERROR(__xludf.DUMMYFUNCTION("SPLIT(A1325, ""|"")"),43091.0)</f>
        <v>43091</v>
      </c>
      <c r="E1325" s="2">
        <f>IFERROR(__xludf.DUMMYFUNCTION("""COMPUTED_VALUE"""),1486653.0)</f>
        <v>1486653</v>
      </c>
      <c r="F1325" s="2">
        <f>IFERROR(__xludf.DUMMYFUNCTION("""COMPUTED_VALUE"""),4065287.0)</f>
        <v>4065287</v>
      </c>
      <c r="G1325" s="2">
        <f>IFERROR(__xludf.DUMMYFUNCTION("""COMPUTED_VALUE"""),43.9875)</f>
        <v>43.9875</v>
      </c>
    </row>
    <row r="1326">
      <c r="A1326" s="1" t="s">
        <v>1325</v>
      </c>
      <c r="D1326" s="3">
        <f>IFERROR(__xludf.DUMMYFUNCTION("SPLIT(A1326, ""|"")"),43091.0)</f>
        <v>43091</v>
      </c>
      <c r="E1326" s="2">
        <f>IFERROR(__xludf.DUMMYFUNCTION("""COMPUTED_VALUE"""),1262643.0)</f>
        <v>1262643</v>
      </c>
      <c r="F1326" s="2">
        <f>IFERROR(__xludf.DUMMYFUNCTION("""COMPUTED_VALUE"""),4065020.0)</f>
        <v>4065020</v>
      </c>
      <c r="G1326" s="2">
        <f>IFERROR(__xludf.DUMMYFUNCTION("""COMPUTED_VALUE"""),13.616)</f>
        <v>13.616</v>
      </c>
    </row>
    <row r="1327">
      <c r="A1327" s="1" t="s">
        <v>1326</v>
      </c>
      <c r="D1327" s="3">
        <f>IFERROR(__xludf.DUMMYFUNCTION("SPLIT(A1327, ""|"")"),43091.0)</f>
        <v>43091</v>
      </c>
      <c r="E1327" s="2">
        <f>IFERROR(__xludf.DUMMYFUNCTION("""COMPUTED_VALUE"""),1212753.0)</f>
        <v>1212753</v>
      </c>
      <c r="F1327" s="2">
        <f>IFERROR(__xludf.DUMMYFUNCTION("""COMPUTED_VALUE"""),4064817.0)</f>
        <v>4064817</v>
      </c>
      <c r="G1327" s="2">
        <f>IFERROR(__xludf.DUMMYFUNCTION("""COMPUTED_VALUE"""),30.4)</f>
        <v>30.4</v>
      </c>
    </row>
    <row r="1328">
      <c r="A1328" s="1" t="s">
        <v>1327</v>
      </c>
      <c r="D1328" s="3">
        <f>IFERROR(__xludf.DUMMYFUNCTION("SPLIT(A1328, ""|"")"),43091.0)</f>
        <v>43091</v>
      </c>
      <c r="E1328" s="2">
        <f>IFERROR(__xludf.DUMMYFUNCTION("""COMPUTED_VALUE"""),1486473.0)</f>
        <v>1486473</v>
      </c>
      <c r="F1328" s="2">
        <f>IFERROR(__xludf.DUMMYFUNCTION("""COMPUTED_VALUE"""),4064707.0)</f>
        <v>4064707</v>
      </c>
      <c r="G1328" s="2">
        <f>IFERROR(__xludf.DUMMYFUNCTION("""COMPUTED_VALUE"""),67.4925)</f>
        <v>67.4925</v>
      </c>
    </row>
    <row r="1329">
      <c r="A1329" s="1" t="s">
        <v>1328</v>
      </c>
      <c r="D1329" s="3">
        <f>IFERROR(__xludf.DUMMYFUNCTION("SPLIT(A1329, ""|"")"),43347.0)</f>
        <v>43347</v>
      </c>
      <c r="E1329" s="2">
        <f>IFERROR(__xludf.DUMMYFUNCTION("""COMPUTED_VALUE"""),1513473.0)</f>
        <v>1513473</v>
      </c>
      <c r="F1329" s="2">
        <f>IFERROR(__xludf.DUMMYFUNCTION("""COMPUTED_VALUE"""),4733975.0)</f>
        <v>4733975</v>
      </c>
      <c r="G1329" s="2">
        <f>IFERROR(__xludf.DUMMYFUNCTION("""COMPUTED_VALUE"""),112.4339)</f>
        <v>112.4339</v>
      </c>
    </row>
    <row r="1330">
      <c r="A1330" s="1" t="s">
        <v>1329</v>
      </c>
      <c r="D1330" s="3">
        <f>IFERROR(__xludf.DUMMYFUNCTION("SPLIT(A1330, ""|"")"),43347.0)</f>
        <v>43347</v>
      </c>
      <c r="E1330" s="2">
        <f>IFERROR(__xludf.DUMMYFUNCTION("""COMPUTED_VALUE"""),1216383.0)</f>
        <v>1216383</v>
      </c>
      <c r="F1330" s="2">
        <f>IFERROR(__xludf.DUMMYFUNCTION("""COMPUTED_VALUE"""),4734452.0)</f>
        <v>4734452</v>
      </c>
      <c r="G1330" s="2">
        <f>IFERROR(__xludf.DUMMYFUNCTION("""COMPUTED_VALUE"""),89.3057999999999)</f>
        <v>89.3058</v>
      </c>
    </row>
    <row r="1331">
      <c r="A1331" s="1" t="s">
        <v>1330</v>
      </c>
      <c r="D1331" s="3">
        <f>IFERROR(__xludf.DUMMYFUNCTION("SPLIT(A1331, ""|"")"),43347.0)</f>
        <v>43347</v>
      </c>
      <c r="E1331" s="2">
        <f>IFERROR(__xludf.DUMMYFUNCTION("""COMPUTED_VALUE"""),1657653.0)</f>
        <v>1657653</v>
      </c>
      <c r="F1331" s="2">
        <f>IFERROR(__xludf.DUMMYFUNCTION("""COMPUTED_VALUE"""),4733363.0)</f>
        <v>4733363</v>
      </c>
      <c r="G1331" s="2">
        <f>IFERROR(__xludf.DUMMYFUNCTION("""COMPUTED_VALUE"""),22.4999)</f>
        <v>22.4999</v>
      </c>
    </row>
    <row r="1332">
      <c r="A1332" s="1" t="s">
        <v>1331</v>
      </c>
      <c r="D1332" s="3">
        <f>IFERROR(__xludf.DUMMYFUNCTION("SPLIT(A1332, ""|"")"),43347.0)</f>
        <v>43347</v>
      </c>
      <c r="E1332" s="2">
        <f>IFERROR(__xludf.DUMMYFUNCTION("""COMPUTED_VALUE"""),1513473.0)</f>
        <v>1513473</v>
      </c>
      <c r="F1332" s="2">
        <f>IFERROR(__xludf.DUMMYFUNCTION("""COMPUTED_VALUE"""),4733836.0)</f>
        <v>4733836</v>
      </c>
      <c r="G1332" s="2">
        <f>IFERROR(__xludf.DUMMYFUNCTION("""COMPUTED_VALUE"""),12.4167)</f>
        <v>12.4167</v>
      </c>
    </row>
    <row r="1333">
      <c r="A1333" s="1" t="s">
        <v>1332</v>
      </c>
      <c r="D1333" s="3">
        <f>IFERROR(__xludf.DUMMYFUNCTION("SPLIT(A1333, ""|"")"),43347.0)</f>
        <v>43347</v>
      </c>
      <c r="E1333" s="2">
        <f>IFERROR(__xludf.DUMMYFUNCTION("""COMPUTED_VALUE"""),426423.0)</f>
        <v>426423</v>
      </c>
      <c r="F1333" s="2">
        <f>IFERROR(__xludf.DUMMYFUNCTION("""COMPUTED_VALUE"""),4734114.0)</f>
        <v>4734114</v>
      </c>
      <c r="G1333" s="2">
        <f>IFERROR(__xludf.DUMMYFUNCTION("""COMPUTED_VALUE"""),109.9137)</f>
        <v>109.9137</v>
      </c>
    </row>
    <row r="1334">
      <c r="A1334" s="1" t="s">
        <v>1333</v>
      </c>
      <c r="D1334" s="3">
        <f>IFERROR(__xludf.DUMMYFUNCTION("SPLIT(A1334, ""|"")"),43347.0)</f>
        <v>43347</v>
      </c>
      <c r="E1334" s="2">
        <f>IFERROR(__xludf.DUMMYFUNCTION("""COMPUTED_VALUE"""),1652463.0)</f>
        <v>1652463</v>
      </c>
      <c r="F1334" s="2">
        <f>IFERROR(__xludf.DUMMYFUNCTION("""COMPUTED_VALUE"""),4733439.0)</f>
        <v>4733439</v>
      </c>
      <c r="G1334" s="2">
        <f>IFERROR(__xludf.DUMMYFUNCTION("""COMPUTED_VALUE"""),27.2278999999999)</f>
        <v>27.2279</v>
      </c>
    </row>
    <row r="1335">
      <c r="A1335" s="1" t="s">
        <v>1334</v>
      </c>
      <c r="D1335" s="3">
        <f>IFERROR(__xludf.DUMMYFUNCTION("SPLIT(A1335, ""|"")"),43347.0)</f>
        <v>43347</v>
      </c>
      <c r="E1335" s="2">
        <f>IFERROR(__xludf.DUMMYFUNCTION("""COMPUTED_VALUE"""),1657563.0)</f>
        <v>1657563</v>
      </c>
      <c r="F1335" s="2">
        <f>IFERROR(__xludf.DUMMYFUNCTION("""COMPUTED_VALUE"""),4733041.0)</f>
        <v>4733041</v>
      </c>
      <c r="G1335" s="2">
        <f>IFERROR(__xludf.DUMMYFUNCTION("""COMPUTED_VALUE"""),12.5701)</f>
        <v>12.5701</v>
      </c>
    </row>
    <row r="1336">
      <c r="A1336" s="1" t="s">
        <v>1335</v>
      </c>
      <c r="D1336" s="3">
        <f>IFERROR(__xludf.DUMMYFUNCTION("SPLIT(A1336, ""|"")"),43347.0)</f>
        <v>43347</v>
      </c>
      <c r="E1336" s="2">
        <f>IFERROR(__xludf.DUMMYFUNCTION("""COMPUTED_VALUE"""),1265883.0)</f>
        <v>1265883</v>
      </c>
      <c r="F1336" s="2">
        <f>IFERROR(__xludf.DUMMYFUNCTION("""COMPUTED_VALUE"""),4734339.0)</f>
        <v>4734339</v>
      </c>
      <c r="G1336" s="2">
        <f>IFERROR(__xludf.DUMMYFUNCTION("""COMPUTED_VALUE"""),60.042)</f>
        <v>60.042</v>
      </c>
    </row>
    <row r="1337">
      <c r="A1337" s="1" t="s">
        <v>1336</v>
      </c>
      <c r="D1337" s="3">
        <f>IFERROR(__xludf.DUMMYFUNCTION("SPLIT(A1337, ""|"")"),43347.0)</f>
        <v>43347</v>
      </c>
      <c r="E1337" s="2">
        <f>IFERROR(__xludf.DUMMYFUNCTION("""COMPUTED_VALUE"""),1373283.0)</f>
        <v>1373283</v>
      </c>
      <c r="F1337" s="2">
        <f>IFERROR(__xludf.DUMMYFUNCTION("""COMPUTED_VALUE"""),4733055.0)</f>
        <v>4733055</v>
      </c>
      <c r="G1337" s="2">
        <f>IFERROR(__xludf.DUMMYFUNCTION("""COMPUTED_VALUE"""),66.5739)</f>
        <v>66.5739</v>
      </c>
    </row>
    <row r="1338">
      <c r="A1338" s="1" t="s">
        <v>1337</v>
      </c>
      <c r="D1338" s="3">
        <f>IFERROR(__xludf.DUMMYFUNCTION("SPLIT(A1338, ""|"")"),43347.0)</f>
        <v>43347</v>
      </c>
      <c r="E1338" s="2">
        <f>IFERROR(__xludf.DUMMYFUNCTION("""COMPUTED_VALUE"""),1253943.0)</f>
        <v>1253943</v>
      </c>
      <c r="F1338" s="2">
        <f>IFERROR(__xludf.DUMMYFUNCTION("""COMPUTED_VALUE"""),4733822.0)</f>
        <v>4733822</v>
      </c>
      <c r="G1338" s="2">
        <f>IFERROR(__xludf.DUMMYFUNCTION("""COMPUTED_VALUE"""),62.2542)</f>
        <v>62.2542</v>
      </c>
    </row>
    <row r="1339">
      <c r="A1339" s="1" t="s">
        <v>1338</v>
      </c>
      <c r="D1339" s="3">
        <f>IFERROR(__xludf.DUMMYFUNCTION("SPLIT(A1339, ""|"")"),43347.0)</f>
        <v>43347</v>
      </c>
      <c r="E1339" s="2">
        <f>IFERROR(__xludf.DUMMYFUNCTION("""COMPUTED_VALUE"""),477483.0)</f>
        <v>477483</v>
      </c>
      <c r="F1339" s="2">
        <f>IFERROR(__xludf.DUMMYFUNCTION("""COMPUTED_VALUE"""),4735476.0)</f>
        <v>4735476</v>
      </c>
      <c r="G1339" s="2">
        <f>IFERROR(__xludf.DUMMYFUNCTION("""COMPUTED_VALUE"""),74.2659999999999)</f>
        <v>74.266</v>
      </c>
    </row>
    <row r="1340">
      <c r="A1340" s="1" t="s">
        <v>1339</v>
      </c>
      <c r="D1340" s="3">
        <f>IFERROR(__xludf.DUMMYFUNCTION("SPLIT(A1340, ""|"")"),43092.0)</f>
        <v>43092</v>
      </c>
      <c r="E1340" s="2">
        <f>IFERROR(__xludf.DUMMYFUNCTION("""COMPUTED_VALUE"""),1486743.0)</f>
        <v>1486743</v>
      </c>
      <c r="F1340" s="2">
        <f>IFERROR(__xludf.DUMMYFUNCTION("""COMPUTED_VALUE"""),4065561.0)</f>
        <v>4065561</v>
      </c>
      <c r="G1340" s="2">
        <f>IFERROR(__xludf.DUMMYFUNCTION("""COMPUTED_VALUE"""),107.5)</f>
        <v>107.5</v>
      </c>
    </row>
    <row r="1341">
      <c r="A1341" s="1" t="s">
        <v>1340</v>
      </c>
      <c r="D1341" s="3">
        <f>IFERROR(__xludf.DUMMYFUNCTION("SPLIT(A1341, ""|"")"),43092.0)</f>
        <v>43092</v>
      </c>
      <c r="E1341" s="2">
        <f>IFERROR(__xludf.DUMMYFUNCTION("""COMPUTED_VALUE"""),1487043.0)</f>
        <v>1487043</v>
      </c>
      <c r="F1341" s="2">
        <f>IFERROR(__xludf.DUMMYFUNCTION("""COMPUTED_VALUE"""),4066624.0)</f>
        <v>4066624</v>
      </c>
      <c r="G1341" s="2">
        <f>IFERROR(__xludf.DUMMYFUNCTION("""COMPUTED_VALUE"""),76.1974)</f>
        <v>76.1974</v>
      </c>
    </row>
    <row r="1342">
      <c r="A1342" s="1" t="s">
        <v>1341</v>
      </c>
      <c r="D1342" s="3">
        <f>IFERROR(__xludf.DUMMYFUNCTION("SPLIT(A1342, ""|"")"),43092.0)</f>
        <v>43092</v>
      </c>
      <c r="E1342" s="2">
        <f>IFERROR(__xludf.DUMMYFUNCTION("""COMPUTED_VALUE"""),1487013.0)</f>
        <v>1487013</v>
      </c>
      <c r="F1342" s="2">
        <f>IFERROR(__xludf.DUMMYFUNCTION("""COMPUTED_VALUE"""),4066506.0)</f>
        <v>4066506</v>
      </c>
      <c r="G1342" s="2">
        <f>IFERROR(__xludf.DUMMYFUNCTION("""COMPUTED_VALUE"""),78.7133)</f>
        <v>78.7133</v>
      </c>
    </row>
    <row r="1343">
      <c r="A1343" s="1" t="s">
        <v>1342</v>
      </c>
      <c r="D1343" s="3">
        <f>IFERROR(__xludf.DUMMYFUNCTION("SPLIT(A1343, ""|"")"),43092.0)</f>
        <v>43092</v>
      </c>
      <c r="E1343" s="2">
        <f>IFERROR(__xludf.DUMMYFUNCTION("""COMPUTED_VALUE"""),1346493.0)</f>
        <v>1346493</v>
      </c>
      <c r="F1343" s="2">
        <f>IFERROR(__xludf.DUMMYFUNCTION("""COMPUTED_VALUE"""),4066066.0)</f>
        <v>4066066</v>
      </c>
      <c r="G1343" s="2">
        <f>IFERROR(__xludf.DUMMYFUNCTION("""COMPUTED_VALUE"""),60.5002)</f>
        <v>60.5002</v>
      </c>
    </row>
    <row r="1344">
      <c r="A1344" s="1" t="s">
        <v>1343</v>
      </c>
      <c r="D1344" s="3">
        <f>IFERROR(__xludf.DUMMYFUNCTION("SPLIT(A1344, ""|"")"),43348.0)</f>
        <v>43348</v>
      </c>
      <c r="E1344" s="2">
        <f>IFERROR(__xludf.DUMMYFUNCTION("""COMPUTED_VALUE"""),1573383.0)</f>
        <v>1573383</v>
      </c>
      <c r="F1344" s="2">
        <f>IFERROR(__xludf.DUMMYFUNCTION("""COMPUTED_VALUE"""),4735934.0)</f>
        <v>4735934</v>
      </c>
      <c r="G1344" s="2">
        <f>IFERROR(__xludf.DUMMYFUNCTION("""COMPUTED_VALUE"""),39.8692)</f>
        <v>39.8692</v>
      </c>
    </row>
    <row r="1345">
      <c r="A1345" s="1" t="s">
        <v>1344</v>
      </c>
      <c r="D1345" s="3">
        <f>IFERROR(__xludf.DUMMYFUNCTION("SPLIT(A1345, ""|"")"),43348.0)</f>
        <v>43348</v>
      </c>
      <c r="E1345" s="2">
        <f>IFERROR(__xludf.DUMMYFUNCTION("""COMPUTED_VALUE"""),14343.0)</f>
        <v>14343</v>
      </c>
      <c r="F1345" s="2">
        <f>IFERROR(__xludf.DUMMYFUNCTION("""COMPUTED_VALUE"""),4737005.0)</f>
        <v>4737005</v>
      </c>
      <c r="G1345" s="2">
        <f>IFERROR(__xludf.DUMMYFUNCTION("""COMPUTED_VALUE"""),8.3442)</f>
        <v>8.3442</v>
      </c>
    </row>
    <row r="1346">
      <c r="A1346" s="1" t="s">
        <v>1345</v>
      </c>
      <c r="D1346" s="3">
        <f>IFERROR(__xludf.DUMMYFUNCTION("SPLIT(A1346, ""|"")"),43348.0)</f>
        <v>43348</v>
      </c>
      <c r="E1346" s="2">
        <f>IFERROR(__xludf.DUMMYFUNCTION("""COMPUTED_VALUE"""),1194483.0)</f>
        <v>1194483</v>
      </c>
      <c r="F1346" s="2">
        <f>IFERROR(__xludf.DUMMYFUNCTION("""COMPUTED_VALUE"""),4735912.0)</f>
        <v>4735912</v>
      </c>
      <c r="G1346" s="2">
        <f>IFERROR(__xludf.DUMMYFUNCTION("""COMPUTED_VALUE"""),91.1275)</f>
        <v>91.1275</v>
      </c>
    </row>
    <row r="1347">
      <c r="A1347" s="1" t="s">
        <v>1346</v>
      </c>
      <c r="D1347" s="3">
        <f>IFERROR(__xludf.DUMMYFUNCTION("SPLIT(A1347, ""|"")"),43348.0)</f>
        <v>43348</v>
      </c>
      <c r="E1347" s="2">
        <f>IFERROR(__xludf.DUMMYFUNCTION("""COMPUTED_VALUE"""),1392573.0)</f>
        <v>1392573</v>
      </c>
      <c r="F1347" s="2">
        <f>IFERROR(__xludf.DUMMYFUNCTION("""COMPUTED_VALUE"""),4737856.0)</f>
        <v>4737856</v>
      </c>
      <c r="G1347" s="2">
        <f>IFERROR(__xludf.DUMMYFUNCTION("""COMPUTED_VALUE"""),98.2726)</f>
        <v>98.2726</v>
      </c>
    </row>
    <row r="1348">
      <c r="A1348" s="1" t="s">
        <v>1347</v>
      </c>
      <c r="D1348" s="3">
        <f>IFERROR(__xludf.DUMMYFUNCTION("SPLIT(A1348, ""|"")"),43348.0)</f>
        <v>43348</v>
      </c>
      <c r="E1348" s="2">
        <f>IFERROR(__xludf.DUMMYFUNCTION("""COMPUTED_VALUE"""),1658883.0)</f>
        <v>1658883</v>
      </c>
      <c r="F1348" s="2">
        <f>IFERROR(__xludf.DUMMYFUNCTION("""COMPUTED_VALUE"""),4737954.0)</f>
        <v>4737954</v>
      </c>
      <c r="G1348" s="2">
        <f>IFERROR(__xludf.DUMMYFUNCTION("""COMPUTED_VALUE"""),62.3634)</f>
        <v>62.3634</v>
      </c>
    </row>
    <row r="1349">
      <c r="A1349" s="1" t="s">
        <v>1348</v>
      </c>
      <c r="D1349" s="3">
        <f>IFERROR(__xludf.DUMMYFUNCTION("SPLIT(A1349, ""|"")"),43348.0)</f>
        <v>43348</v>
      </c>
      <c r="E1349" s="2">
        <f>IFERROR(__xludf.DUMMYFUNCTION("""COMPUTED_VALUE"""),1435293.0)</f>
        <v>1435293</v>
      </c>
      <c r="F1349" s="2">
        <f>IFERROR(__xludf.DUMMYFUNCTION("""COMPUTED_VALUE"""),4738071.0)</f>
        <v>4738071</v>
      </c>
      <c r="G1349" s="2">
        <f>IFERROR(__xludf.DUMMYFUNCTION("""COMPUTED_VALUE"""),128.1374)</f>
        <v>128.1374</v>
      </c>
    </row>
    <row r="1350">
      <c r="A1350" s="1" t="s">
        <v>1349</v>
      </c>
      <c r="D1350" s="3">
        <f>IFERROR(__xludf.DUMMYFUNCTION("SPLIT(A1350, ""|"")"),43348.0)</f>
        <v>43348</v>
      </c>
      <c r="E1350" s="2">
        <f>IFERROR(__xludf.DUMMYFUNCTION("""COMPUTED_VALUE"""),1397703.0)</f>
        <v>1397703</v>
      </c>
      <c r="F1350" s="2">
        <f>IFERROR(__xludf.DUMMYFUNCTION("""COMPUTED_VALUE"""),4736608.0)</f>
        <v>4736608</v>
      </c>
      <c r="G1350" s="2">
        <f>IFERROR(__xludf.DUMMYFUNCTION("""COMPUTED_VALUE"""),58.3813999999999)</f>
        <v>58.3814</v>
      </c>
    </row>
    <row r="1351">
      <c r="A1351" s="1" t="s">
        <v>1350</v>
      </c>
      <c r="D1351" s="3">
        <f>IFERROR(__xludf.DUMMYFUNCTION("SPLIT(A1351, ""|"")"),43348.0)</f>
        <v>43348</v>
      </c>
      <c r="E1351" s="2">
        <f>IFERROR(__xludf.DUMMYFUNCTION("""COMPUTED_VALUE"""),1628463.0)</f>
        <v>1628463</v>
      </c>
      <c r="F1351" s="2">
        <f>IFERROR(__xludf.DUMMYFUNCTION("""COMPUTED_VALUE"""),4737778.0)</f>
        <v>4737778</v>
      </c>
      <c r="G1351" s="2">
        <f>IFERROR(__xludf.DUMMYFUNCTION("""COMPUTED_VALUE"""),32.0503999999999)</f>
        <v>32.0504</v>
      </c>
    </row>
    <row r="1352">
      <c r="A1352" s="1" t="s">
        <v>1351</v>
      </c>
      <c r="D1352" s="3">
        <f>IFERROR(__xludf.DUMMYFUNCTION("SPLIT(A1352, ""|"")"),43348.0)</f>
        <v>43348</v>
      </c>
      <c r="E1352" s="2">
        <f>IFERROR(__xludf.DUMMYFUNCTION("""COMPUTED_VALUE"""),1620033.0)</f>
        <v>1620033</v>
      </c>
      <c r="F1352" s="2">
        <f>IFERROR(__xludf.DUMMYFUNCTION("""COMPUTED_VALUE"""),4738269.0)</f>
        <v>4738269</v>
      </c>
      <c r="G1352" s="2">
        <f>IFERROR(__xludf.DUMMYFUNCTION("""COMPUTED_VALUE"""),119.6667)</f>
        <v>119.6667</v>
      </c>
    </row>
    <row r="1353">
      <c r="A1353" s="1" t="s">
        <v>1352</v>
      </c>
      <c r="D1353" s="3">
        <f>IFERROR(__xludf.DUMMYFUNCTION("SPLIT(A1353, ""|"")"),43093.0)</f>
        <v>43093</v>
      </c>
      <c r="E1353" s="2">
        <f>IFERROR(__xludf.DUMMYFUNCTION("""COMPUTED_VALUE"""),1348683.0)</f>
        <v>1348683</v>
      </c>
      <c r="F1353" s="2">
        <f>IFERROR(__xludf.DUMMYFUNCTION("""COMPUTED_VALUE"""),4066756.0)</f>
        <v>4066756</v>
      </c>
      <c r="G1353" s="2">
        <f>IFERROR(__xludf.DUMMYFUNCTION("""COMPUTED_VALUE"""),122.5)</f>
        <v>122.5</v>
      </c>
    </row>
    <row r="1354">
      <c r="A1354" s="1" t="s">
        <v>1353</v>
      </c>
      <c r="D1354" s="3">
        <f>IFERROR(__xludf.DUMMYFUNCTION("SPLIT(A1354, ""|"")"),43093.0)</f>
        <v>43093</v>
      </c>
      <c r="E1354" s="2">
        <f>IFERROR(__xludf.DUMMYFUNCTION("""COMPUTED_VALUE"""),367683.0)</f>
        <v>367683</v>
      </c>
      <c r="F1354" s="2">
        <f>IFERROR(__xludf.DUMMYFUNCTION("""COMPUTED_VALUE"""),4067174.0)</f>
        <v>4067174</v>
      </c>
      <c r="G1354" s="2">
        <f>IFERROR(__xludf.DUMMYFUNCTION("""COMPUTED_VALUE"""),40.4811)</f>
        <v>40.4811</v>
      </c>
    </row>
    <row r="1355">
      <c r="A1355" s="1" t="s">
        <v>1354</v>
      </c>
      <c r="D1355" s="3">
        <f>IFERROR(__xludf.DUMMYFUNCTION("SPLIT(A1355, ""|"")"),43349.0)</f>
        <v>43349</v>
      </c>
      <c r="E1355" s="2">
        <f>IFERROR(__xludf.DUMMYFUNCTION("""COMPUTED_VALUE"""),1567323.0)</f>
        <v>1567323</v>
      </c>
      <c r="F1355" s="2">
        <f>IFERROR(__xludf.DUMMYFUNCTION("""COMPUTED_VALUE"""),4740709.0)</f>
        <v>4740709</v>
      </c>
      <c r="G1355" s="2">
        <f>IFERROR(__xludf.DUMMYFUNCTION("""COMPUTED_VALUE"""),167.0881)</f>
        <v>167.0881</v>
      </c>
    </row>
    <row r="1356">
      <c r="A1356" s="1" t="s">
        <v>1355</v>
      </c>
      <c r="D1356" s="3">
        <f>IFERROR(__xludf.DUMMYFUNCTION("SPLIT(A1356, ""|"")"),43349.0)</f>
        <v>43349</v>
      </c>
      <c r="E1356" s="2">
        <f>IFERROR(__xludf.DUMMYFUNCTION("""COMPUTED_VALUE"""),234783.0)</f>
        <v>234783</v>
      </c>
      <c r="F1356" s="2">
        <f>IFERROR(__xludf.DUMMYFUNCTION("""COMPUTED_VALUE"""),4740291.0)</f>
        <v>4740291</v>
      </c>
      <c r="G1356" s="2">
        <f>IFERROR(__xludf.DUMMYFUNCTION("""COMPUTED_VALUE"""),126.5851)</f>
        <v>126.5851</v>
      </c>
    </row>
    <row r="1357">
      <c r="A1357" s="1" t="s">
        <v>1356</v>
      </c>
      <c r="D1357" s="3">
        <f>IFERROR(__xludf.DUMMYFUNCTION("SPLIT(A1357, ""|"")"),43349.0)</f>
        <v>43349</v>
      </c>
      <c r="E1357" s="2">
        <f>IFERROR(__xludf.DUMMYFUNCTION("""COMPUTED_VALUE"""),1535193.0)</f>
        <v>1535193</v>
      </c>
      <c r="F1357" s="2">
        <f>IFERROR(__xludf.DUMMYFUNCTION("""COMPUTED_VALUE"""),4739046.0)</f>
        <v>4739046</v>
      </c>
      <c r="G1357" s="2">
        <f>IFERROR(__xludf.DUMMYFUNCTION("""COMPUTED_VALUE"""),58.7414)</f>
        <v>58.7414</v>
      </c>
    </row>
    <row r="1358">
      <c r="A1358" s="1" t="s">
        <v>1357</v>
      </c>
      <c r="D1358" s="3">
        <f>IFERROR(__xludf.DUMMYFUNCTION("SPLIT(A1358, ""|"")"),43349.0)</f>
        <v>43349</v>
      </c>
      <c r="E1358" s="2">
        <f>IFERROR(__xludf.DUMMYFUNCTION("""COMPUTED_VALUE"""),1605423.0)</f>
        <v>1605423</v>
      </c>
      <c r="F1358" s="2">
        <f>IFERROR(__xludf.DUMMYFUNCTION("""COMPUTED_VALUE"""),4738963.0)</f>
        <v>4738963</v>
      </c>
      <c r="G1358" s="2">
        <f>IFERROR(__xludf.DUMMYFUNCTION("""COMPUTED_VALUE"""),83.2953999999999)</f>
        <v>83.2954</v>
      </c>
    </row>
    <row r="1359">
      <c r="A1359" s="1" t="s">
        <v>1358</v>
      </c>
      <c r="D1359" s="3">
        <f>IFERROR(__xludf.DUMMYFUNCTION("SPLIT(A1359, ""|"")"),43349.0)</f>
        <v>43349</v>
      </c>
      <c r="E1359" s="2">
        <f>IFERROR(__xludf.DUMMYFUNCTION("""COMPUTED_VALUE"""),1351803.0)</f>
        <v>1351803</v>
      </c>
      <c r="F1359" s="2">
        <f>IFERROR(__xludf.DUMMYFUNCTION("""COMPUTED_VALUE"""),4740608.0)</f>
        <v>4740608</v>
      </c>
      <c r="G1359" s="2">
        <f>IFERROR(__xludf.DUMMYFUNCTION("""COMPUTED_VALUE"""),80.4662999999999)</f>
        <v>80.4663</v>
      </c>
    </row>
    <row r="1360">
      <c r="A1360" s="1" t="s">
        <v>1359</v>
      </c>
      <c r="D1360" s="3">
        <f>IFERROR(__xludf.DUMMYFUNCTION("SPLIT(A1360, ""|"")"),43349.0)</f>
        <v>43349</v>
      </c>
      <c r="E1360" s="2">
        <f>IFERROR(__xludf.DUMMYFUNCTION("""COMPUTED_VALUE"""),1528503.0)</f>
        <v>1528503</v>
      </c>
      <c r="F1360" s="2">
        <f>IFERROR(__xludf.DUMMYFUNCTION("""COMPUTED_VALUE"""),4739770.0)</f>
        <v>4739770</v>
      </c>
      <c r="G1360" s="2">
        <f>IFERROR(__xludf.DUMMYFUNCTION("""COMPUTED_VALUE"""),121.9033)</f>
        <v>121.9033</v>
      </c>
    </row>
    <row r="1361">
      <c r="A1361" s="1" t="s">
        <v>1360</v>
      </c>
      <c r="D1361" s="3">
        <f>IFERROR(__xludf.DUMMYFUNCTION("SPLIT(A1361, ""|"")"),43349.0)</f>
        <v>43349</v>
      </c>
      <c r="E1361" s="2">
        <f>IFERROR(__xludf.DUMMYFUNCTION("""COMPUTED_VALUE"""),1527513.0)</f>
        <v>1527513</v>
      </c>
      <c r="F1361" s="2">
        <f>IFERROR(__xludf.DUMMYFUNCTION("""COMPUTED_VALUE"""),4740243.0)</f>
        <v>4740243</v>
      </c>
      <c r="G1361" s="2">
        <f>IFERROR(__xludf.DUMMYFUNCTION("""COMPUTED_VALUE"""),62.4216)</f>
        <v>62.4216</v>
      </c>
    </row>
    <row r="1362">
      <c r="A1362" s="1" t="s">
        <v>1361</v>
      </c>
      <c r="D1362" s="3">
        <f>IFERROR(__xludf.DUMMYFUNCTION("SPLIT(A1362, ""|"")"),43349.0)</f>
        <v>43349</v>
      </c>
      <c r="E1362" s="2">
        <f>IFERROR(__xludf.DUMMYFUNCTION("""COMPUTED_VALUE"""),1351803.0)</f>
        <v>1351803</v>
      </c>
      <c r="F1362" s="2">
        <f>IFERROR(__xludf.DUMMYFUNCTION("""COMPUTED_VALUE"""),4740450.0)</f>
        <v>4740450</v>
      </c>
      <c r="G1362" s="2">
        <f>IFERROR(__xludf.DUMMYFUNCTION("""COMPUTED_VALUE"""),12.4167)</f>
        <v>12.4167</v>
      </c>
    </row>
    <row r="1363">
      <c r="A1363" s="1" t="s">
        <v>1362</v>
      </c>
      <c r="D1363" s="3">
        <f>IFERROR(__xludf.DUMMYFUNCTION("SPLIT(A1363, ""|"")"),43094.0)</f>
        <v>43094</v>
      </c>
      <c r="E1363" s="2">
        <f>IFERROR(__xludf.DUMMYFUNCTION("""COMPUTED_VALUE"""),1487403.0)</f>
        <v>1487403</v>
      </c>
      <c r="F1363" s="2">
        <f>IFERROR(__xludf.DUMMYFUNCTION("""COMPUTED_VALUE"""),4067869.0)</f>
        <v>4067869</v>
      </c>
      <c r="G1363" s="2">
        <f>IFERROR(__xludf.DUMMYFUNCTION("""COMPUTED_VALUE"""),27.375)</f>
        <v>27.375</v>
      </c>
    </row>
    <row r="1364">
      <c r="A1364" s="1" t="s">
        <v>1363</v>
      </c>
      <c r="D1364" s="3">
        <f>IFERROR(__xludf.DUMMYFUNCTION("SPLIT(A1364, ""|"")"),43094.0)</f>
        <v>43094</v>
      </c>
      <c r="E1364" s="2">
        <f>IFERROR(__xludf.DUMMYFUNCTION("""COMPUTED_VALUE"""),1334643.0)</f>
        <v>1334643</v>
      </c>
      <c r="F1364" s="2">
        <f>IFERROR(__xludf.DUMMYFUNCTION("""COMPUTED_VALUE"""),4067766.0)</f>
        <v>4067766</v>
      </c>
      <c r="G1364" s="2">
        <f>IFERROR(__xludf.DUMMYFUNCTION("""COMPUTED_VALUE"""),86.8436)</f>
        <v>86.8436</v>
      </c>
    </row>
    <row r="1365">
      <c r="A1365" s="1" t="s">
        <v>1364</v>
      </c>
      <c r="D1365" s="3">
        <f>IFERROR(__xludf.DUMMYFUNCTION("SPLIT(A1365, ""|"")"),43094.0)</f>
        <v>43094</v>
      </c>
      <c r="E1365" s="2">
        <f>IFERROR(__xludf.DUMMYFUNCTION("""COMPUTED_VALUE"""),1487553.0)</f>
        <v>1487553</v>
      </c>
      <c r="F1365" s="2">
        <f>IFERROR(__xludf.DUMMYFUNCTION("""COMPUTED_VALUE"""),4068390.0)</f>
        <v>4068390</v>
      </c>
      <c r="G1365" s="2">
        <f>IFERROR(__xludf.DUMMYFUNCTION("""COMPUTED_VALUE"""),60.9212999999999)</f>
        <v>60.9213</v>
      </c>
    </row>
    <row r="1366">
      <c r="A1366" s="1" t="s">
        <v>1365</v>
      </c>
      <c r="D1366" s="3">
        <f>IFERROR(__xludf.DUMMYFUNCTION("SPLIT(A1366, ""|"")"),43094.0)</f>
        <v>43094</v>
      </c>
      <c r="E1366" s="2">
        <f>IFERROR(__xludf.DUMMYFUNCTION("""COMPUTED_VALUE"""),848373.0)</f>
        <v>848373</v>
      </c>
      <c r="F1366" s="2">
        <f>IFERROR(__xludf.DUMMYFUNCTION("""COMPUTED_VALUE"""),4068246.0)</f>
        <v>4068246</v>
      </c>
      <c r="G1366" s="2">
        <f>IFERROR(__xludf.DUMMYFUNCTION("""COMPUTED_VALUE"""),71.25)</f>
        <v>71.25</v>
      </c>
    </row>
    <row r="1367">
      <c r="A1367" s="1" t="s">
        <v>1366</v>
      </c>
      <c r="D1367" s="3">
        <f>IFERROR(__xludf.DUMMYFUNCTION("SPLIT(A1367, ""|"")"),43350.0)</f>
        <v>43350</v>
      </c>
      <c r="E1367" s="2">
        <f>IFERROR(__xludf.DUMMYFUNCTION("""COMPUTED_VALUE"""),1653453.0)</f>
        <v>1653453</v>
      </c>
      <c r="F1367" s="2">
        <f>IFERROR(__xludf.DUMMYFUNCTION("""COMPUTED_VALUE"""),4742447.0)</f>
        <v>4742447</v>
      </c>
      <c r="G1367" s="2">
        <f>IFERROR(__xludf.DUMMYFUNCTION("""COMPUTED_VALUE"""),64.6843)</f>
        <v>64.6843</v>
      </c>
    </row>
    <row r="1368">
      <c r="A1368" s="1" t="s">
        <v>1367</v>
      </c>
      <c r="D1368" s="3">
        <f>IFERROR(__xludf.DUMMYFUNCTION("SPLIT(A1368, ""|"")"),43350.0)</f>
        <v>43350</v>
      </c>
      <c r="E1368" s="2">
        <f>IFERROR(__xludf.DUMMYFUNCTION("""COMPUTED_VALUE"""),1519623.0)</f>
        <v>1519623</v>
      </c>
      <c r="F1368" s="2">
        <f>IFERROR(__xludf.DUMMYFUNCTION("""COMPUTED_VALUE"""),4743022.0)</f>
        <v>4743022</v>
      </c>
      <c r="G1368" s="2">
        <f>IFERROR(__xludf.DUMMYFUNCTION("""COMPUTED_VALUE"""),64.735)</f>
        <v>64.735</v>
      </c>
    </row>
    <row r="1369">
      <c r="A1369" s="1" t="s">
        <v>1368</v>
      </c>
      <c r="D1369" s="3">
        <f>IFERROR(__xludf.DUMMYFUNCTION("SPLIT(A1369, ""|"")"),43350.0)</f>
        <v>43350</v>
      </c>
      <c r="E1369" s="2">
        <f>IFERROR(__xludf.DUMMYFUNCTION("""COMPUTED_VALUE"""),1407333.0)</f>
        <v>1407333</v>
      </c>
      <c r="F1369" s="2">
        <f>IFERROR(__xludf.DUMMYFUNCTION("""COMPUTED_VALUE"""),4742994.0)</f>
        <v>4742994</v>
      </c>
      <c r="G1369" s="2">
        <f>IFERROR(__xludf.DUMMYFUNCTION("""COMPUTED_VALUE"""),150.4275)</f>
        <v>150.4275</v>
      </c>
    </row>
    <row r="1370">
      <c r="A1370" s="1" t="s">
        <v>1369</v>
      </c>
      <c r="D1370" s="3">
        <f>IFERROR(__xludf.DUMMYFUNCTION("SPLIT(A1370, ""|"")"),43350.0)</f>
        <v>43350</v>
      </c>
      <c r="E1370" s="2">
        <f>IFERROR(__xludf.DUMMYFUNCTION("""COMPUTED_VALUE"""),1482513.0)</f>
        <v>1482513</v>
      </c>
      <c r="F1370" s="2">
        <f>IFERROR(__xludf.DUMMYFUNCTION("""COMPUTED_VALUE"""),4742938.0)</f>
        <v>4742938</v>
      </c>
      <c r="G1370" s="2">
        <f>IFERROR(__xludf.DUMMYFUNCTION("""COMPUTED_VALUE"""),98.7000999999999)</f>
        <v>98.7001</v>
      </c>
    </row>
    <row r="1371">
      <c r="A1371" s="1" t="s">
        <v>1370</v>
      </c>
      <c r="D1371" s="3">
        <f>IFERROR(__xludf.DUMMYFUNCTION("SPLIT(A1371, ""|"")"),43350.0)</f>
        <v>43350</v>
      </c>
      <c r="E1371" s="2">
        <f>IFERROR(__xludf.DUMMYFUNCTION("""COMPUTED_VALUE"""),1332093.0)</f>
        <v>1332093</v>
      </c>
      <c r="F1371" s="2">
        <f>IFERROR(__xludf.DUMMYFUNCTION("""COMPUTED_VALUE"""),4742743.0)</f>
        <v>4742743</v>
      </c>
      <c r="G1371" s="2">
        <f>IFERROR(__xludf.DUMMYFUNCTION("""COMPUTED_VALUE"""),39.6838)</f>
        <v>39.6838</v>
      </c>
    </row>
    <row r="1372">
      <c r="A1372" s="1" t="s">
        <v>1371</v>
      </c>
      <c r="D1372" s="3">
        <f>IFERROR(__xludf.DUMMYFUNCTION("SPLIT(A1372, ""|"")"),43095.0)</f>
        <v>43095</v>
      </c>
      <c r="E1372" s="2">
        <f>IFERROR(__xludf.DUMMYFUNCTION("""COMPUTED_VALUE"""),1398153.0)</f>
        <v>1398153</v>
      </c>
      <c r="F1372" s="2">
        <f>IFERROR(__xludf.DUMMYFUNCTION("""COMPUTED_VALUE"""),4069068.0)</f>
        <v>4069068</v>
      </c>
      <c r="G1372" s="2">
        <f>IFERROR(__xludf.DUMMYFUNCTION("""COMPUTED_VALUE"""),27.2108)</f>
        <v>27.2108</v>
      </c>
    </row>
    <row r="1373">
      <c r="A1373" s="1" t="s">
        <v>1372</v>
      </c>
      <c r="D1373" s="3">
        <f>IFERROR(__xludf.DUMMYFUNCTION("SPLIT(A1373, ""|"")"),43095.0)</f>
        <v>43095</v>
      </c>
      <c r="E1373" s="2">
        <f>IFERROR(__xludf.DUMMYFUNCTION("""COMPUTED_VALUE"""),1488063.0)</f>
        <v>1488063</v>
      </c>
      <c r="F1373" s="2">
        <f>IFERROR(__xludf.DUMMYFUNCTION("""COMPUTED_VALUE"""),4070503.0)</f>
        <v>4070503</v>
      </c>
      <c r="G1373" s="2">
        <f>IFERROR(__xludf.DUMMYFUNCTION("""COMPUTED_VALUE"""),57.6733)</f>
        <v>57.6733</v>
      </c>
    </row>
    <row r="1374">
      <c r="A1374" s="1" t="s">
        <v>1373</v>
      </c>
      <c r="D1374" s="3">
        <f>IFERROR(__xludf.DUMMYFUNCTION("SPLIT(A1374, ""|"")"),43095.0)</f>
        <v>43095</v>
      </c>
      <c r="E1374" s="2">
        <f>IFERROR(__xludf.DUMMYFUNCTION("""COMPUTED_VALUE"""),1315143.0)</f>
        <v>1315143</v>
      </c>
      <c r="F1374" s="2">
        <f>IFERROR(__xludf.DUMMYFUNCTION("""COMPUTED_VALUE"""),4070255.0)</f>
        <v>4070255</v>
      </c>
      <c r="G1374" s="2">
        <f>IFERROR(__xludf.DUMMYFUNCTION("""COMPUTED_VALUE"""),87.2735)</f>
        <v>87.2735</v>
      </c>
    </row>
    <row r="1375">
      <c r="A1375" s="1" t="s">
        <v>1374</v>
      </c>
      <c r="D1375" s="3">
        <f>IFERROR(__xludf.DUMMYFUNCTION("SPLIT(A1375, ""|"")"),43095.0)</f>
        <v>43095</v>
      </c>
      <c r="E1375" s="2">
        <f>IFERROR(__xludf.DUMMYFUNCTION("""COMPUTED_VALUE"""),1432653.0)</f>
        <v>1432653</v>
      </c>
      <c r="F1375" s="2">
        <f>IFERROR(__xludf.DUMMYFUNCTION("""COMPUTED_VALUE"""),4069589.0)</f>
        <v>4069589</v>
      </c>
      <c r="G1375" s="2">
        <f>IFERROR(__xludf.DUMMYFUNCTION("""COMPUTED_VALUE"""),20.8333)</f>
        <v>20.8333</v>
      </c>
    </row>
    <row r="1376">
      <c r="A1376" s="1" t="s">
        <v>1375</v>
      </c>
      <c r="D1376" s="3">
        <f>IFERROR(__xludf.DUMMYFUNCTION("SPLIT(A1376, ""|"")"),43095.0)</f>
        <v>43095</v>
      </c>
      <c r="E1376" s="2">
        <f>IFERROR(__xludf.DUMMYFUNCTION("""COMPUTED_VALUE"""),1184643.0)</f>
        <v>1184643</v>
      </c>
      <c r="F1376" s="2">
        <f>IFERROR(__xludf.DUMMYFUNCTION("""COMPUTED_VALUE"""),4070732.0)</f>
        <v>4070732</v>
      </c>
      <c r="G1376" s="2">
        <f>IFERROR(__xludf.DUMMYFUNCTION("""COMPUTED_VALUE"""),317.4558)</f>
        <v>317.4558</v>
      </c>
    </row>
    <row r="1377">
      <c r="A1377" s="1" t="s">
        <v>1376</v>
      </c>
      <c r="D1377" s="3">
        <f>IFERROR(__xludf.DUMMYFUNCTION("SPLIT(A1377, ""|"")"),43351.0)</f>
        <v>43351</v>
      </c>
      <c r="E1377" s="2">
        <f>IFERROR(__xludf.DUMMYFUNCTION("""COMPUTED_VALUE"""),1478823.0)</f>
        <v>1478823</v>
      </c>
      <c r="F1377" s="2">
        <f>IFERROR(__xludf.DUMMYFUNCTION("""COMPUTED_VALUE"""),4743798.0)</f>
        <v>4743798</v>
      </c>
      <c r="G1377" s="2">
        <f>IFERROR(__xludf.DUMMYFUNCTION("""COMPUTED_VALUE"""),71.2666)</f>
        <v>71.2666</v>
      </c>
    </row>
    <row r="1378">
      <c r="A1378" s="1" t="s">
        <v>1377</v>
      </c>
      <c r="D1378" s="3">
        <f>IFERROR(__xludf.DUMMYFUNCTION("SPLIT(A1378, ""|"")"),43351.0)</f>
        <v>43351</v>
      </c>
      <c r="E1378" s="2">
        <f>IFERROR(__xludf.DUMMYFUNCTION("""COMPUTED_VALUE"""),1478823.0)</f>
        <v>1478823</v>
      </c>
      <c r="F1378" s="2">
        <f>IFERROR(__xludf.DUMMYFUNCTION("""COMPUTED_VALUE"""),4743784.0)</f>
        <v>4743784</v>
      </c>
      <c r="G1378" s="2">
        <f>IFERROR(__xludf.DUMMYFUNCTION("""COMPUTED_VALUE"""),71.2666)</f>
        <v>71.2666</v>
      </c>
    </row>
    <row r="1379">
      <c r="A1379" s="1" t="s">
        <v>1378</v>
      </c>
      <c r="D1379" s="3">
        <f>IFERROR(__xludf.DUMMYFUNCTION("SPLIT(A1379, ""|"")"),43351.0)</f>
        <v>43351</v>
      </c>
      <c r="E1379" s="2">
        <f>IFERROR(__xludf.DUMMYFUNCTION("""COMPUTED_VALUE"""),1194483.0)</f>
        <v>1194483</v>
      </c>
      <c r="F1379" s="2">
        <f>IFERROR(__xludf.DUMMYFUNCTION("""COMPUTED_VALUE"""),4743844.0)</f>
        <v>4743844</v>
      </c>
      <c r="G1379" s="2">
        <f>IFERROR(__xludf.DUMMYFUNCTION("""COMPUTED_VALUE"""),185.6752)</f>
        <v>185.6752</v>
      </c>
    </row>
    <row r="1380">
      <c r="A1380" s="1" t="s">
        <v>1379</v>
      </c>
      <c r="D1380" s="3">
        <f>IFERROR(__xludf.DUMMYFUNCTION("SPLIT(A1380, ""|"")"),43351.0)</f>
        <v>43351</v>
      </c>
      <c r="E1380" s="2">
        <f>IFERROR(__xludf.DUMMYFUNCTION("""COMPUTED_VALUE"""),1594203.0)</f>
        <v>1594203</v>
      </c>
      <c r="F1380" s="2">
        <f>IFERROR(__xludf.DUMMYFUNCTION("""COMPUTED_VALUE"""),4744405.0)</f>
        <v>4744405</v>
      </c>
      <c r="G1380" s="2">
        <f>IFERROR(__xludf.DUMMYFUNCTION("""COMPUTED_VALUE"""),150.3715)</f>
        <v>150.3715</v>
      </c>
    </row>
    <row r="1381">
      <c r="A1381" s="1" t="s">
        <v>1380</v>
      </c>
      <c r="D1381" s="3">
        <f>IFERROR(__xludf.DUMMYFUNCTION("SPLIT(A1381, ""|"")"),43351.0)</f>
        <v>43351</v>
      </c>
      <c r="E1381" s="2">
        <f>IFERROR(__xludf.DUMMYFUNCTION("""COMPUTED_VALUE"""),1546173.0)</f>
        <v>1546173</v>
      </c>
      <c r="F1381" s="2">
        <f>IFERROR(__xludf.DUMMYFUNCTION("""COMPUTED_VALUE"""),4744314.0)</f>
        <v>4744314</v>
      </c>
      <c r="G1381" s="2">
        <f>IFERROR(__xludf.DUMMYFUNCTION("""COMPUTED_VALUE"""),52.163)</f>
        <v>52.163</v>
      </c>
    </row>
    <row r="1382">
      <c r="A1382" s="1" t="s">
        <v>1381</v>
      </c>
      <c r="D1382" s="3">
        <f>IFERROR(__xludf.DUMMYFUNCTION("SPLIT(A1382, ""|"")"),43351.0)</f>
        <v>43351</v>
      </c>
      <c r="E1382" s="2">
        <f>IFERROR(__xludf.DUMMYFUNCTION("""COMPUTED_VALUE"""),1336623.0)</f>
        <v>1336623</v>
      </c>
      <c r="F1382" s="2">
        <f>IFERROR(__xludf.DUMMYFUNCTION("""COMPUTED_VALUE"""),4743990.0)</f>
        <v>4743990</v>
      </c>
      <c r="G1382" s="2">
        <f>IFERROR(__xludf.DUMMYFUNCTION("""COMPUTED_VALUE"""),49.5017)</f>
        <v>49.5017</v>
      </c>
    </row>
    <row r="1383">
      <c r="A1383" s="1" t="s">
        <v>1382</v>
      </c>
      <c r="D1383" s="3">
        <f>IFERROR(__xludf.DUMMYFUNCTION("SPLIT(A1383, ""|"")"),43351.0)</f>
        <v>43351</v>
      </c>
      <c r="E1383" s="2">
        <f>IFERROR(__xludf.DUMMYFUNCTION("""COMPUTED_VALUE"""),1194483.0)</f>
        <v>1194483</v>
      </c>
      <c r="F1383" s="2">
        <f>IFERROR(__xludf.DUMMYFUNCTION("""COMPUTED_VALUE"""),4743792.0)</f>
        <v>4743792</v>
      </c>
      <c r="G1383" s="2">
        <f>IFERROR(__xludf.DUMMYFUNCTION("""COMPUTED_VALUE"""),12.4167)</f>
        <v>12.4167</v>
      </c>
    </row>
    <row r="1384">
      <c r="A1384" s="1" t="s">
        <v>1383</v>
      </c>
      <c r="D1384" s="3">
        <f>IFERROR(__xludf.DUMMYFUNCTION("SPLIT(A1384, ""|"")"),43351.0)</f>
        <v>43351</v>
      </c>
      <c r="E1384" s="2">
        <f>IFERROR(__xludf.DUMMYFUNCTION("""COMPUTED_VALUE"""),1344573.0)</f>
        <v>1344573</v>
      </c>
      <c r="F1384" s="2">
        <f>IFERROR(__xludf.DUMMYFUNCTION("""COMPUTED_VALUE"""),4745301.0)</f>
        <v>4745301</v>
      </c>
      <c r="G1384" s="2">
        <f>IFERROR(__xludf.DUMMYFUNCTION("""COMPUTED_VALUE"""),63.9567)</f>
        <v>63.9567</v>
      </c>
    </row>
    <row r="1385">
      <c r="A1385" s="1" t="s">
        <v>1384</v>
      </c>
      <c r="D1385" s="3">
        <f>IFERROR(__xludf.DUMMYFUNCTION("SPLIT(A1385, ""|"")"),43351.0)</f>
        <v>43351</v>
      </c>
      <c r="E1385" s="2">
        <f>IFERROR(__xludf.DUMMYFUNCTION("""COMPUTED_VALUE"""),1660503.0)</f>
        <v>1660503</v>
      </c>
      <c r="F1385" s="2">
        <f>IFERROR(__xludf.DUMMYFUNCTION("""COMPUTED_VALUE"""),4744009.0)</f>
        <v>4744009</v>
      </c>
      <c r="G1385" s="2">
        <f>IFERROR(__xludf.DUMMYFUNCTION("""COMPUTED_VALUE"""),65.3583999999999)</f>
        <v>65.3584</v>
      </c>
    </row>
    <row r="1386">
      <c r="A1386" s="1" t="s">
        <v>1385</v>
      </c>
      <c r="D1386" s="3">
        <f>IFERROR(__xludf.DUMMYFUNCTION("SPLIT(A1386, ""|"")"),43351.0)</f>
        <v>43351</v>
      </c>
      <c r="E1386" s="2">
        <f>IFERROR(__xludf.DUMMYFUNCTION("""COMPUTED_VALUE"""),1056543.0)</f>
        <v>1056543</v>
      </c>
      <c r="F1386" s="2">
        <f>IFERROR(__xludf.DUMMYFUNCTION("""COMPUTED_VALUE"""),4744870.0)</f>
        <v>4744870</v>
      </c>
      <c r="G1386" s="2">
        <f>IFERROR(__xludf.DUMMYFUNCTION("""COMPUTED_VALUE"""),43.0921)</f>
        <v>43.0921</v>
      </c>
    </row>
    <row r="1387">
      <c r="A1387" s="1" t="s">
        <v>1386</v>
      </c>
      <c r="D1387" s="3">
        <f>IFERROR(__xludf.DUMMYFUNCTION("SPLIT(A1387, ""|"")"),43096.0)</f>
        <v>43096</v>
      </c>
      <c r="E1387" s="2">
        <f>IFERROR(__xludf.DUMMYFUNCTION("""COMPUTED_VALUE"""),1488693.0)</f>
        <v>1488693</v>
      </c>
      <c r="F1387" s="2">
        <f>IFERROR(__xludf.DUMMYFUNCTION("""COMPUTED_VALUE"""),4072931.0)</f>
        <v>4072931</v>
      </c>
      <c r="G1387" s="2">
        <f>IFERROR(__xludf.DUMMYFUNCTION("""COMPUTED_VALUE"""),19.3608)</f>
        <v>19.3608</v>
      </c>
    </row>
    <row r="1388">
      <c r="A1388" s="1" t="s">
        <v>1387</v>
      </c>
      <c r="D1388" s="3">
        <f>IFERROR(__xludf.DUMMYFUNCTION("SPLIT(A1388, ""|"")"),43096.0)</f>
        <v>43096</v>
      </c>
      <c r="E1388" s="2">
        <f>IFERROR(__xludf.DUMMYFUNCTION("""COMPUTED_VALUE"""),1314993.0)</f>
        <v>1314993</v>
      </c>
      <c r="F1388" s="2">
        <f>IFERROR(__xludf.DUMMYFUNCTION("""COMPUTED_VALUE"""),4071616.0)</f>
        <v>4071616</v>
      </c>
      <c r="G1388" s="2">
        <f>IFERROR(__xludf.DUMMYFUNCTION("""COMPUTED_VALUE"""),68.86)</f>
        <v>68.86</v>
      </c>
    </row>
    <row r="1389">
      <c r="A1389" s="1" t="s">
        <v>1388</v>
      </c>
      <c r="D1389" s="3">
        <f>IFERROR(__xludf.DUMMYFUNCTION("SPLIT(A1389, ""|"")"),43096.0)</f>
        <v>43096</v>
      </c>
      <c r="E1389" s="2">
        <f>IFERROR(__xludf.DUMMYFUNCTION("""COMPUTED_VALUE"""),1214823.0)</f>
        <v>1214823</v>
      </c>
      <c r="F1389" s="2">
        <f>IFERROR(__xludf.DUMMYFUNCTION("""COMPUTED_VALUE"""),4072620.0)</f>
        <v>4072620</v>
      </c>
      <c r="G1389" s="2">
        <f>IFERROR(__xludf.DUMMYFUNCTION("""COMPUTED_VALUE"""),83.9785)</f>
        <v>83.9785</v>
      </c>
    </row>
    <row r="1390">
      <c r="A1390" s="1" t="s">
        <v>1389</v>
      </c>
      <c r="D1390" s="3">
        <f>IFERROR(__xludf.DUMMYFUNCTION("SPLIT(A1390, ""|"")"),43096.0)</f>
        <v>43096</v>
      </c>
      <c r="E1390" s="2">
        <f>IFERROR(__xludf.DUMMYFUNCTION("""COMPUTED_VALUE"""),862653.0)</f>
        <v>862653</v>
      </c>
      <c r="F1390" s="2">
        <f>IFERROR(__xludf.DUMMYFUNCTION("""COMPUTED_VALUE"""),4072840.0)</f>
        <v>4072840</v>
      </c>
      <c r="G1390" s="2">
        <f>IFERROR(__xludf.DUMMYFUNCTION("""COMPUTED_VALUE"""),99.161)</f>
        <v>99.161</v>
      </c>
    </row>
    <row r="1391">
      <c r="A1391" s="1" t="s">
        <v>1390</v>
      </c>
      <c r="D1391" s="3">
        <f>IFERROR(__xludf.DUMMYFUNCTION("SPLIT(A1391, ""|"")"),43096.0)</f>
        <v>43096</v>
      </c>
      <c r="E1391" s="2">
        <f>IFERROR(__xludf.DUMMYFUNCTION("""COMPUTED_VALUE"""),1369833.0)</f>
        <v>1369833</v>
      </c>
      <c r="F1391" s="2">
        <f>IFERROR(__xludf.DUMMYFUNCTION("""COMPUTED_VALUE"""),4071325.0)</f>
        <v>4071325</v>
      </c>
      <c r="G1391" s="2">
        <f>IFERROR(__xludf.DUMMYFUNCTION("""COMPUTED_VALUE"""),50.0834)</f>
        <v>50.0834</v>
      </c>
    </row>
    <row r="1392">
      <c r="A1392" s="1" t="s">
        <v>1391</v>
      </c>
      <c r="D1392" s="3">
        <f>IFERROR(__xludf.DUMMYFUNCTION("SPLIT(A1392, ""|"")"),43096.0)</f>
        <v>43096</v>
      </c>
      <c r="E1392" s="2">
        <f>IFERROR(__xludf.DUMMYFUNCTION("""COMPUTED_VALUE"""),1435473.0)</f>
        <v>1435473</v>
      </c>
      <c r="F1392" s="2">
        <f>IFERROR(__xludf.DUMMYFUNCTION("""COMPUTED_VALUE"""),4073202.0)</f>
        <v>4073202</v>
      </c>
      <c r="G1392" s="2">
        <f>IFERROR(__xludf.DUMMYFUNCTION("""COMPUTED_VALUE"""),96.8601)</f>
        <v>96.8601</v>
      </c>
    </row>
    <row r="1393">
      <c r="A1393" s="1" t="s">
        <v>1392</v>
      </c>
      <c r="D1393" s="3">
        <f>IFERROR(__xludf.DUMMYFUNCTION("SPLIT(A1393, ""|"")"),43096.0)</f>
        <v>43096</v>
      </c>
      <c r="E1393" s="2">
        <f>IFERROR(__xludf.DUMMYFUNCTION("""COMPUTED_VALUE"""),1438953.0)</f>
        <v>1438953</v>
      </c>
      <c r="F1393" s="2">
        <f>IFERROR(__xludf.DUMMYFUNCTION("""COMPUTED_VALUE"""),4071507.0)</f>
        <v>4071507</v>
      </c>
      <c r="G1393" s="2">
        <f>IFERROR(__xludf.DUMMYFUNCTION("""COMPUTED_VALUE"""),39.0833)</f>
        <v>39.0833</v>
      </c>
    </row>
    <row r="1394">
      <c r="A1394" s="1" t="s">
        <v>1393</v>
      </c>
      <c r="D1394" s="3">
        <f>IFERROR(__xludf.DUMMYFUNCTION("SPLIT(A1394, ""|"")"),43352.0)</f>
        <v>43352</v>
      </c>
      <c r="E1394" s="2">
        <f>IFERROR(__xludf.DUMMYFUNCTION("""COMPUTED_VALUE"""),1416123.0)</f>
        <v>1416123</v>
      </c>
      <c r="F1394" s="2">
        <f>IFERROR(__xludf.DUMMYFUNCTION("""COMPUTED_VALUE"""),4747506.0)</f>
        <v>4747506</v>
      </c>
      <c r="G1394" s="2">
        <f>IFERROR(__xludf.DUMMYFUNCTION("""COMPUTED_VALUE"""),51.3883)</f>
        <v>51.3883</v>
      </c>
    </row>
    <row r="1395">
      <c r="A1395" s="1" t="s">
        <v>1394</v>
      </c>
      <c r="D1395" s="3">
        <f>IFERROR(__xludf.DUMMYFUNCTION("SPLIT(A1395, ""|"")"),43352.0)</f>
        <v>43352</v>
      </c>
      <c r="E1395" s="2">
        <f>IFERROR(__xludf.DUMMYFUNCTION("""COMPUTED_VALUE"""),430593.0)</f>
        <v>430593</v>
      </c>
      <c r="F1395" s="2">
        <f>IFERROR(__xludf.DUMMYFUNCTION("""COMPUTED_VALUE"""),4745920.0)</f>
        <v>4745920</v>
      </c>
      <c r="G1395" s="2">
        <f>IFERROR(__xludf.DUMMYFUNCTION("""COMPUTED_VALUE"""),138.6925)</f>
        <v>138.6925</v>
      </c>
    </row>
    <row r="1396">
      <c r="A1396" s="1" t="s">
        <v>1395</v>
      </c>
      <c r="D1396" s="3">
        <f>IFERROR(__xludf.DUMMYFUNCTION("SPLIT(A1396, ""|"")"),43352.0)</f>
        <v>43352</v>
      </c>
      <c r="E1396" s="2">
        <f>IFERROR(__xludf.DUMMYFUNCTION("""COMPUTED_VALUE"""),1661073.0)</f>
        <v>1661073</v>
      </c>
      <c r="F1396" s="2">
        <f>IFERROR(__xludf.DUMMYFUNCTION("""COMPUTED_VALUE"""),4745810.0)</f>
        <v>4745810</v>
      </c>
      <c r="G1396" s="2">
        <f>IFERROR(__xludf.DUMMYFUNCTION("""COMPUTED_VALUE"""),5.2557)</f>
        <v>5.2557</v>
      </c>
    </row>
    <row r="1397">
      <c r="A1397" s="1" t="s">
        <v>1396</v>
      </c>
      <c r="D1397" s="3">
        <f>IFERROR(__xludf.DUMMYFUNCTION("SPLIT(A1397, ""|"")"),43352.0)</f>
        <v>43352</v>
      </c>
      <c r="E1397" s="2">
        <f>IFERROR(__xludf.DUMMYFUNCTION("""COMPUTED_VALUE"""),257913.0)</f>
        <v>257913</v>
      </c>
      <c r="F1397" s="2">
        <f>IFERROR(__xludf.DUMMYFUNCTION("""COMPUTED_VALUE"""),4746994.0)</f>
        <v>4746994</v>
      </c>
      <c r="G1397" s="2">
        <f>IFERROR(__xludf.DUMMYFUNCTION("""COMPUTED_VALUE"""),146.6195)</f>
        <v>146.6195</v>
      </c>
    </row>
    <row r="1398">
      <c r="A1398" s="1" t="s">
        <v>1397</v>
      </c>
      <c r="D1398" s="3">
        <f>IFERROR(__xludf.DUMMYFUNCTION("SPLIT(A1398, ""|"")"),43097.0)</f>
        <v>43097</v>
      </c>
      <c r="E1398" s="2">
        <f>IFERROR(__xludf.DUMMYFUNCTION("""COMPUTED_VALUE"""),1489173.0)</f>
        <v>1489173</v>
      </c>
      <c r="F1398" s="2">
        <f>IFERROR(__xludf.DUMMYFUNCTION("""COMPUTED_VALUE"""),4074817.0)</f>
        <v>4074817</v>
      </c>
      <c r="G1398" s="2">
        <f>IFERROR(__xludf.DUMMYFUNCTION("""COMPUTED_VALUE"""),64.8347)</f>
        <v>64.8347</v>
      </c>
    </row>
    <row r="1399">
      <c r="A1399" s="1" t="s">
        <v>1398</v>
      </c>
      <c r="D1399" s="3">
        <f>IFERROR(__xludf.DUMMYFUNCTION("SPLIT(A1399, ""|"")"),43097.0)</f>
        <v>43097</v>
      </c>
      <c r="E1399" s="2">
        <f>IFERROR(__xludf.DUMMYFUNCTION("""COMPUTED_VALUE"""),1419603.0)</f>
        <v>1419603</v>
      </c>
      <c r="F1399" s="2">
        <f>IFERROR(__xludf.DUMMYFUNCTION("""COMPUTED_VALUE"""),4073919.0)</f>
        <v>4073919</v>
      </c>
      <c r="G1399" s="2">
        <f>IFERROR(__xludf.DUMMYFUNCTION("""COMPUTED_VALUE"""),76.1028999999999)</f>
        <v>76.1029</v>
      </c>
    </row>
    <row r="1400">
      <c r="A1400" s="1" t="s">
        <v>1399</v>
      </c>
      <c r="D1400" s="3">
        <f>IFERROR(__xludf.DUMMYFUNCTION("SPLIT(A1400, ""|"")"),43097.0)</f>
        <v>43097</v>
      </c>
      <c r="E1400" s="2">
        <f>IFERROR(__xludf.DUMMYFUNCTION("""COMPUTED_VALUE"""),1188213.0)</f>
        <v>1188213</v>
      </c>
      <c r="F1400" s="2">
        <f>IFERROR(__xludf.DUMMYFUNCTION("""COMPUTED_VALUE"""),4075513.0)</f>
        <v>4075513</v>
      </c>
      <c r="G1400" s="2">
        <f>IFERROR(__xludf.DUMMYFUNCTION("""COMPUTED_VALUE"""),10.125)</f>
        <v>10.125</v>
      </c>
    </row>
    <row r="1401">
      <c r="A1401" s="1" t="s">
        <v>1400</v>
      </c>
      <c r="D1401" s="3">
        <f>IFERROR(__xludf.DUMMYFUNCTION("SPLIT(A1401, ""|"")"),43097.0)</f>
        <v>43097</v>
      </c>
      <c r="E1401" s="2">
        <f>IFERROR(__xludf.DUMMYFUNCTION("""COMPUTED_VALUE"""),1488723.0)</f>
        <v>1488723</v>
      </c>
      <c r="F1401" s="2">
        <f>IFERROR(__xludf.DUMMYFUNCTION("""COMPUTED_VALUE"""),4074756.0)</f>
        <v>4074756</v>
      </c>
      <c r="G1401" s="2">
        <f>IFERROR(__xludf.DUMMYFUNCTION("""COMPUTED_VALUE"""),17.1292)</f>
        <v>17.1292</v>
      </c>
    </row>
    <row r="1402">
      <c r="A1402" s="1" t="s">
        <v>1401</v>
      </c>
      <c r="D1402" s="3">
        <f>IFERROR(__xludf.DUMMYFUNCTION("SPLIT(A1402, ""|"")"),43097.0)</f>
        <v>43097</v>
      </c>
      <c r="E1402" s="2">
        <f>IFERROR(__xludf.DUMMYFUNCTION("""COMPUTED_VALUE"""),1299153.0)</f>
        <v>1299153</v>
      </c>
      <c r="F1402" s="2">
        <f>IFERROR(__xludf.DUMMYFUNCTION("""COMPUTED_VALUE"""),4073726.0)</f>
        <v>4073726</v>
      </c>
      <c r="G1402" s="2">
        <f>IFERROR(__xludf.DUMMYFUNCTION("""COMPUTED_VALUE"""),51.1809)</f>
        <v>51.1809</v>
      </c>
    </row>
    <row r="1403">
      <c r="A1403" s="1" t="s">
        <v>1402</v>
      </c>
      <c r="D1403" s="3">
        <f>IFERROR(__xludf.DUMMYFUNCTION("SPLIT(A1403, ""|"")"),43097.0)</f>
        <v>43097</v>
      </c>
      <c r="E1403" s="2">
        <f>IFERROR(__xludf.DUMMYFUNCTION("""COMPUTED_VALUE"""),1489323.0)</f>
        <v>1489323</v>
      </c>
      <c r="F1403" s="2">
        <f>IFERROR(__xludf.DUMMYFUNCTION("""COMPUTED_VALUE"""),4075376.0)</f>
        <v>4075376</v>
      </c>
      <c r="G1403" s="2">
        <f>IFERROR(__xludf.DUMMYFUNCTION("""COMPUTED_VALUE"""),30.4938)</f>
        <v>30.4938</v>
      </c>
    </row>
    <row r="1404">
      <c r="A1404" s="1" t="s">
        <v>1403</v>
      </c>
      <c r="D1404" s="3">
        <f>IFERROR(__xludf.DUMMYFUNCTION("SPLIT(A1404, ""|"")"),43353.0)</f>
        <v>43353</v>
      </c>
      <c r="E1404" s="2">
        <f>IFERROR(__xludf.DUMMYFUNCTION("""COMPUTED_VALUE"""),414843.0)</f>
        <v>414843</v>
      </c>
      <c r="F1404" s="2">
        <f>IFERROR(__xludf.DUMMYFUNCTION("""COMPUTED_VALUE"""),4750831.0)</f>
        <v>4750831</v>
      </c>
      <c r="G1404" s="2">
        <f>IFERROR(__xludf.DUMMYFUNCTION("""COMPUTED_VALUE"""),65.106)</f>
        <v>65.106</v>
      </c>
    </row>
    <row r="1405">
      <c r="A1405" s="1" t="s">
        <v>1404</v>
      </c>
      <c r="D1405" s="3">
        <f>IFERROR(__xludf.DUMMYFUNCTION("SPLIT(A1405, ""|"")"),43353.0)</f>
        <v>43353</v>
      </c>
      <c r="E1405" s="2">
        <f>IFERROR(__xludf.DUMMYFUNCTION("""COMPUTED_VALUE"""),1634943.0)</f>
        <v>1634943</v>
      </c>
      <c r="F1405" s="2">
        <f>IFERROR(__xludf.DUMMYFUNCTION("""COMPUTED_VALUE"""),4749437.0)</f>
        <v>4749437</v>
      </c>
      <c r="G1405" s="2">
        <f>IFERROR(__xludf.DUMMYFUNCTION("""COMPUTED_VALUE"""),44.4405)</f>
        <v>44.4405</v>
      </c>
    </row>
    <row r="1406">
      <c r="A1406" s="1" t="s">
        <v>1405</v>
      </c>
      <c r="D1406" s="3">
        <f>IFERROR(__xludf.DUMMYFUNCTION("SPLIT(A1406, ""|"")"),43098.0)</f>
        <v>43098</v>
      </c>
      <c r="E1406" s="2">
        <f>IFERROR(__xludf.DUMMYFUNCTION("""COMPUTED_VALUE"""),1489713.0)</f>
        <v>1489713</v>
      </c>
      <c r="F1406" s="2">
        <f>IFERROR(__xludf.DUMMYFUNCTION("""COMPUTED_VALUE"""),4076818.0)</f>
        <v>4076818</v>
      </c>
      <c r="G1406" s="2">
        <f>IFERROR(__xludf.DUMMYFUNCTION("""COMPUTED_VALUE"""),93.7291999999999)</f>
        <v>93.7292</v>
      </c>
    </row>
    <row r="1407">
      <c r="A1407" s="1" t="s">
        <v>1406</v>
      </c>
      <c r="D1407" s="3">
        <f>IFERROR(__xludf.DUMMYFUNCTION("SPLIT(A1407, ""|"")"),43098.0)</f>
        <v>43098</v>
      </c>
      <c r="E1407" s="2">
        <f>IFERROR(__xludf.DUMMYFUNCTION("""COMPUTED_VALUE"""),234783.0)</f>
        <v>234783</v>
      </c>
      <c r="F1407" s="2">
        <f>IFERROR(__xludf.DUMMYFUNCTION("""COMPUTED_VALUE"""),4078350.0)</f>
        <v>4078350</v>
      </c>
      <c r="G1407" s="2">
        <f>IFERROR(__xludf.DUMMYFUNCTION("""COMPUTED_VALUE"""),143.9982)</f>
        <v>143.9982</v>
      </c>
    </row>
    <row r="1408">
      <c r="A1408" s="1" t="s">
        <v>1407</v>
      </c>
      <c r="D1408" s="3">
        <f>IFERROR(__xludf.DUMMYFUNCTION("SPLIT(A1408, ""|"")"),43098.0)</f>
        <v>43098</v>
      </c>
      <c r="E1408" s="2">
        <f>IFERROR(__xludf.DUMMYFUNCTION("""COMPUTED_VALUE"""),996933.0)</f>
        <v>996933</v>
      </c>
      <c r="F1408" s="2">
        <f>IFERROR(__xludf.DUMMYFUNCTION("""COMPUTED_VALUE"""),4077412.0)</f>
        <v>4077412</v>
      </c>
      <c r="G1408" s="2">
        <f>IFERROR(__xludf.DUMMYFUNCTION("""COMPUTED_VALUE"""),104.307699999999)</f>
        <v>104.3077</v>
      </c>
    </row>
    <row r="1409">
      <c r="A1409" s="1" t="s">
        <v>1408</v>
      </c>
      <c r="D1409" s="3">
        <f>IFERROR(__xludf.DUMMYFUNCTION("SPLIT(A1409, ""|"")"),43098.0)</f>
        <v>43098</v>
      </c>
      <c r="E1409" s="2">
        <f>IFERROR(__xludf.DUMMYFUNCTION("""COMPUTED_VALUE"""),1489893.0)</f>
        <v>1489893</v>
      </c>
      <c r="F1409" s="2">
        <f>IFERROR(__xludf.DUMMYFUNCTION("""COMPUTED_VALUE"""),4077504.0)</f>
        <v>4077504</v>
      </c>
      <c r="G1409" s="2">
        <f>IFERROR(__xludf.DUMMYFUNCTION("""COMPUTED_VALUE"""),217.8102)</f>
        <v>217.8102</v>
      </c>
    </row>
    <row r="1410">
      <c r="A1410" s="1" t="s">
        <v>1409</v>
      </c>
      <c r="D1410" s="3">
        <f>IFERROR(__xludf.DUMMYFUNCTION("SPLIT(A1410, ""|"")"),43098.0)</f>
        <v>43098</v>
      </c>
      <c r="E1410" s="2">
        <f>IFERROR(__xludf.DUMMYFUNCTION("""COMPUTED_VALUE"""),1195233.0)</f>
        <v>1195233</v>
      </c>
      <c r="F1410" s="2">
        <f>IFERROR(__xludf.DUMMYFUNCTION("""COMPUTED_VALUE"""),4078056.0)</f>
        <v>4078056</v>
      </c>
      <c r="G1410" s="2">
        <f>IFERROR(__xludf.DUMMYFUNCTION("""COMPUTED_VALUE"""),16.0245)</f>
        <v>16.0245</v>
      </c>
    </row>
    <row r="1411">
      <c r="A1411" s="1" t="s">
        <v>1410</v>
      </c>
      <c r="D1411" s="3">
        <f>IFERROR(__xludf.DUMMYFUNCTION("SPLIT(A1411, ""|"")"),43098.0)</f>
        <v>43098</v>
      </c>
      <c r="E1411" s="2">
        <f>IFERROR(__xludf.DUMMYFUNCTION("""COMPUTED_VALUE"""),1489653.0)</f>
        <v>1489653</v>
      </c>
      <c r="F1411" s="2">
        <f>IFERROR(__xludf.DUMMYFUNCTION("""COMPUTED_VALUE"""),4076619.0)</f>
        <v>4076619</v>
      </c>
      <c r="G1411" s="2">
        <f>IFERROR(__xludf.DUMMYFUNCTION("""COMPUTED_VALUE"""),29.7501)</f>
        <v>29.7501</v>
      </c>
    </row>
    <row r="1412">
      <c r="A1412" s="1" t="s">
        <v>1411</v>
      </c>
      <c r="D1412" s="3">
        <f>IFERROR(__xludf.DUMMYFUNCTION("SPLIT(A1412, ""|"")"),43098.0)</f>
        <v>43098</v>
      </c>
      <c r="E1412" s="2">
        <f>IFERROR(__xludf.DUMMYFUNCTION("""COMPUTED_VALUE"""),234783.0)</f>
        <v>234783</v>
      </c>
      <c r="F1412" s="2">
        <f>IFERROR(__xludf.DUMMYFUNCTION("""COMPUTED_VALUE"""),4078327.0)</f>
        <v>4078327</v>
      </c>
      <c r="G1412" s="2">
        <f>IFERROR(__xludf.DUMMYFUNCTION("""COMPUTED_VALUE"""),154.695599999999)</f>
        <v>154.6956</v>
      </c>
    </row>
    <row r="1413">
      <c r="A1413" s="1" t="s">
        <v>1412</v>
      </c>
      <c r="D1413" s="3">
        <f>IFERROR(__xludf.DUMMYFUNCTION("SPLIT(A1413, ""|"")"),43098.0)</f>
        <v>43098</v>
      </c>
      <c r="E1413" s="2">
        <f>IFERROR(__xludf.DUMMYFUNCTION("""COMPUTED_VALUE"""),1490043.0)</f>
        <v>1490043</v>
      </c>
      <c r="F1413" s="2">
        <f>IFERROR(__xludf.DUMMYFUNCTION("""COMPUTED_VALUE"""),4078022.0)</f>
        <v>4078022</v>
      </c>
      <c r="G1413" s="2">
        <f>IFERROR(__xludf.DUMMYFUNCTION("""COMPUTED_VALUE"""),11.5867)</f>
        <v>11.5867</v>
      </c>
    </row>
    <row r="1414">
      <c r="A1414" s="1" t="s">
        <v>1413</v>
      </c>
      <c r="D1414" s="3">
        <f>IFERROR(__xludf.DUMMYFUNCTION("SPLIT(A1414, ""|"")"),43354.0)</f>
        <v>43354</v>
      </c>
      <c r="E1414" s="2">
        <f>IFERROR(__xludf.DUMMYFUNCTION("""COMPUTED_VALUE"""),1662993.0)</f>
        <v>1662993</v>
      </c>
      <c r="F1414" s="2">
        <f>IFERROR(__xludf.DUMMYFUNCTION("""COMPUTED_VALUE"""),4753359.0)</f>
        <v>4753359</v>
      </c>
      <c r="G1414" s="2">
        <f>IFERROR(__xludf.DUMMYFUNCTION("""COMPUTED_VALUE"""),38.8984)</f>
        <v>38.8984</v>
      </c>
    </row>
    <row r="1415">
      <c r="A1415" s="1" t="s">
        <v>1414</v>
      </c>
      <c r="D1415" s="3">
        <f>IFERROR(__xludf.DUMMYFUNCTION("SPLIT(A1415, ""|"")"),43354.0)</f>
        <v>43354</v>
      </c>
      <c r="E1415" s="2">
        <f>IFERROR(__xludf.DUMMYFUNCTION("""COMPUTED_VALUE"""),1452153.0)</f>
        <v>1452153</v>
      </c>
      <c r="F1415" s="2">
        <f>IFERROR(__xludf.DUMMYFUNCTION("""COMPUTED_VALUE"""),4752236.0)</f>
        <v>4752236</v>
      </c>
      <c r="G1415" s="2">
        <f>IFERROR(__xludf.DUMMYFUNCTION("""COMPUTED_VALUE"""),65.413)</f>
        <v>65.413</v>
      </c>
    </row>
    <row r="1416">
      <c r="A1416" s="1" t="s">
        <v>1415</v>
      </c>
      <c r="D1416" s="3">
        <f>IFERROR(__xludf.DUMMYFUNCTION("SPLIT(A1416, ""|"")"),43354.0)</f>
        <v>43354</v>
      </c>
      <c r="E1416" s="2">
        <f>IFERROR(__xludf.DUMMYFUNCTION("""COMPUTED_VALUE"""),1520613.0)</f>
        <v>1520613</v>
      </c>
      <c r="F1416" s="2">
        <f>IFERROR(__xludf.DUMMYFUNCTION("""COMPUTED_VALUE"""),4752645.0)</f>
        <v>4752645</v>
      </c>
      <c r="G1416" s="2">
        <f>IFERROR(__xludf.DUMMYFUNCTION("""COMPUTED_VALUE"""),113.2722)</f>
        <v>113.2722</v>
      </c>
    </row>
    <row r="1417">
      <c r="A1417" s="1" t="s">
        <v>1416</v>
      </c>
      <c r="D1417" s="3">
        <f>IFERROR(__xludf.DUMMYFUNCTION("SPLIT(A1417, ""|"")"),43354.0)</f>
        <v>43354</v>
      </c>
      <c r="E1417" s="2">
        <f>IFERROR(__xludf.DUMMYFUNCTION("""COMPUTED_VALUE"""),112923.0)</f>
        <v>112923</v>
      </c>
      <c r="F1417" s="2">
        <f>IFERROR(__xludf.DUMMYFUNCTION("""COMPUTED_VALUE"""),4751462.0)</f>
        <v>4751462</v>
      </c>
      <c r="G1417" s="2">
        <f>IFERROR(__xludf.DUMMYFUNCTION("""COMPUTED_VALUE"""),92.0992)</f>
        <v>92.0992</v>
      </c>
    </row>
    <row r="1418">
      <c r="A1418" s="1" t="s">
        <v>1417</v>
      </c>
      <c r="D1418" s="3">
        <f>IFERROR(__xludf.DUMMYFUNCTION("SPLIT(A1418, ""|"")"),43354.0)</f>
        <v>43354</v>
      </c>
      <c r="E1418" s="2">
        <f>IFERROR(__xludf.DUMMYFUNCTION("""COMPUTED_VALUE"""),459393.0)</f>
        <v>459393</v>
      </c>
      <c r="F1418" s="2">
        <f>IFERROR(__xludf.DUMMYFUNCTION("""COMPUTED_VALUE"""),4752370.0)</f>
        <v>4752370</v>
      </c>
      <c r="G1418" s="2">
        <f>IFERROR(__xludf.DUMMYFUNCTION("""COMPUTED_VALUE"""),33.1583)</f>
        <v>33.1583</v>
      </c>
    </row>
    <row r="1419">
      <c r="A1419" s="1" t="s">
        <v>1418</v>
      </c>
      <c r="D1419" s="3">
        <f>IFERROR(__xludf.DUMMYFUNCTION("SPLIT(A1419, ""|"")"),43099.0)</f>
        <v>43099</v>
      </c>
      <c r="E1419" s="2">
        <f>IFERROR(__xludf.DUMMYFUNCTION("""COMPUTED_VALUE"""),1490253.0)</f>
        <v>1490253</v>
      </c>
      <c r="F1419" s="2">
        <f>IFERROR(__xludf.DUMMYFUNCTION("""COMPUTED_VALUE"""),4078870.0)</f>
        <v>4078870</v>
      </c>
      <c r="G1419" s="2">
        <f>IFERROR(__xludf.DUMMYFUNCTION("""COMPUTED_VALUE"""),33.4382)</f>
        <v>33.4382</v>
      </c>
    </row>
    <row r="1420">
      <c r="A1420" s="1" t="s">
        <v>1419</v>
      </c>
      <c r="D1420" s="3">
        <f>IFERROR(__xludf.DUMMYFUNCTION("SPLIT(A1420, ""|"")"),43099.0)</f>
        <v>43099</v>
      </c>
      <c r="E1420" s="2">
        <f>IFERROR(__xludf.DUMMYFUNCTION("""COMPUTED_VALUE"""),1204983.0)</f>
        <v>1204983</v>
      </c>
      <c r="F1420" s="2">
        <f>IFERROR(__xludf.DUMMYFUNCTION("""COMPUTED_VALUE"""),4079761.0)</f>
        <v>4079761</v>
      </c>
      <c r="G1420" s="2">
        <f>IFERROR(__xludf.DUMMYFUNCTION("""COMPUTED_VALUE"""),65.6435)</f>
        <v>65.6435</v>
      </c>
    </row>
    <row r="1421">
      <c r="A1421" s="1" t="s">
        <v>1420</v>
      </c>
      <c r="D1421" s="3">
        <f>IFERROR(__xludf.DUMMYFUNCTION("SPLIT(A1421, ""|"")"),43099.0)</f>
        <v>43099</v>
      </c>
      <c r="E1421" s="2">
        <f>IFERROR(__xludf.DUMMYFUNCTION("""COMPUTED_VALUE"""),1429053.0)</f>
        <v>1429053</v>
      </c>
      <c r="F1421" s="2">
        <f>IFERROR(__xludf.DUMMYFUNCTION("""COMPUTED_VALUE"""),4080210.0)</f>
        <v>4080210</v>
      </c>
      <c r="G1421" s="2">
        <f>IFERROR(__xludf.DUMMYFUNCTION("""COMPUTED_VALUE"""),66.4251)</f>
        <v>66.4251</v>
      </c>
    </row>
    <row r="1422">
      <c r="A1422" s="1" t="s">
        <v>1421</v>
      </c>
      <c r="D1422" s="3">
        <f>IFERROR(__xludf.DUMMYFUNCTION("SPLIT(A1422, ""|"")"),43099.0)</f>
        <v>43099</v>
      </c>
      <c r="E1422" s="2">
        <f>IFERROR(__xludf.DUMMYFUNCTION("""COMPUTED_VALUE"""),91623.0)</f>
        <v>91623</v>
      </c>
      <c r="F1422" s="2">
        <f>IFERROR(__xludf.DUMMYFUNCTION("""COMPUTED_VALUE"""),4079956.0)</f>
        <v>4079956</v>
      </c>
      <c r="G1422" s="2">
        <f>IFERROR(__xludf.DUMMYFUNCTION("""COMPUTED_VALUE"""),33.9025)</f>
        <v>33.9025</v>
      </c>
    </row>
    <row r="1423">
      <c r="A1423" s="1" t="s">
        <v>1422</v>
      </c>
      <c r="D1423" s="3">
        <f>IFERROR(__xludf.DUMMYFUNCTION("SPLIT(A1423, ""|"")"),43355.0)</f>
        <v>43355</v>
      </c>
      <c r="E1423" s="2">
        <f>IFERROR(__xludf.DUMMYFUNCTION("""COMPUTED_VALUE"""),1030023.0)</f>
        <v>1030023</v>
      </c>
      <c r="F1423" s="2">
        <f>IFERROR(__xludf.DUMMYFUNCTION("""COMPUTED_VALUE"""),4754244.0)</f>
        <v>4754244</v>
      </c>
      <c r="G1423" s="2">
        <f>IFERROR(__xludf.DUMMYFUNCTION("""COMPUTED_VALUE"""),129.8618)</f>
        <v>129.8618</v>
      </c>
    </row>
    <row r="1424">
      <c r="A1424" s="1" t="s">
        <v>1423</v>
      </c>
      <c r="D1424" s="3">
        <f>IFERROR(__xludf.DUMMYFUNCTION("SPLIT(A1424, ""|"")"),43355.0)</f>
        <v>43355</v>
      </c>
      <c r="E1424" s="2">
        <f>IFERROR(__xludf.DUMMYFUNCTION("""COMPUTED_VALUE"""),1663893.0)</f>
        <v>1663893</v>
      </c>
      <c r="F1424" s="2">
        <f>IFERROR(__xludf.DUMMYFUNCTION("""COMPUTED_VALUE"""),4756671.0)</f>
        <v>4756671</v>
      </c>
      <c r="G1424" s="2">
        <f>IFERROR(__xludf.DUMMYFUNCTION("""COMPUTED_VALUE"""),38.2718)</f>
        <v>38.2718</v>
      </c>
    </row>
    <row r="1425">
      <c r="A1425" s="1" t="s">
        <v>1424</v>
      </c>
      <c r="D1425" s="3">
        <f>IFERROR(__xludf.DUMMYFUNCTION("SPLIT(A1425, ""|"")"),43355.0)</f>
        <v>43355</v>
      </c>
      <c r="E1425" s="2">
        <f>IFERROR(__xludf.DUMMYFUNCTION("""COMPUTED_VALUE"""),1491483.0)</f>
        <v>1491483</v>
      </c>
      <c r="F1425" s="2">
        <f>IFERROR(__xludf.DUMMYFUNCTION("""COMPUTED_VALUE"""),4754536.0)</f>
        <v>4754536</v>
      </c>
      <c r="G1425" s="2">
        <f>IFERROR(__xludf.DUMMYFUNCTION("""COMPUTED_VALUE"""),141.0565)</f>
        <v>141.0565</v>
      </c>
    </row>
    <row r="1426">
      <c r="A1426" s="1" t="s">
        <v>1425</v>
      </c>
      <c r="D1426" s="3">
        <f>IFERROR(__xludf.DUMMYFUNCTION("SPLIT(A1426, ""|"")"),43355.0)</f>
        <v>43355</v>
      </c>
      <c r="E1426" s="2">
        <f>IFERROR(__xludf.DUMMYFUNCTION("""COMPUTED_VALUE"""),1663863.0)</f>
        <v>1663863</v>
      </c>
      <c r="F1426" s="2">
        <f>IFERROR(__xludf.DUMMYFUNCTION("""COMPUTED_VALUE"""),4756584.0)</f>
        <v>4756584</v>
      </c>
      <c r="G1426" s="2">
        <f>IFERROR(__xludf.DUMMYFUNCTION("""COMPUTED_VALUE"""),12.4041)</f>
        <v>12.4041</v>
      </c>
    </row>
    <row r="1427">
      <c r="A1427" s="1" t="s">
        <v>1426</v>
      </c>
      <c r="D1427" s="3">
        <f>IFERROR(__xludf.DUMMYFUNCTION("SPLIT(A1427, ""|"")"),43355.0)</f>
        <v>43355</v>
      </c>
      <c r="E1427" s="2">
        <f>IFERROR(__xludf.DUMMYFUNCTION("""COMPUTED_VALUE"""),1392573.0)</f>
        <v>1392573</v>
      </c>
      <c r="F1427" s="2">
        <f>IFERROR(__xludf.DUMMYFUNCTION("""COMPUTED_VALUE"""),4755209.0)</f>
        <v>4755209</v>
      </c>
      <c r="G1427" s="2">
        <f>IFERROR(__xludf.DUMMYFUNCTION("""COMPUTED_VALUE"""),15.1206)</f>
        <v>15.1206</v>
      </c>
    </row>
    <row r="1428">
      <c r="A1428" s="1" t="s">
        <v>1427</v>
      </c>
      <c r="D1428" s="3">
        <f>IFERROR(__xludf.DUMMYFUNCTION("SPLIT(A1428, ""|"")"),43355.0)</f>
        <v>43355</v>
      </c>
      <c r="E1428" s="2">
        <f>IFERROR(__xludf.DUMMYFUNCTION("""COMPUTED_VALUE"""),458853.0)</f>
        <v>458853</v>
      </c>
      <c r="F1428" s="2">
        <f>IFERROR(__xludf.DUMMYFUNCTION("""COMPUTED_VALUE"""),4756995.0)</f>
        <v>4756995</v>
      </c>
      <c r="G1428" s="2">
        <f>IFERROR(__xludf.DUMMYFUNCTION("""COMPUTED_VALUE"""),13.0534)</f>
        <v>13.0534</v>
      </c>
    </row>
    <row r="1429">
      <c r="A1429" s="1" t="s">
        <v>1428</v>
      </c>
      <c r="D1429" s="3">
        <f>IFERROR(__xludf.DUMMYFUNCTION("SPLIT(A1429, ""|"")"),43100.0)</f>
        <v>43100</v>
      </c>
      <c r="E1429" s="2">
        <f>IFERROR(__xludf.DUMMYFUNCTION("""COMPUTED_VALUE"""),1491273.0)</f>
        <v>1491273</v>
      </c>
      <c r="F1429" s="2">
        <f>IFERROR(__xludf.DUMMYFUNCTION("""COMPUTED_VALUE"""),4082939.0)</f>
        <v>4082939</v>
      </c>
      <c r="G1429" s="2">
        <f>IFERROR(__xludf.DUMMYFUNCTION("""COMPUTED_VALUE"""),76.1933)</f>
        <v>76.1933</v>
      </c>
    </row>
    <row r="1430">
      <c r="A1430" s="1" t="s">
        <v>1429</v>
      </c>
      <c r="D1430" s="3">
        <f>IFERROR(__xludf.DUMMYFUNCTION("SPLIT(A1430, ""|"")"),43100.0)</f>
        <v>43100</v>
      </c>
      <c r="E1430" s="2">
        <f>IFERROR(__xludf.DUMMYFUNCTION("""COMPUTED_VALUE"""),1416303.0)</f>
        <v>1416303</v>
      </c>
      <c r="F1430" s="2">
        <f>IFERROR(__xludf.DUMMYFUNCTION("""COMPUTED_VALUE"""),4082018.0)</f>
        <v>4082018</v>
      </c>
      <c r="G1430" s="2">
        <f>IFERROR(__xludf.DUMMYFUNCTION("""COMPUTED_VALUE"""),29.85)</f>
        <v>29.85</v>
      </c>
    </row>
    <row r="1431">
      <c r="A1431" s="1" t="s">
        <v>1430</v>
      </c>
      <c r="D1431" s="3">
        <f>IFERROR(__xludf.DUMMYFUNCTION("SPLIT(A1431, ""|"")"),43100.0)</f>
        <v>43100</v>
      </c>
      <c r="E1431" s="2">
        <f>IFERROR(__xludf.DUMMYFUNCTION("""COMPUTED_VALUE"""),1434813.0)</f>
        <v>1434813</v>
      </c>
      <c r="F1431" s="2">
        <f>IFERROR(__xludf.DUMMYFUNCTION("""COMPUTED_VALUE"""),4081529.0)</f>
        <v>4081529</v>
      </c>
      <c r="G1431" s="2">
        <f>IFERROR(__xludf.DUMMYFUNCTION("""COMPUTED_VALUE"""),213.3652)</f>
        <v>213.3652</v>
      </c>
    </row>
    <row r="1432">
      <c r="A1432" s="1" t="s">
        <v>1431</v>
      </c>
      <c r="D1432" s="3">
        <f>IFERROR(__xludf.DUMMYFUNCTION("SPLIT(A1432, ""|"")"),43100.0)</f>
        <v>43100</v>
      </c>
      <c r="E1432" s="2">
        <f>IFERROR(__xludf.DUMMYFUNCTION("""COMPUTED_VALUE"""),1491033.0)</f>
        <v>1491033</v>
      </c>
      <c r="F1432" s="2">
        <f>IFERROR(__xludf.DUMMYFUNCTION("""COMPUTED_VALUE"""),4081881.0)</f>
        <v>4081881</v>
      </c>
      <c r="G1432" s="2">
        <f>IFERROR(__xludf.DUMMYFUNCTION("""COMPUTED_VALUE"""),37.5038)</f>
        <v>37.5038</v>
      </c>
    </row>
    <row r="1433">
      <c r="A1433" s="1" t="s">
        <v>1432</v>
      </c>
      <c r="D1433" s="3">
        <f>IFERROR(__xludf.DUMMYFUNCTION("SPLIT(A1433, ""|"")"),43100.0)</f>
        <v>43100</v>
      </c>
      <c r="E1433" s="2">
        <f>IFERROR(__xludf.DUMMYFUNCTION("""COMPUTED_VALUE"""),1491093.0)</f>
        <v>1491093</v>
      </c>
      <c r="F1433" s="2">
        <f>IFERROR(__xludf.DUMMYFUNCTION("""COMPUTED_VALUE"""),4082088.0)</f>
        <v>4082088</v>
      </c>
      <c r="G1433" s="2">
        <f>IFERROR(__xludf.DUMMYFUNCTION("""COMPUTED_VALUE"""),14.985)</f>
        <v>14.985</v>
      </c>
    </row>
    <row r="1434">
      <c r="A1434" s="1" t="s">
        <v>1433</v>
      </c>
      <c r="D1434" s="3">
        <f>IFERROR(__xludf.DUMMYFUNCTION("SPLIT(A1434, ""|"")"),43356.0)</f>
        <v>43356</v>
      </c>
      <c r="E1434" s="2">
        <f>IFERROR(__xludf.DUMMYFUNCTION("""COMPUTED_VALUE"""),1543983.0)</f>
        <v>1543983</v>
      </c>
      <c r="F1434" s="2">
        <f>IFERROR(__xludf.DUMMYFUNCTION("""COMPUTED_VALUE"""),4759272.0)</f>
        <v>4759272</v>
      </c>
      <c r="G1434" s="2">
        <f>IFERROR(__xludf.DUMMYFUNCTION("""COMPUTED_VALUE"""),46.402)</f>
        <v>46.402</v>
      </c>
    </row>
    <row r="1435">
      <c r="A1435" s="1" t="s">
        <v>1434</v>
      </c>
      <c r="D1435" s="3">
        <f>IFERROR(__xludf.DUMMYFUNCTION("SPLIT(A1435, ""|"")"),43356.0)</f>
        <v>43356</v>
      </c>
      <c r="E1435" s="2">
        <f>IFERROR(__xludf.DUMMYFUNCTION("""COMPUTED_VALUE"""),184683.0)</f>
        <v>184683</v>
      </c>
      <c r="F1435" s="2">
        <f>IFERROR(__xludf.DUMMYFUNCTION("""COMPUTED_VALUE"""),4758572.0)</f>
        <v>4758572</v>
      </c>
      <c r="G1435" s="2">
        <f>IFERROR(__xludf.DUMMYFUNCTION("""COMPUTED_VALUE"""),80.6635)</f>
        <v>80.6635</v>
      </c>
    </row>
    <row r="1436">
      <c r="A1436" s="1" t="s">
        <v>1435</v>
      </c>
      <c r="D1436" s="3">
        <f>IFERROR(__xludf.DUMMYFUNCTION("SPLIT(A1436, ""|"")"),43356.0)</f>
        <v>43356</v>
      </c>
      <c r="E1436" s="2">
        <f>IFERROR(__xludf.DUMMYFUNCTION("""COMPUTED_VALUE"""),444303.0)</f>
        <v>444303</v>
      </c>
      <c r="F1436" s="2">
        <f>IFERROR(__xludf.DUMMYFUNCTION("""COMPUTED_VALUE"""),4757336.0)</f>
        <v>4757336</v>
      </c>
      <c r="G1436" s="2">
        <f>IFERROR(__xludf.DUMMYFUNCTION("""COMPUTED_VALUE"""),14.97)</f>
        <v>14.97</v>
      </c>
    </row>
    <row r="1437">
      <c r="A1437" s="1" t="s">
        <v>1436</v>
      </c>
      <c r="D1437" s="3">
        <f>IFERROR(__xludf.DUMMYFUNCTION("SPLIT(A1437, ""|"")"),43356.0)</f>
        <v>43356</v>
      </c>
      <c r="E1437" s="2">
        <f>IFERROR(__xludf.DUMMYFUNCTION("""COMPUTED_VALUE"""),1664163.0)</f>
        <v>1664163</v>
      </c>
      <c r="F1437" s="2">
        <f>IFERROR(__xludf.DUMMYFUNCTION("""COMPUTED_VALUE"""),4757738.0)</f>
        <v>4757738</v>
      </c>
      <c r="G1437" s="2">
        <f>IFERROR(__xludf.DUMMYFUNCTION("""COMPUTED_VALUE"""),45.3793)</f>
        <v>45.3793</v>
      </c>
    </row>
    <row r="1438">
      <c r="A1438" s="1" t="s">
        <v>1437</v>
      </c>
      <c r="D1438" s="3">
        <f>IFERROR(__xludf.DUMMYFUNCTION("SPLIT(A1438, ""|"")"),43356.0)</f>
        <v>43356</v>
      </c>
      <c r="E1438" s="2">
        <f>IFERROR(__xludf.DUMMYFUNCTION("""COMPUTED_VALUE"""),1513953.0)</f>
        <v>1513953</v>
      </c>
      <c r="F1438" s="2">
        <f>IFERROR(__xludf.DUMMYFUNCTION("""COMPUTED_VALUE"""),4759952.0)</f>
        <v>4759952</v>
      </c>
      <c r="G1438" s="2">
        <f>IFERROR(__xludf.DUMMYFUNCTION("""COMPUTED_VALUE"""),96.3887)</f>
        <v>96.3887</v>
      </c>
    </row>
    <row r="1439">
      <c r="A1439" s="1" t="s">
        <v>1438</v>
      </c>
      <c r="D1439" s="3">
        <f>IFERROR(__xludf.DUMMYFUNCTION("SPLIT(A1439, ""|"")"),43356.0)</f>
        <v>43356</v>
      </c>
      <c r="E1439" s="2">
        <f>IFERROR(__xludf.DUMMYFUNCTION("""COMPUTED_VALUE"""),1664463.0)</f>
        <v>1664463</v>
      </c>
      <c r="F1439" s="2">
        <f>IFERROR(__xludf.DUMMYFUNCTION("""COMPUTED_VALUE"""),4759234.0)</f>
        <v>4759234</v>
      </c>
      <c r="G1439" s="2">
        <f>IFERROR(__xludf.DUMMYFUNCTION("""COMPUTED_VALUE"""),15.5688)</f>
        <v>15.5688</v>
      </c>
    </row>
    <row r="1440">
      <c r="A1440" s="1" t="s">
        <v>1439</v>
      </c>
      <c r="D1440" s="3">
        <f>IFERROR(__xludf.DUMMYFUNCTION("SPLIT(A1440, ""|"")"),43356.0)</f>
        <v>43356</v>
      </c>
      <c r="E1440" s="2">
        <f>IFERROR(__xludf.DUMMYFUNCTION("""COMPUTED_VALUE"""),1645653.0)</f>
        <v>1645653</v>
      </c>
      <c r="F1440" s="2">
        <f>IFERROR(__xludf.DUMMYFUNCTION("""COMPUTED_VALUE"""),4757174.0)</f>
        <v>4757174</v>
      </c>
      <c r="G1440" s="2">
        <f>IFERROR(__xludf.DUMMYFUNCTION("""COMPUTED_VALUE"""),8.6256)</f>
        <v>8.6256</v>
      </c>
    </row>
    <row r="1441">
      <c r="A1441" s="1" t="s">
        <v>1440</v>
      </c>
      <c r="D1441" s="3">
        <f>IFERROR(__xludf.DUMMYFUNCTION("SPLIT(A1441, ""|"")"),43356.0)</f>
        <v>43356</v>
      </c>
      <c r="E1441" s="2">
        <f>IFERROR(__xludf.DUMMYFUNCTION("""COMPUTED_VALUE"""),1292223.0)</f>
        <v>1292223</v>
      </c>
      <c r="F1441" s="2">
        <f>IFERROR(__xludf.DUMMYFUNCTION("""COMPUTED_VALUE"""),4757936.0)</f>
        <v>4757936</v>
      </c>
      <c r="G1441" s="2">
        <f>IFERROR(__xludf.DUMMYFUNCTION("""COMPUTED_VALUE"""),69.5831999999999)</f>
        <v>69.5832</v>
      </c>
    </row>
    <row r="1442">
      <c r="A1442" s="1" t="s">
        <v>1441</v>
      </c>
      <c r="D1442" s="3">
        <f>IFERROR(__xludf.DUMMYFUNCTION("SPLIT(A1442, ""|"")"),43101.0)</f>
        <v>43101</v>
      </c>
      <c r="E1442" s="2">
        <f>IFERROR(__xludf.DUMMYFUNCTION("""COMPUTED_VALUE"""),165933.0)</f>
        <v>165933</v>
      </c>
      <c r="F1442" s="2">
        <f>IFERROR(__xludf.DUMMYFUNCTION("""COMPUTED_VALUE"""),4083225.0)</f>
        <v>4083225</v>
      </c>
      <c r="G1442" s="2">
        <f>IFERROR(__xludf.DUMMYFUNCTION("""COMPUTED_VALUE"""),105.4016)</f>
        <v>105.4016</v>
      </c>
    </row>
    <row r="1443">
      <c r="A1443" s="1" t="s">
        <v>1442</v>
      </c>
      <c r="D1443" s="3">
        <f>IFERROR(__xludf.DUMMYFUNCTION("SPLIT(A1443, ""|"")"),43101.0)</f>
        <v>43101</v>
      </c>
      <c r="E1443" s="2">
        <f>IFERROR(__xludf.DUMMYFUNCTION("""COMPUTED_VALUE"""),1310703.0)</f>
        <v>1310703</v>
      </c>
      <c r="F1443" s="2">
        <f>IFERROR(__xludf.DUMMYFUNCTION("""COMPUTED_VALUE"""),4085385.0)</f>
        <v>4085385</v>
      </c>
      <c r="G1443" s="2">
        <f>IFERROR(__xludf.DUMMYFUNCTION("""COMPUTED_VALUE"""),109.9902)</f>
        <v>109.9902</v>
      </c>
    </row>
    <row r="1444">
      <c r="A1444" s="1" t="s">
        <v>1443</v>
      </c>
      <c r="D1444" s="3">
        <f>IFERROR(__xludf.DUMMYFUNCTION("SPLIT(A1444, ""|"")"),43101.0)</f>
        <v>43101</v>
      </c>
      <c r="E1444" s="2">
        <f>IFERROR(__xludf.DUMMYFUNCTION("""COMPUTED_VALUE"""),1310703.0)</f>
        <v>1310703</v>
      </c>
      <c r="F1444" s="2">
        <f>IFERROR(__xludf.DUMMYFUNCTION("""COMPUTED_VALUE"""),4085280.0)</f>
        <v>4085280</v>
      </c>
      <c r="G1444" s="2">
        <f>IFERROR(__xludf.DUMMYFUNCTION("""COMPUTED_VALUE"""),103.997699999999)</f>
        <v>103.9977</v>
      </c>
    </row>
    <row r="1445">
      <c r="A1445" s="1" t="s">
        <v>1444</v>
      </c>
      <c r="D1445" s="3">
        <f>IFERROR(__xludf.DUMMYFUNCTION("SPLIT(A1445, ""|"")"),43101.0)</f>
        <v>43101</v>
      </c>
      <c r="E1445" s="2">
        <f>IFERROR(__xludf.DUMMYFUNCTION("""COMPUTED_VALUE"""),1310703.0)</f>
        <v>1310703</v>
      </c>
      <c r="F1445" s="2">
        <f>IFERROR(__xludf.DUMMYFUNCTION("""COMPUTED_VALUE"""),4085365.0)</f>
        <v>4085365</v>
      </c>
      <c r="G1445" s="2">
        <f>IFERROR(__xludf.DUMMYFUNCTION("""COMPUTED_VALUE"""),92.7235999999999)</f>
        <v>92.7236</v>
      </c>
    </row>
    <row r="1446">
      <c r="A1446" s="1" t="s">
        <v>1445</v>
      </c>
      <c r="D1446" s="3">
        <f>IFERROR(__xludf.DUMMYFUNCTION("SPLIT(A1446, ""|"")"),43101.0)</f>
        <v>43101</v>
      </c>
      <c r="E1446" s="2">
        <f>IFERROR(__xludf.DUMMYFUNCTION("""COMPUTED_VALUE"""),1491483.0)</f>
        <v>1491483</v>
      </c>
      <c r="F1446" s="2">
        <f>IFERROR(__xludf.DUMMYFUNCTION("""COMPUTED_VALUE"""),4083928.0)</f>
        <v>4083928</v>
      </c>
      <c r="G1446" s="2">
        <f>IFERROR(__xludf.DUMMYFUNCTION("""COMPUTED_VALUE"""),67.3318)</f>
        <v>67.3318</v>
      </c>
    </row>
    <row r="1447">
      <c r="A1447" s="1" t="s">
        <v>1446</v>
      </c>
      <c r="D1447" s="3">
        <f>IFERROR(__xludf.DUMMYFUNCTION("SPLIT(A1447, ""|"")"),43101.0)</f>
        <v>43101</v>
      </c>
      <c r="E1447" s="2">
        <f>IFERROR(__xludf.DUMMYFUNCTION("""COMPUTED_VALUE"""),1491723.0)</f>
        <v>1491723</v>
      </c>
      <c r="F1447" s="2">
        <f>IFERROR(__xludf.DUMMYFUNCTION("""COMPUTED_VALUE"""),4084967.0)</f>
        <v>4084967</v>
      </c>
      <c r="G1447" s="2">
        <f>IFERROR(__xludf.DUMMYFUNCTION("""COMPUTED_VALUE"""),72.7612)</f>
        <v>72.7612</v>
      </c>
    </row>
    <row r="1448">
      <c r="A1448" s="1" t="s">
        <v>1447</v>
      </c>
      <c r="D1448" s="3">
        <f>IFERROR(__xludf.DUMMYFUNCTION("SPLIT(A1448, ""|"")"),43101.0)</f>
        <v>43101</v>
      </c>
      <c r="E1448" s="2">
        <f>IFERROR(__xludf.DUMMYFUNCTION("""COMPUTED_VALUE"""),1491783.0)</f>
        <v>1491783</v>
      </c>
      <c r="F1448" s="2">
        <f>IFERROR(__xludf.DUMMYFUNCTION("""COMPUTED_VALUE"""),4085361.0)</f>
        <v>4085361</v>
      </c>
      <c r="G1448" s="2">
        <f>IFERROR(__xludf.DUMMYFUNCTION("""COMPUTED_VALUE"""),32.0100999999999)</f>
        <v>32.0101</v>
      </c>
    </row>
    <row r="1449">
      <c r="A1449" s="1" t="s">
        <v>1448</v>
      </c>
      <c r="D1449" s="3">
        <f>IFERROR(__xludf.DUMMYFUNCTION("SPLIT(A1449, ""|"")"),43101.0)</f>
        <v>43101</v>
      </c>
      <c r="E1449" s="2">
        <f>IFERROR(__xludf.DUMMYFUNCTION("""COMPUTED_VALUE"""),1433613.0)</f>
        <v>1433613</v>
      </c>
      <c r="F1449" s="2">
        <f>IFERROR(__xludf.DUMMYFUNCTION("""COMPUTED_VALUE"""),4084346.0)</f>
        <v>4084346</v>
      </c>
      <c r="G1449" s="2">
        <f>IFERROR(__xludf.DUMMYFUNCTION("""COMPUTED_VALUE"""),100.3601)</f>
        <v>100.3601</v>
      </c>
    </row>
    <row r="1450">
      <c r="A1450" s="1" t="s">
        <v>1449</v>
      </c>
      <c r="D1450" s="3">
        <f>IFERROR(__xludf.DUMMYFUNCTION("SPLIT(A1450, ""|"")"),43357.0)</f>
        <v>43357</v>
      </c>
      <c r="E1450" s="2">
        <f>IFERROR(__xludf.DUMMYFUNCTION("""COMPUTED_VALUE"""),1664763.0)</f>
        <v>1664763</v>
      </c>
      <c r="F1450" s="2">
        <f>IFERROR(__xludf.DUMMYFUNCTION("""COMPUTED_VALUE"""),4760952.0)</f>
        <v>4760952</v>
      </c>
      <c r="G1450" s="2">
        <f>IFERROR(__xludf.DUMMYFUNCTION("""COMPUTED_VALUE"""),29.365)</f>
        <v>29.365</v>
      </c>
    </row>
    <row r="1451">
      <c r="A1451" s="1" t="s">
        <v>1450</v>
      </c>
      <c r="D1451" s="3">
        <f>IFERROR(__xludf.DUMMYFUNCTION("SPLIT(A1451, ""|"")"),43357.0)</f>
        <v>43357</v>
      </c>
      <c r="E1451" s="2">
        <f>IFERROR(__xludf.DUMMYFUNCTION("""COMPUTED_VALUE"""),450963.0)</f>
        <v>450963</v>
      </c>
      <c r="F1451" s="2">
        <f>IFERROR(__xludf.DUMMYFUNCTION("""COMPUTED_VALUE"""),4760751.0)</f>
        <v>4760751</v>
      </c>
      <c r="G1451" s="2">
        <f>IFERROR(__xludf.DUMMYFUNCTION("""COMPUTED_VALUE"""),57.8827)</f>
        <v>57.8827</v>
      </c>
    </row>
    <row r="1452">
      <c r="A1452" s="1" t="s">
        <v>1451</v>
      </c>
      <c r="D1452" s="3">
        <f>IFERROR(__xludf.DUMMYFUNCTION("SPLIT(A1452, ""|"")"),43357.0)</f>
        <v>43357</v>
      </c>
      <c r="E1452" s="2">
        <f>IFERROR(__xludf.DUMMYFUNCTION("""COMPUTED_VALUE"""),1665003.0)</f>
        <v>1665003</v>
      </c>
      <c r="F1452" s="2">
        <f>IFERROR(__xludf.DUMMYFUNCTION("""COMPUTED_VALUE"""),4762061.0)</f>
        <v>4762061</v>
      </c>
      <c r="G1452" s="2">
        <f>IFERROR(__xludf.DUMMYFUNCTION("""COMPUTED_VALUE"""),8.055)</f>
        <v>8.055</v>
      </c>
    </row>
    <row r="1453">
      <c r="A1453" s="1" t="s">
        <v>1452</v>
      </c>
      <c r="D1453" s="3">
        <f>IFERROR(__xludf.DUMMYFUNCTION("SPLIT(A1453, ""|"")"),43357.0)</f>
        <v>43357</v>
      </c>
      <c r="E1453" s="2">
        <f>IFERROR(__xludf.DUMMYFUNCTION("""COMPUTED_VALUE"""),1496013.0)</f>
        <v>1496013</v>
      </c>
      <c r="F1453" s="2">
        <f>IFERROR(__xludf.DUMMYFUNCTION("""COMPUTED_VALUE"""),4761267.0)</f>
        <v>4761267</v>
      </c>
      <c r="G1453" s="2">
        <f>IFERROR(__xludf.DUMMYFUNCTION("""COMPUTED_VALUE"""),41.2199)</f>
        <v>41.2199</v>
      </c>
    </row>
    <row r="1454">
      <c r="A1454" s="1" t="s">
        <v>1453</v>
      </c>
      <c r="D1454" s="3">
        <f>IFERROR(__xludf.DUMMYFUNCTION("SPLIT(A1454, ""|"")"),43357.0)</f>
        <v>43357</v>
      </c>
      <c r="E1454" s="2">
        <f>IFERROR(__xludf.DUMMYFUNCTION("""COMPUTED_VALUE"""),1214823.0)</f>
        <v>1214823</v>
      </c>
      <c r="F1454" s="2">
        <f>IFERROR(__xludf.DUMMYFUNCTION("""COMPUTED_VALUE"""),4761717.0)</f>
        <v>4761717</v>
      </c>
      <c r="G1454" s="2">
        <f>IFERROR(__xludf.DUMMYFUNCTION("""COMPUTED_VALUE"""),65.1376)</f>
        <v>65.1376</v>
      </c>
    </row>
    <row r="1455">
      <c r="A1455" s="1" t="s">
        <v>1454</v>
      </c>
      <c r="D1455" s="3">
        <f>IFERROR(__xludf.DUMMYFUNCTION("SPLIT(A1455, ""|"")"),43102.0)</f>
        <v>43102</v>
      </c>
      <c r="E1455" s="2">
        <f>IFERROR(__xludf.DUMMYFUNCTION("""COMPUTED_VALUE"""),1382673.0)</f>
        <v>1382673</v>
      </c>
      <c r="F1455" s="2">
        <f>IFERROR(__xludf.DUMMYFUNCTION("""COMPUTED_VALUE"""),4087375.0)</f>
        <v>4087375</v>
      </c>
      <c r="G1455" s="2">
        <f>IFERROR(__xludf.DUMMYFUNCTION("""COMPUTED_VALUE"""),65.7415)</f>
        <v>65.7415</v>
      </c>
    </row>
    <row r="1456">
      <c r="A1456" s="1" t="s">
        <v>1455</v>
      </c>
      <c r="D1456" s="3">
        <f>IFERROR(__xludf.DUMMYFUNCTION("SPLIT(A1456, ""|"")"),43102.0)</f>
        <v>43102</v>
      </c>
      <c r="E1456" s="2">
        <f>IFERROR(__xludf.DUMMYFUNCTION("""COMPUTED_VALUE"""),1407333.0)</f>
        <v>1407333</v>
      </c>
      <c r="F1456" s="2">
        <f>IFERROR(__xludf.DUMMYFUNCTION("""COMPUTED_VALUE"""),4086490.0)</f>
        <v>4086490</v>
      </c>
      <c r="G1456" s="2">
        <f>IFERROR(__xludf.DUMMYFUNCTION("""COMPUTED_VALUE"""),68.0064)</f>
        <v>68.0064</v>
      </c>
    </row>
    <row r="1457">
      <c r="A1457" s="1" t="s">
        <v>1456</v>
      </c>
      <c r="D1457" s="3">
        <f>IFERROR(__xludf.DUMMYFUNCTION("SPLIT(A1457, ""|"")"),43102.0)</f>
        <v>43102</v>
      </c>
      <c r="E1457" s="2">
        <f>IFERROR(__xludf.DUMMYFUNCTION("""COMPUTED_VALUE"""),1492563.0)</f>
        <v>1492563</v>
      </c>
      <c r="F1457" s="2">
        <f>IFERROR(__xludf.DUMMYFUNCTION("""COMPUTED_VALUE"""),4088414.0)</f>
        <v>4088414</v>
      </c>
      <c r="G1457" s="2">
        <f>IFERROR(__xludf.DUMMYFUNCTION("""COMPUTED_VALUE"""),36.5893)</f>
        <v>36.5893</v>
      </c>
    </row>
    <row r="1458">
      <c r="A1458" s="1" t="s">
        <v>1457</v>
      </c>
      <c r="D1458" s="3">
        <f>IFERROR(__xludf.DUMMYFUNCTION("SPLIT(A1458, ""|"")"),43102.0)</f>
        <v>43102</v>
      </c>
      <c r="E1458" s="2">
        <f>IFERROR(__xludf.DUMMYFUNCTION("""COMPUTED_VALUE"""),1270893.0)</f>
        <v>1270893</v>
      </c>
      <c r="F1458" s="2">
        <f>IFERROR(__xludf.DUMMYFUNCTION("""COMPUTED_VALUE"""),4086784.0)</f>
        <v>4086784</v>
      </c>
      <c r="G1458" s="2">
        <f>IFERROR(__xludf.DUMMYFUNCTION("""COMPUTED_VALUE"""),40.2096)</f>
        <v>40.2096</v>
      </c>
    </row>
    <row r="1459">
      <c r="A1459" s="1" t="s">
        <v>1458</v>
      </c>
      <c r="D1459" s="3">
        <f>IFERROR(__xludf.DUMMYFUNCTION("SPLIT(A1459, ""|"")"),43102.0)</f>
        <v>43102</v>
      </c>
      <c r="E1459" s="2">
        <f>IFERROR(__xludf.DUMMYFUNCTION("""COMPUTED_VALUE"""),1188393.0)</f>
        <v>1188393</v>
      </c>
      <c r="F1459" s="2">
        <f>IFERROR(__xludf.DUMMYFUNCTION("""COMPUTED_VALUE"""),4087551.0)</f>
        <v>4087551</v>
      </c>
      <c r="G1459" s="2">
        <f>IFERROR(__xludf.DUMMYFUNCTION("""COMPUTED_VALUE"""),39.36)</f>
        <v>39.36</v>
      </c>
    </row>
    <row r="1460">
      <c r="A1460" s="1" t="s">
        <v>1459</v>
      </c>
      <c r="D1460" s="3">
        <f>IFERROR(__xludf.DUMMYFUNCTION("SPLIT(A1460, ""|"")"),43102.0)</f>
        <v>43102</v>
      </c>
      <c r="E1460" s="2">
        <f>IFERROR(__xludf.DUMMYFUNCTION("""COMPUTED_VALUE"""),1489683.0)</f>
        <v>1489683</v>
      </c>
      <c r="F1460" s="2">
        <f>IFERROR(__xludf.DUMMYFUNCTION("""COMPUTED_VALUE"""),4088316.0)</f>
        <v>4088316</v>
      </c>
      <c r="G1460" s="2">
        <f>IFERROR(__xludf.DUMMYFUNCTION("""COMPUTED_VALUE"""),84.7019)</f>
        <v>84.7019</v>
      </c>
    </row>
    <row r="1461">
      <c r="A1461" s="1" t="s">
        <v>1460</v>
      </c>
      <c r="D1461" s="3">
        <f>IFERROR(__xludf.DUMMYFUNCTION("SPLIT(A1461, ""|"")"),43102.0)</f>
        <v>43102</v>
      </c>
      <c r="E1461" s="2">
        <f>IFERROR(__xludf.DUMMYFUNCTION("""COMPUTED_VALUE"""),1298553.0)</f>
        <v>1298553</v>
      </c>
      <c r="F1461" s="2">
        <f>IFERROR(__xludf.DUMMYFUNCTION("""COMPUTED_VALUE"""),4087155.0)</f>
        <v>4087155</v>
      </c>
      <c r="G1461" s="2">
        <f>IFERROR(__xludf.DUMMYFUNCTION("""COMPUTED_VALUE"""),12.0)</f>
        <v>12</v>
      </c>
    </row>
    <row r="1462">
      <c r="A1462" s="1" t="s">
        <v>1461</v>
      </c>
      <c r="D1462" s="3">
        <f>IFERROR(__xludf.DUMMYFUNCTION("SPLIT(A1462, ""|"")"),43102.0)</f>
        <v>43102</v>
      </c>
      <c r="E1462" s="2">
        <f>IFERROR(__xludf.DUMMYFUNCTION("""COMPUTED_VALUE"""),1492143.0)</f>
        <v>1492143</v>
      </c>
      <c r="F1462" s="2">
        <f>IFERROR(__xludf.DUMMYFUNCTION("""COMPUTED_VALUE"""),4086910.0)</f>
        <v>4086910</v>
      </c>
      <c r="G1462" s="2">
        <f>IFERROR(__xludf.DUMMYFUNCTION("""COMPUTED_VALUE"""),83.2608)</f>
        <v>83.2608</v>
      </c>
    </row>
    <row r="1463">
      <c r="A1463" s="1" t="s">
        <v>1462</v>
      </c>
      <c r="D1463" s="3">
        <f>IFERROR(__xludf.DUMMYFUNCTION("SPLIT(A1463, ""|"")"),43358.0)</f>
        <v>43358</v>
      </c>
      <c r="E1463" s="2">
        <f>IFERROR(__xludf.DUMMYFUNCTION("""COMPUTED_VALUE"""),1665633.0)</f>
        <v>1665633</v>
      </c>
      <c r="F1463" s="2">
        <f>IFERROR(__xludf.DUMMYFUNCTION("""COMPUTED_VALUE"""),4764538.0)</f>
        <v>4764538</v>
      </c>
      <c r="G1463" s="2">
        <f>IFERROR(__xludf.DUMMYFUNCTION("""COMPUTED_VALUE"""),55.2541)</f>
        <v>55.2541</v>
      </c>
    </row>
    <row r="1464">
      <c r="A1464" s="1" t="s">
        <v>1463</v>
      </c>
      <c r="D1464" s="3">
        <f>IFERROR(__xludf.DUMMYFUNCTION("SPLIT(A1464, ""|"")"),43358.0)</f>
        <v>43358</v>
      </c>
      <c r="E1464" s="2">
        <f>IFERROR(__xludf.DUMMYFUNCTION("""COMPUTED_VALUE"""),1630083.0)</f>
        <v>1630083</v>
      </c>
      <c r="F1464" s="2">
        <f>IFERROR(__xludf.DUMMYFUNCTION("""COMPUTED_VALUE"""),4763355.0)</f>
        <v>4763355</v>
      </c>
      <c r="G1464" s="2">
        <f>IFERROR(__xludf.DUMMYFUNCTION("""COMPUTED_VALUE"""),51.6583)</f>
        <v>51.6583</v>
      </c>
    </row>
    <row r="1465">
      <c r="A1465" s="1" t="s">
        <v>1464</v>
      </c>
      <c r="D1465" s="3">
        <f>IFERROR(__xludf.DUMMYFUNCTION("SPLIT(A1465, ""|"")"),43358.0)</f>
        <v>43358</v>
      </c>
      <c r="E1465" s="2">
        <f>IFERROR(__xludf.DUMMYFUNCTION("""COMPUTED_VALUE"""),1665603.0)</f>
        <v>1665603</v>
      </c>
      <c r="F1465" s="2">
        <f>IFERROR(__xludf.DUMMYFUNCTION("""COMPUTED_VALUE"""),4764422.0)</f>
        <v>4764422</v>
      </c>
      <c r="G1465" s="2">
        <f>IFERROR(__xludf.DUMMYFUNCTION("""COMPUTED_VALUE"""),58.6975)</f>
        <v>58.6975</v>
      </c>
    </row>
    <row r="1466">
      <c r="A1466" s="1" t="s">
        <v>1465</v>
      </c>
      <c r="D1466" s="3">
        <f>IFERROR(__xludf.DUMMYFUNCTION("SPLIT(A1466, ""|"")"),43358.0)</f>
        <v>43358</v>
      </c>
      <c r="E1466" s="2">
        <f>IFERROR(__xludf.DUMMYFUNCTION("""COMPUTED_VALUE"""),367683.0)</f>
        <v>367683</v>
      </c>
      <c r="F1466" s="2">
        <f>IFERROR(__xludf.DUMMYFUNCTION("""COMPUTED_VALUE"""),4763622.0)</f>
        <v>4763622</v>
      </c>
      <c r="G1466" s="2">
        <f>IFERROR(__xludf.DUMMYFUNCTION("""COMPUTED_VALUE"""),96.1527)</f>
        <v>96.1527</v>
      </c>
    </row>
    <row r="1467">
      <c r="A1467" s="1" t="s">
        <v>1466</v>
      </c>
      <c r="D1467" s="3">
        <f>IFERROR(__xludf.DUMMYFUNCTION("SPLIT(A1467, ""|"")"),43103.0)</f>
        <v>43103</v>
      </c>
      <c r="E1467" s="2">
        <f>IFERROR(__xludf.DUMMYFUNCTION("""COMPUTED_VALUE"""),1063383.0)</f>
        <v>1063383</v>
      </c>
      <c r="F1467" s="2">
        <f>IFERROR(__xludf.DUMMYFUNCTION("""COMPUTED_VALUE"""),4090126.0)</f>
        <v>4090126</v>
      </c>
      <c r="G1467" s="2">
        <f>IFERROR(__xludf.DUMMYFUNCTION("""COMPUTED_VALUE"""),76.8189)</f>
        <v>76.8189</v>
      </c>
    </row>
    <row r="1468">
      <c r="A1468" s="1" t="s">
        <v>1467</v>
      </c>
      <c r="D1468" s="3">
        <f>IFERROR(__xludf.DUMMYFUNCTION("SPLIT(A1468, ""|"")"),43103.0)</f>
        <v>43103</v>
      </c>
      <c r="E1468" s="2">
        <f>IFERROR(__xludf.DUMMYFUNCTION("""COMPUTED_VALUE"""),1493283.0)</f>
        <v>1493283</v>
      </c>
      <c r="F1468" s="2">
        <f>IFERROR(__xludf.DUMMYFUNCTION("""COMPUTED_VALUE"""),4091157.0)</f>
        <v>4091157</v>
      </c>
      <c r="G1468" s="2">
        <f>IFERROR(__xludf.DUMMYFUNCTION("""COMPUTED_VALUE"""),25.5829)</f>
        <v>25.5829</v>
      </c>
    </row>
    <row r="1469">
      <c r="A1469" s="1" t="s">
        <v>1468</v>
      </c>
      <c r="D1469" s="3">
        <f>IFERROR(__xludf.DUMMYFUNCTION("SPLIT(A1469, ""|"")"),43103.0)</f>
        <v>43103</v>
      </c>
      <c r="E1469" s="2">
        <f>IFERROR(__xludf.DUMMYFUNCTION("""COMPUTED_VALUE"""),392763.0)</f>
        <v>392763</v>
      </c>
      <c r="F1469" s="2">
        <f>IFERROR(__xludf.DUMMYFUNCTION("""COMPUTED_VALUE"""),4091481.0)</f>
        <v>4091481</v>
      </c>
      <c r="G1469" s="2">
        <f>IFERROR(__xludf.DUMMYFUNCTION("""COMPUTED_VALUE"""),72.8488)</f>
        <v>72.8488</v>
      </c>
    </row>
    <row r="1470">
      <c r="A1470" s="1" t="s">
        <v>1469</v>
      </c>
      <c r="D1470" s="3">
        <f>IFERROR(__xludf.DUMMYFUNCTION("SPLIT(A1470, ""|"")"),43103.0)</f>
        <v>43103</v>
      </c>
      <c r="E1470" s="2">
        <f>IFERROR(__xludf.DUMMYFUNCTION("""COMPUTED_VALUE"""),1452153.0)</f>
        <v>1452153</v>
      </c>
      <c r="F1470" s="2">
        <f>IFERROR(__xludf.DUMMYFUNCTION("""COMPUTED_VALUE"""),4089758.0)</f>
        <v>4089758</v>
      </c>
      <c r="G1470" s="2">
        <f>IFERROR(__xludf.DUMMYFUNCTION("""COMPUTED_VALUE"""),47.7996)</f>
        <v>47.7996</v>
      </c>
    </row>
    <row r="1471">
      <c r="A1471" s="1" t="s">
        <v>1470</v>
      </c>
      <c r="D1471" s="3">
        <f>IFERROR(__xludf.DUMMYFUNCTION("SPLIT(A1471, ""|"")"),43103.0)</f>
        <v>43103</v>
      </c>
      <c r="E1471" s="2">
        <f>IFERROR(__xludf.DUMMYFUNCTION("""COMPUTED_VALUE"""),1485873.0)</f>
        <v>1485873</v>
      </c>
      <c r="F1471" s="2">
        <f>IFERROR(__xludf.DUMMYFUNCTION("""COMPUTED_VALUE"""),4091166.0)</f>
        <v>4091166</v>
      </c>
      <c r="G1471" s="2">
        <f>IFERROR(__xludf.DUMMYFUNCTION("""COMPUTED_VALUE"""),72.3081)</f>
        <v>72.3081</v>
      </c>
    </row>
    <row r="1472">
      <c r="A1472" s="1" t="s">
        <v>1471</v>
      </c>
      <c r="D1472" s="3">
        <f>IFERROR(__xludf.DUMMYFUNCTION("SPLIT(A1472, ""|"")"),43103.0)</f>
        <v>43103</v>
      </c>
      <c r="E1472" s="2">
        <f>IFERROR(__xludf.DUMMYFUNCTION("""COMPUTED_VALUE"""),1493103.0)</f>
        <v>1493103</v>
      </c>
      <c r="F1472" s="2">
        <f>IFERROR(__xludf.DUMMYFUNCTION("""COMPUTED_VALUE"""),4090440.0)</f>
        <v>4090440</v>
      </c>
      <c r="G1472" s="2">
        <f>IFERROR(__xludf.DUMMYFUNCTION("""COMPUTED_VALUE"""),28.7925)</f>
        <v>28.7925</v>
      </c>
    </row>
    <row r="1473">
      <c r="A1473" s="1" t="s">
        <v>1472</v>
      </c>
      <c r="D1473" s="3">
        <f>IFERROR(__xludf.DUMMYFUNCTION("SPLIT(A1473, ""|"")"),43103.0)</f>
        <v>43103</v>
      </c>
      <c r="E1473" s="2">
        <f>IFERROR(__xludf.DUMMYFUNCTION("""COMPUTED_VALUE"""),1236333.0)</f>
        <v>1236333</v>
      </c>
      <c r="F1473" s="2">
        <f>IFERROR(__xludf.DUMMYFUNCTION("""COMPUTED_VALUE"""),4090209.0)</f>
        <v>4090209</v>
      </c>
      <c r="G1473" s="2">
        <f>IFERROR(__xludf.DUMMYFUNCTION("""COMPUTED_VALUE"""),63.825)</f>
        <v>63.825</v>
      </c>
    </row>
    <row r="1474">
      <c r="A1474" s="1" t="s">
        <v>1473</v>
      </c>
      <c r="D1474" s="3">
        <f>IFERROR(__xludf.DUMMYFUNCTION("SPLIT(A1474, ""|"")"),43103.0)</f>
        <v>43103</v>
      </c>
      <c r="E1474" s="2">
        <f>IFERROR(__xludf.DUMMYFUNCTION("""COMPUTED_VALUE"""),1247553.0)</f>
        <v>1247553</v>
      </c>
      <c r="F1474" s="2">
        <f>IFERROR(__xludf.DUMMYFUNCTION("""COMPUTED_VALUE"""),4091716.0)</f>
        <v>4091716</v>
      </c>
      <c r="G1474" s="2">
        <f>IFERROR(__xludf.DUMMYFUNCTION("""COMPUTED_VALUE"""),34.145)</f>
        <v>34.145</v>
      </c>
    </row>
    <row r="1475">
      <c r="A1475" s="1" t="s">
        <v>1474</v>
      </c>
      <c r="D1475" s="3">
        <f>IFERROR(__xludf.DUMMYFUNCTION("SPLIT(A1475, ""|"")"),43103.0)</f>
        <v>43103</v>
      </c>
      <c r="E1475" s="2">
        <f>IFERROR(__xludf.DUMMYFUNCTION("""COMPUTED_VALUE"""),1141683.0)</f>
        <v>1141683</v>
      </c>
      <c r="F1475" s="2">
        <f>IFERROR(__xludf.DUMMYFUNCTION("""COMPUTED_VALUE"""),4090529.0)</f>
        <v>4090529</v>
      </c>
      <c r="G1475" s="2">
        <f>IFERROR(__xludf.DUMMYFUNCTION("""COMPUTED_VALUE"""),75.4779)</f>
        <v>75.4779</v>
      </c>
    </row>
    <row r="1476">
      <c r="A1476" s="1" t="s">
        <v>1475</v>
      </c>
      <c r="D1476" s="3">
        <f>IFERROR(__xludf.DUMMYFUNCTION("SPLIT(A1476, ""|"")"),43359.0)</f>
        <v>43359</v>
      </c>
      <c r="E1476" s="2">
        <f>IFERROR(__xludf.DUMMYFUNCTION("""COMPUTED_VALUE"""),1372023.0)</f>
        <v>1372023</v>
      </c>
      <c r="F1476" s="2">
        <f>IFERROR(__xludf.DUMMYFUNCTION("""COMPUTED_VALUE"""),4765402.0)</f>
        <v>4765402</v>
      </c>
      <c r="G1476" s="2">
        <f>IFERROR(__xludf.DUMMYFUNCTION("""COMPUTED_VALUE"""),57.0267)</f>
        <v>57.0267</v>
      </c>
    </row>
    <row r="1477">
      <c r="A1477" s="1" t="s">
        <v>1476</v>
      </c>
      <c r="D1477" s="3">
        <f>IFERROR(__xludf.DUMMYFUNCTION("SPLIT(A1477, ""|"")"),43359.0)</f>
        <v>43359</v>
      </c>
      <c r="E1477" s="2">
        <f>IFERROR(__xludf.DUMMYFUNCTION("""COMPUTED_VALUE"""),266283.0)</f>
        <v>266283</v>
      </c>
      <c r="F1477" s="2">
        <f>IFERROR(__xludf.DUMMYFUNCTION("""COMPUTED_VALUE"""),4767406.0)</f>
        <v>4767406</v>
      </c>
      <c r="G1477" s="2">
        <f>IFERROR(__xludf.DUMMYFUNCTION("""COMPUTED_VALUE"""),97.8702)</f>
        <v>97.8702</v>
      </c>
    </row>
    <row r="1478">
      <c r="A1478" s="1" t="s">
        <v>1477</v>
      </c>
      <c r="D1478" s="3">
        <f>IFERROR(__xludf.DUMMYFUNCTION("SPLIT(A1478, ""|"")"),43359.0)</f>
        <v>43359</v>
      </c>
      <c r="E1478" s="2">
        <f>IFERROR(__xludf.DUMMYFUNCTION("""COMPUTED_VALUE"""),1128333.0)</f>
        <v>1128333</v>
      </c>
      <c r="F1478" s="2">
        <f>IFERROR(__xludf.DUMMYFUNCTION("""COMPUTED_VALUE"""),4766501.0)</f>
        <v>4766501</v>
      </c>
      <c r="G1478" s="2">
        <f>IFERROR(__xludf.DUMMYFUNCTION("""COMPUTED_VALUE"""),42.0416)</f>
        <v>42.0416</v>
      </c>
    </row>
    <row r="1479">
      <c r="A1479" s="1" t="s">
        <v>1478</v>
      </c>
      <c r="D1479" s="3">
        <f>IFERROR(__xludf.DUMMYFUNCTION("SPLIT(A1479, ""|"")"),43359.0)</f>
        <v>43359</v>
      </c>
      <c r="E1479" s="2">
        <f>IFERROR(__xludf.DUMMYFUNCTION("""COMPUTED_VALUE"""),1666023.0)</f>
        <v>1666023</v>
      </c>
      <c r="F1479" s="2">
        <f>IFERROR(__xludf.DUMMYFUNCTION("""COMPUTED_VALUE"""),4765841.0)</f>
        <v>4765841</v>
      </c>
      <c r="G1479" s="2">
        <f>IFERROR(__xludf.DUMMYFUNCTION("""COMPUTED_VALUE"""),17.9810999999999)</f>
        <v>17.9811</v>
      </c>
    </row>
    <row r="1480">
      <c r="A1480" s="1" t="s">
        <v>1479</v>
      </c>
      <c r="D1480" s="3">
        <f>IFERROR(__xludf.DUMMYFUNCTION("SPLIT(A1480, ""|"")"),43359.0)</f>
        <v>43359</v>
      </c>
      <c r="E1480" s="2">
        <f>IFERROR(__xludf.DUMMYFUNCTION("""COMPUTED_VALUE"""),1350243.0)</f>
        <v>1350243</v>
      </c>
      <c r="F1480" s="2">
        <f>IFERROR(__xludf.DUMMYFUNCTION("""COMPUTED_VALUE"""),4767258.0)</f>
        <v>4767258</v>
      </c>
      <c r="G1480" s="2">
        <f>IFERROR(__xludf.DUMMYFUNCTION("""COMPUTED_VALUE"""),40.0776999999999)</f>
        <v>40.0777</v>
      </c>
    </row>
    <row r="1481">
      <c r="A1481" s="1" t="s">
        <v>1480</v>
      </c>
      <c r="D1481" s="3">
        <f>IFERROR(__xludf.DUMMYFUNCTION("SPLIT(A1481, ""|"")"),43359.0)</f>
        <v>43359</v>
      </c>
      <c r="E1481" s="2">
        <f>IFERROR(__xludf.DUMMYFUNCTION("""COMPUTED_VALUE"""),1666203.0)</f>
        <v>1666203</v>
      </c>
      <c r="F1481" s="2">
        <f>IFERROR(__xludf.DUMMYFUNCTION("""COMPUTED_VALUE"""),4766528.0)</f>
        <v>4766528</v>
      </c>
      <c r="G1481" s="2">
        <f>IFERROR(__xludf.DUMMYFUNCTION("""COMPUTED_VALUE"""),8.36)</f>
        <v>8.36</v>
      </c>
    </row>
    <row r="1482">
      <c r="A1482" s="1" t="s">
        <v>1481</v>
      </c>
      <c r="D1482" s="3">
        <f>IFERROR(__xludf.DUMMYFUNCTION("SPLIT(A1482, ""|"")"),43359.0)</f>
        <v>43359</v>
      </c>
      <c r="E1482" s="2">
        <f>IFERROR(__xludf.DUMMYFUNCTION("""COMPUTED_VALUE"""),1646493.0)</f>
        <v>1646493</v>
      </c>
      <c r="F1482" s="2">
        <f>IFERROR(__xludf.DUMMYFUNCTION("""COMPUTED_VALUE"""),4767180.0)</f>
        <v>4767180</v>
      </c>
      <c r="G1482" s="2">
        <f>IFERROR(__xludf.DUMMYFUNCTION("""COMPUTED_VALUE"""),67.137)</f>
        <v>67.137</v>
      </c>
    </row>
    <row r="1483">
      <c r="A1483" s="1" t="s">
        <v>1482</v>
      </c>
      <c r="D1483" s="3">
        <f>IFERROR(__xludf.DUMMYFUNCTION("SPLIT(A1483, ""|"")"),43104.0)</f>
        <v>43104</v>
      </c>
      <c r="E1483" s="2">
        <f>IFERROR(__xludf.DUMMYFUNCTION("""COMPUTED_VALUE"""),1493643.0)</f>
        <v>1493643</v>
      </c>
      <c r="F1483" s="2">
        <f>IFERROR(__xludf.DUMMYFUNCTION("""COMPUTED_VALUE"""),4092502.0)</f>
        <v>4092502</v>
      </c>
      <c r="G1483" s="2">
        <f>IFERROR(__xludf.DUMMYFUNCTION("""COMPUTED_VALUE"""),61.995)</f>
        <v>61.995</v>
      </c>
    </row>
    <row r="1484">
      <c r="A1484" s="1" t="s">
        <v>1483</v>
      </c>
      <c r="D1484" s="3">
        <f>IFERROR(__xludf.DUMMYFUNCTION("SPLIT(A1484, ""|"")"),43104.0)</f>
        <v>43104</v>
      </c>
      <c r="E1484" s="2">
        <f>IFERROR(__xludf.DUMMYFUNCTION("""COMPUTED_VALUE"""),1485873.0)</f>
        <v>1485873</v>
      </c>
      <c r="F1484" s="2">
        <f>IFERROR(__xludf.DUMMYFUNCTION("""COMPUTED_VALUE"""),4092131.0)</f>
        <v>4092131</v>
      </c>
      <c r="G1484" s="2">
        <f>IFERROR(__xludf.DUMMYFUNCTION("""COMPUTED_VALUE"""),72.1798)</f>
        <v>72.1798</v>
      </c>
    </row>
    <row r="1485">
      <c r="A1485" s="1" t="s">
        <v>1484</v>
      </c>
      <c r="D1485" s="3">
        <f>IFERROR(__xludf.DUMMYFUNCTION("SPLIT(A1485, ""|"")"),43104.0)</f>
        <v>43104</v>
      </c>
      <c r="E1485" s="2">
        <f>IFERROR(__xludf.DUMMYFUNCTION("""COMPUTED_VALUE"""),1261383.0)</f>
        <v>1261383</v>
      </c>
      <c r="F1485" s="2">
        <f>IFERROR(__xludf.DUMMYFUNCTION("""COMPUTED_VALUE"""),4093763.0)</f>
        <v>4093763</v>
      </c>
      <c r="G1485" s="2">
        <f>IFERROR(__xludf.DUMMYFUNCTION("""COMPUTED_VALUE"""),120.7227)</f>
        <v>120.7227</v>
      </c>
    </row>
    <row r="1486">
      <c r="A1486" s="1" t="s">
        <v>1485</v>
      </c>
      <c r="D1486" s="3">
        <f>IFERROR(__xludf.DUMMYFUNCTION("SPLIT(A1486, ""|"")"),43104.0)</f>
        <v>43104</v>
      </c>
      <c r="E1486" s="2">
        <f>IFERROR(__xludf.DUMMYFUNCTION("""COMPUTED_VALUE"""),1173993.0)</f>
        <v>1173993</v>
      </c>
      <c r="F1486" s="2">
        <f>IFERROR(__xludf.DUMMYFUNCTION("""COMPUTED_VALUE"""),4094331.0)</f>
        <v>4094331</v>
      </c>
      <c r="G1486" s="2">
        <f>IFERROR(__xludf.DUMMYFUNCTION("""COMPUTED_VALUE"""),78.0055)</f>
        <v>78.0055</v>
      </c>
    </row>
    <row r="1487">
      <c r="A1487" s="1" t="s">
        <v>1486</v>
      </c>
      <c r="D1487" s="3">
        <f>IFERROR(__xludf.DUMMYFUNCTION("SPLIT(A1487, ""|"")"),43104.0)</f>
        <v>43104</v>
      </c>
      <c r="E1487" s="2">
        <f>IFERROR(__xludf.DUMMYFUNCTION("""COMPUTED_VALUE"""),1093383.0)</f>
        <v>1093383</v>
      </c>
      <c r="F1487" s="2">
        <f>IFERROR(__xludf.DUMMYFUNCTION("""COMPUTED_VALUE"""),4094652.0)</f>
        <v>4094652</v>
      </c>
      <c r="G1487" s="2">
        <f>IFERROR(__xludf.DUMMYFUNCTION("""COMPUTED_VALUE"""),40.066)</f>
        <v>40.066</v>
      </c>
    </row>
    <row r="1488">
      <c r="A1488" s="1" t="s">
        <v>1487</v>
      </c>
      <c r="D1488" s="3">
        <f>IFERROR(__xludf.DUMMYFUNCTION("SPLIT(A1488, ""|"")"),43104.0)</f>
        <v>43104</v>
      </c>
      <c r="E1488" s="2">
        <f>IFERROR(__xludf.DUMMYFUNCTION("""COMPUTED_VALUE"""),415473.0)</f>
        <v>415473</v>
      </c>
      <c r="F1488" s="2">
        <f>IFERROR(__xludf.DUMMYFUNCTION("""COMPUTED_VALUE"""),4093613.0)</f>
        <v>4093613</v>
      </c>
      <c r="G1488" s="2">
        <f>IFERROR(__xludf.DUMMYFUNCTION("""COMPUTED_VALUE"""),102.8522)</f>
        <v>102.8522</v>
      </c>
    </row>
    <row r="1489">
      <c r="A1489" s="1" t="s">
        <v>1488</v>
      </c>
      <c r="D1489" s="3">
        <f>IFERROR(__xludf.DUMMYFUNCTION("SPLIT(A1489, ""|"")"),43104.0)</f>
        <v>43104</v>
      </c>
      <c r="E1489" s="2">
        <f>IFERROR(__xludf.DUMMYFUNCTION("""COMPUTED_VALUE"""),1399533.0)</f>
        <v>1399533</v>
      </c>
      <c r="F1489" s="2">
        <f>IFERROR(__xludf.DUMMYFUNCTION("""COMPUTED_VALUE"""),4093061.0)</f>
        <v>4093061</v>
      </c>
      <c r="G1489" s="2">
        <f>IFERROR(__xludf.DUMMYFUNCTION("""COMPUTED_VALUE"""),113.706)</f>
        <v>113.706</v>
      </c>
    </row>
    <row r="1490">
      <c r="A1490" s="1" t="s">
        <v>1489</v>
      </c>
      <c r="D1490" s="3">
        <f>IFERROR(__xludf.DUMMYFUNCTION("SPLIT(A1490, ""|"")"),43104.0)</f>
        <v>43104</v>
      </c>
      <c r="E1490" s="2">
        <f>IFERROR(__xludf.DUMMYFUNCTION("""COMPUTED_VALUE"""),1081713.0)</f>
        <v>1081713</v>
      </c>
      <c r="F1490" s="2">
        <f>IFERROR(__xludf.DUMMYFUNCTION("""COMPUTED_VALUE"""),4093545.0)</f>
        <v>4093545</v>
      </c>
      <c r="G1490" s="2">
        <f>IFERROR(__xludf.DUMMYFUNCTION("""COMPUTED_VALUE"""),78.2327999999999)</f>
        <v>78.2328</v>
      </c>
    </row>
    <row r="1491">
      <c r="A1491" s="1" t="s">
        <v>1490</v>
      </c>
      <c r="D1491" s="3">
        <f>IFERROR(__xludf.DUMMYFUNCTION("SPLIT(A1491, ""|"")"),43360.0)</f>
        <v>43360</v>
      </c>
      <c r="E1491" s="2">
        <f>IFERROR(__xludf.DUMMYFUNCTION("""COMPUTED_VALUE"""),1561293.0)</f>
        <v>1561293</v>
      </c>
      <c r="F1491" s="2">
        <f>IFERROR(__xludf.DUMMYFUNCTION("""COMPUTED_VALUE"""),4767664.0)</f>
        <v>4767664</v>
      </c>
      <c r="G1491" s="2">
        <f>IFERROR(__xludf.DUMMYFUNCTION("""COMPUTED_VALUE"""),31.0130999999999)</f>
        <v>31.0131</v>
      </c>
    </row>
    <row r="1492">
      <c r="A1492" s="1" t="s">
        <v>1491</v>
      </c>
      <c r="D1492" s="3">
        <f>IFERROR(__xludf.DUMMYFUNCTION("SPLIT(A1492, ""|"")"),43360.0)</f>
        <v>43360</v>
      </c>
      <c r="E1492" s="2">
        <f>IFERROR(__xludf.DUMMYFUNCTION("""COMPUTED_VALUE"""),1081713.0)</f>
        <v>1081713</v>
      </c>
      <c r="F1492" s="2">
        <f>IFERROR(__xludf.DUMMYFUNCTION("""COMPUTED_VALUE"""),4768391.0)</f>
        <v>4768391</v>
      </c>
      <c r="G1492" s="2">
        <f>IFERROR(__xludf.DUMMYFUNCTION("""COMPUTED_VALUE"""),101.2325)</f>
        <v>101.2325</v>
      </c>
    </row>
    <row r="1493">
      <c r="A1493" s="1" t="s">
        <v>1492</v>
      </c>
      <c r="D1493" s="3">
        <f>IFERROR(__xludf.DUMMYFUNCTION("SPLIT(A1493, ""|"")"),43360.0)</f>
        <v>43360</v>
      </c>
      <c r="E1493" s="2">
        <f>IFERROR(__xludf.DUMMYFUNCTION("""COMPUTED_VALUE"""),1666593.0)</f>
        <v>1666593</v>
      </c>
      <c r="F1493" s="2">
        <f>IFERROR(__xludf.DUMMYFUNCTION("""COMPUTED_VALUE"""),4768271.0)</f>
        <v>4768271</v>
      </c>
      <c r="G1493" s="2">
        <f>IFERROR(__xludf.DUMMYFUNCTION("""COMPUTED_VALUE"""),86.339)</f>
        <v>86.339</v>
      </c>
    </row>
    <row r="1494">
      <c r="A1494" s="1" t="s">
        <v>1493</v>
      </c>
      <c r="D1494" s="3">
        <f>IFERROR(__xludf.DUMMYFUNCTION("SPLIT(A1494, ""|"")"),43360.0)</f>
        <v>43360</v>
      </c>
      <c r="E1494" s="2">
        <f>IFERROR(__xludf.DUMMYFUNCTION("""COMPUTED_VALUE"""),1663203.0)</f>
        <v>1663203</v>
      </c>
      <c r="F1494" s="2">
        <f>IFERROR(__xludf.DUMMYFUNCTION("""COMPUTED_VALUE"""),4768120.0)</f>
        <v>4768120</v>
      </c>
      <c r="G1494" s="2">
        <f>IFERROR(__xludf.DUMMYFUNCTION("""COMPUTED_VALUE"""),61.1112)</f>
        <v>61.1112</v>
      </c>
    </row>
    <row r="1495">
      <c r="A1495" s="1" t="s">
        <v>1494</v>
      </c>
      <c r="D1495" s="3">
        <f>IFERROR(__xludf.DUMMYFUNCTION("SPLIT(A1495, ""|"")"),43360.0)</f>
        <v>43360</v>
      </c>
      <c r="E1495" s="2">
        <f>IFERROR(__xludf.DUMMYFUNCTION("""COMPUTED_VALUE"""),423153.0)</f>
        <v>423153</v>
      </c>
      <c r="F1495" s="2">
        <f>IFERROR(__xludf.DUMMYFUNCTION("""COMPUTED_VALUE"""),4770344.0)</f>
        <v>4770344</v>
      </c>
      <c r="G1495" s="2">
        <f>IFERROR(__xludf.DUMMYFUNCTION("""COMPUTED_VALUE"""),83.9725999999999)</f>
        <v>83.9726</v>
      </c>
    </row>
    <row r="1496">
      <c r="A1496" s="1" t="s">
        <v>1495</v>
      </c>
      <c r="D1496" s="3">
        <f>IFERROR(__xludf.DUMMYFUNCTION("SPLIT(A1496, ""|"")"),43360.0)</f>
        <v>43360</v>
      </c>
      <c r="E1496" s="2">
        <f>IFERROR(__xludf.DUMMYFUNCTION("""COMPUTED_VALUE"""),1110273.0)</f>
        <v>1110273</v>
      </c>
      <c r="F1496" s="2">
        <f>IFERROR(__xludf.DUMMYFUNCTION("""COMPUTED_VALUE"""),4770391.0)</f>
        <v>4770391</v>
      </c>
      <c r="G1496" s="2">
        <f>IFERROR(__xludf.DUMMYFUNCTION("""COMPUTED_VALUE"""),90.3162)</f>
        <v>90.3162</v>
      </c>
    </row>
    <row r="1497">
      <c r="A1497" s="1" t="s">
        <v>1496</v>
      </c>
      <c r="D1497" s="3">
        <f>IFERROR(__xludf.DUMMYFUNCTION("SPLIT(A1497, ""|"")"),43360.0)</f>
        <v>43360</v>
      </c>
      <c r="E1497" s="2">
        <f>IFERROR(__xludf.DUMMYFUNCTION("""COMPUTED_VALUE"""),1663203.0)</f>
        <v>1663203</v>
      </c>
      <c r="F1497" s="2">
        <f>IFERROR(__xludf.DUMMYFUNCTION("""COMPUTED_VALUE"""),4768456.0)</f>
        <v>4768456</v>
      </c>
      <c r="G1497" s="2">
        <f>IFERROR(__xludf.DUMMYFUNCTION("""COMPUTED_VALUE"""),56.3304)</f>
        <v>56.3304</v>
      </c>
    </row>
    <row r="1498">
      <c r="A1498" s="1" t="s">
        <v>1497</v>
      </c>
      <c r="D1498" s="3">
        <f>IFERROR(__xludf.DUMMYFUNCTION("SPLIT(A1498, ""|"")"),43360.0)</f>
        <v>43360</v>
      </c>
      <c r="E1498" s="2">
        <f>IFERROR(__xludf.DUMMYFUNCTION("""COMPUTED_VALUE"""),1551003.0)</f>
        <v>1551003</v>
      </c>
      <c r="F1498" s="2">
        <f>IFERROR(__xludf.DUMMYFUNCTION("""COMPUTED_VALUE"""),4768812.0)</f>
        <v>4768812</v>
      </c>
      <c r="G1498" s="2">
        <f>IFERROR(__xludf.DUMMYFUNCTION("""COMPUTED_VALUE"""),163.616)</f>
        <v>163.616</v>
      </c>
    </row>
    <row r="1499">
      <c r="A1499" s="1" t="s">
        <v>1498</v>
      </c>
      <c r="D1499" s="3">
        <f>IFERROR(__xludf.DUMMYFUNCTION("SPLIT(A1499, ""|"")"),43360.0)</f>
        <v>43360</v>
      </c>
      <c r="E1499" s="2">
        <f>IFERROR(__xludf.DUMMYFUNCTION("""COMPUTED_VALUE"""),1657053.0)</f>
        <v>1657053</v>
      </c>
      <c r="F1499" s="2">
        <f>IFERROR(__xludf.DUMMYFUNCTION("""COMPUTED_VALUE"""),4768429.0)</f>
        <v>4768429</v>
      </c>
      <c r="G1499" s="2">
        <f>IFERROR(__xludf.DUMMYFUNCTION("""COMPUTED_VALUE"""),30.3447)</f>
        <v>30.3447</v>
      </c>
    </row>
    <row r="1500">
      <c r="A1500" s="1" t="s">
        <v>1499</v>
      </c>
      <c r="D1500" s="3">
        <f>IFERROR(__xludf.DUMMYFUNCTION("SPLIT(A1500, ""|"")"),43360.0)</f>
        <v>43360</v>
      </c>
      <c r="E1500" s="2">
        <f>IFERROR(__xludf.DUMMYFUNCTION("""COMPUTED_VALUE"""),1470573.0)</f>
        <v>1470573</v>
      </c>
      <c r="F1500" s="2">
        <f>IFERROR(__xludf.DUMMYFUNCTION("""COMPUTED_VALUE"""),4770143.0)</f>
        <v>4770143</v>
      </c>
      <c r="G1500" s="2">
        <f>IFERROR(__xludf.DUMMYFUNCTION("""COMPUTED_VALUE"""),96.046)</f>
        <v>96.046</v>
      </c>
    </row>
    <row r="1501">
      <c r="A1501" s="1" t="s">
        <v>1500</v>
      </c>
      <c r="D1501" s="3">
        <f>IFERROR(__xludf.DUMMYFUNCTION("SPLIT(A1501, ""|"")"),43360.0)</f>
        <v>43360</v>
      </c>
      <c r="E1501" s="2">
        <f>IFERROR(__xludf.DUMMYFUNCTION("""COMPUTED_VALUE"""),1291233.0)</f>
        <v>1291233</v>
      </c>
      <c r="F1501" s="2">
        <f>IFERROR(__xludf.DUMMYFUNCTION("""COMPUTED_VALUE"""),4768929.0)</f>
        <v>4768929</v>
      </c>
      <c r="G1501" s="2">
        <f>IFERROR(__xludf.DUMMYFUNCTION("""COMPUTED_VALUE"""),105.888799999999)</f>
        <v>105.8888</v>
      </c>
    </row>
    <row r="1502">
      <c r="A1502" s="1" t="s">
        <v>1501</v>
      </c>
      <c r="D1502" s="3">
        <f>IFERROR(__xludf.DUMMYFUNCTION("SPLIT(A1502, ""|"")"),43105.0)</f>
        <v>43105</v>
      </c>
      <c r="E1502" s="2">
        <f>IFERROR(__xludf.DUMMYFUNCTION("""COMPUTED_VALUE"""),1475943.0)</f>
        <v>1475943</v>
      </c>
      <c r="F1502" s="2">
        <f>IFERROR(__xludf.DUMMYFUNCTION("""COMPUTED_VALUE"""),4097310.0)</f>
        <v>4097310</v>
      </c>
      <c r="G1502" s="2">
        <f>IFERROR(__xludf.DUMMYFUNCTION("""COMPUTED_VALUE"""),69.9167)</f>
        <v>69.9167</v>
      </c>
    </row>
    <row r="1503">
      <c r="A1503" s="1" t="s">
        <v>1502</v>
      </c>
      <c r="D1503" s="3">
        <f>IFERROR(__xludf.DUMMYFUNCTION("SPLIT(A1503, ""|"")"),43105.0)</f>
        <v>43105</v>
      </c>
      <c r="E1503" s="2">
        <f>IFERROR(__xludf.DUMMYFUNCTION("""COMPUTED_VALUE"""),1451553.0)</f>
        <v>1451553</v>
      </c>
      <c r="F1503" s="2">
        <f>IFERROR(__xludf.DUMMYFUNCTION("""COMPUTED_VALUE"""),4095613.0)</f>
        <v>4095613</v>
      </c>
      <c r="G1503" s="2">
        <f>IFERROR(__xludf.DUMMYFUNCTION("""COMPUTED_VALUE"""),46.659)</f>
        <v>46.659</v>
      </c>
    </row>
    <row r="1504">
      <c r="A1504" s="1" t="s">
        <v>1503</v>
      </c>
      <c r="D1504" s="3">
        <f>IFERROR(__xludf.DUMMYFUNCTION("SPLIT(A1504, ""|"")"),43105.0)</f>
        <v>43105</v>
      </c>
      <c r="E1504" s="2">
        <f>IFERROR(__xludf.DUMMYFUNCTION("""COMPUTED_VALUE"""),1494813.0)</f>
        <v>1494813</v>
      </c>
      <c r="F1504" s="2">
        <f>IFERROR(__xludf.DUMMYFUNCTION("""COMPUTED_VALUE"""),4097055.0)</f>
        <v>4097055</v>
      </c>
      <c r="G1504" s="2">
        <f>IFERROR(__xludf.DUMMYFUNCTION("""COMPUTED_VALUE"""),64.0488)</f>
        <v>64.0488</v>
      </c>
    </row>
    <row r="1505">
      <c r="A1505" s="1" t="s">
        <v>1504</v>
      </c>
      <c r="D1505" s="3">
        <f>IFERROR(__xludf.DUMMYFUNCTION("SPLIT(A1505, ""|"")"),43105.0)</f>
        <v>43105</v>
      </c>
      <c r="E1505" s="2">
        <f>IFERROR(__xludf.DUMMYFUNCTION("""COMPUTED_VALUE"""),1177893.0)</f>
        <v>1177893</v>
      </c>
      <c r="F1505" s="2">
        <f>IFERROR(__xludf.DUMMYFUNCTION("""COMPUTED_VALUE"""),4095515.0)</f>
        <v>4095515</v>
      </c>
      <c r="G1505" s="2">
        <f>IFERROR(__xludf.DUMMYFUNCTION("""COMPUTED_VALUE"""),129.4303)</f>
        <v>129.4303</v>
      </c>
    </row>
    <row r="1506">
      <c r="A1506" s="1" t="s">
        <v>1505</v>
      </c>
      <c r="D1506" s="3">
        <f>IFERROR(__xludf.DUMMYFUNCTION("SPLIT(A1506, ""|"")"),43361.0)</f>
        <v>43361</v>
      </c>
      <c r="E1506" s="2">
        <f>IFERROR(__xludf.DUMMYFUNCTION("""COMPUTED_VALUE"""),1167393.0)</f>
        <v>1167393</v>
      </c>
      <c r="F1506" s="2">
        <f>IFERROR(__xludf.DUMMYFUNCTION("""COMPUTED_VALUE"""),4773225.0)</f>
        <v>4773225</v>
      </c>
      <c r="G1506" s="2">
        <f>IFERROR(__xludf.DUMMYFUNCTION("""COMPUTED_VALUE"""),91.8969)</f>
        <v>91.8969</v>
      </c>
    </row>
    <row r="1507">
      <c r="A1507" s="1" t="s">
        <v>1506</v>
      </c>
      <c r="D1507" s="3">
        <f>IFERROR(__xludf.DUMMYFUNCTION("SPLIT(A1507, ""|"")"),43361.0)</f>
        <v>43361</v>
      </c>
      <c r="E1507" s="2">
        <f>IFERROR(__xludf.DUMMYFUNCTION("""COMPUTED_VALUE"""),1056543.0)</f>
        <v>1056543</v>
      </c>
      <c r="F1507" s="2">
        <f>IFERROR(__xludf.DUMMYFUNCTION("""COMPUTED_VALUE"""),4771434.0)</f>
        <v>4771434</v>
      </c>
      <c r="G1507" s="2">
        <f>IFERROR(__xludf.DUMMYFUNCTION("""COMPUTED_VALUE"""),46.6446)</f>
        <v>46.6446</v>
      </c>
    </row>
    <row r="1508">
      <c r="A1508" s="1" t="s">
        <v>1507</v>
      </c>
      <c r="D1508" s="3">
        <f>IFERROR(__xludf.DUMMYFUNCTION("SPLIT(A1508, ""|"")"),43361.0)</f>
        <v>43361</v>
      </c>
      <c r="E1508" s="2">
        <f>IFERROR(__xludf.DUMMYFUNCTION("""COMPUTED_VALUE"""),1542783.0)</f>
        <v>1542783</v>
      </c>
      <c r="F1508" s="2">
        <f>IFERROR(__xludf.DUMMYFUNCTION("""COMPUTED_VALUE"""),4771564.0)</f>
        <v>4771564</v>
      </c>
      <c r="G1508" s="2">
        <f>IFERROR(__xludf.DUMMYFUNCTION("""COMPUTED_VALUE"""),64.0213)</f>
        <v>64.0213</v>
      </c>
    </row>
    <row r="1509">
      <c r="A1509" s="1" t="s">
        <v>1508</v>
      </c>
      <c r="D1509" s="3">
        <f>IFERROR(__xludf.DUMMYFUNCTION("SPLIT(A1509, ""|"")"),43361.0)</f>
        <v>43361</v>
      </c>
      <c r="E1509" s="2">
        <f>IFERROR(__xludf.DUMMYFUNCTION("""COMPUTED_VALUE"""),1667733.0)</f>
        <v>1667733</v>
      </c>
      <c r="F1509" s="2">
        <f>IFERROR(__xludf.DUMMYFUNCTION("""COMPUTED_VALUE"""),4772721.0)</f>
        <v>4772721</v>
      </c>
      <c r="G1509" s="2">
        <f>IFERROR(__xludf.DUMMYFUNCTION("""COMPUTED_VALUE"""),84.3203)</f>
        <v>84.3203</v>
      </c>
    </row>
    <row r="1510">
      <c r="A1510" s="1" t="s">
        <v>1509</v>
      </c>
      <c r="D1510" s="3">
        <f>IFERROR(__xludf.DUMMYFUNCTION("SPLIT(A1510, ""|"")"),43361.0)</f>
        <v>43361</v>
      </c>
      <c r="E1510" s="2">
        <f>IFERROR(__xludf.DUMMYFUNCTION("""COMPUTED_VALUE"""),1252173.0)</f>
        <v>1252173</v>
      </c>
      <c r="F1510" s="2">
        <f>IFERROR(__xludf.DUMMYFUNCTION("""COMPUTED_VALUE"""),4772859.0)</f>
        <v>4772859</v>
      </c>
      <c r="G1510" s="2">
        <f>IFERROR(__xludf.DUMMYFUNCTION("""COMPUTED_VALUE"""),69.2671)</f>
        <v>69.2671</v>
      </c>
    </row>
    <row r="1511">
      <c r="A1511" s="1" t="s">
        <v>1510</v>
      </c>
      <c r="D1511" s="3">
        <f>IFERROR(__xludf.DUMMYFUNCTION("SPLIT(A1511, ""|"")"),43106.0)</f>
        <v>43106</v>
      </c>
      <c r="E1511" s="2">
        <f>IFERROR(__xludf.DUMMYFUNCTION("""COMPUTED_VALUE"""),1128333.0)</f>
        <v>1128333</v>
      </c>
      <c r="F1511" s="2">
        <f>IFERROR(__xludf.DUMMYFUNCTION("""COMPUTED_VALUE"""),4099473.0)</f>
        <v>4099473</v>
      </c>
      <c r="G1511" s="2">
        <f>IFERROR(__xludf.DUMMYFUNCTION("""COMPUTED_VALUE"""),60.0252)</f>
        <v>60.0252</v>
      </c>
    </row>
    <row r="1512">
      <c r="A1512" s="1" t="s">
        <v>1511</v>
      </c>
      <c r="D1512" s="3">
        <f>IFERROR(__xludf.DUMMYFUNCTION("SPLIT(A1512, ""|"")"),43106.0)</f>
        <v>43106</v>
      </c>
      <c r="E1512" s="2">
        <f>IFERROR(__xludf.DUMMYFUNCTION("""COMPUTED_VALUE"""),1491153.0)</f>
        <v>1491153</v>
      </c>
      <c r="F1512" s="2">
        <f>IFERROR(__xludf.DUMMYFUNCTION("""COMPUTED_VALUE"""),4099342.0)</f>
        <v>4099342</v>
      </c>
      <c r="G1512" s="2">
        <f>IFERROR(__xludf.DUMMYFUNCTION("""COMPUTED_VALUE"""),77.5749)</f>
        <v>77.5749</v>
      </c>
    </row>
    <row r="1513">
      <c r="A1513" s="1" t="s">
        <v>1512</v>
      </c>
      <c r="D1513" s="3">
        <f>IFERROR(__xludf.DUMMYFUNCTION("SPLIT(A1513, ""|"")"),43106.0)</f>
        <v>43106</v>
      </c>
      <c r="E1513" s="2">
        <f>IFERROR(__xludf.DUMMYFUNCTION("""COMPUTED_VALUE"""),1495473.0)</f>
        <v>1495473</v>
      </c>
      <c r="F1513" s="2">
        <f>IFERROR(__xludf.DUMMYFUNCTION("""COMPUTED_VALUE"""),4099113.0)</f>
        <v>4099113</v>
      </c>
      <c r="G1513" s="2">
        <f>IFERROR(__xludf.DUMMYFUNCTION("""COMPUTED_VALUE"""),65.9169)</f>
        <v>65.9169</v>
      </c>
    </row>
    <row r="1514">
      <c r="A1514" s="1" t="s">
        <v>1513</v>
      </c>
      <c r="D1514" s="3">
        <f>IFERROR(__xludf.DUMMYFUNCTION("SPLIT(A1514, ""|"")"),43106.0)</f>
        <v>43106</v>
      </c>
      <c r="E1514" s="2">
        <f>IFERROR(__xludf.DUMMYFUNCTION("""COMPUTED_VALUE"""),1074813.0)</f>
        <v>1074813</v>
      </c>
      <c r="F1514" s="2">
        <f>IFERROR(__xludf.DUMMYFUNCTION("""COMPUTED_VALUE"""),4099979.0)</f>
        <v>4099979</v>
      </c>
      <c r="G1514" s="2">
        <f>IFERROR(__xludf.DUMMYFUNCTION("""COMPUTED_VALUE"""),64.3534)</f>
        <v>64.3534</v>
      </c>
    </row>
    <row r="1515">
      <c r="A1515" s="1" t="s">
        <v>1514</v>
      </c>
      <c r="D1515" s="3">
        <f>IFERROR(__xludf.DUMMYFUNCTION("SPLIT(A1515, ""|"")"),43362.0)</f>
        <v>43362</v>
      </c>
      <c r="E1515" s="2">
        <f>IFERROR(__xludf.DUMMYFUNCTION("""COMPUTED_VALUE"""),1668063.0)</f>
        <v>1668063</v>
      </c>
      <c r="F1515" s="2">
        <f>IFERROR(__xludf.DUMMYFUNCTION("""COMPUTED_VALUE"""),4774079.0)</f>
        <v>4774079</v>
      </c>
      <c r="G1515" s="2">
        <f>IFERROR(__xludf.DUMMYFUNCTION("""COMPUTED_VALUE"""),11.05)</f>
        <v>11.05</v>
      </c>
    </row>
    <row r="1516">
      <c r="A1516" s="1" t="s">
        <v>1515</v>
      </c>
      <c r="D1516" s="3">
        <f>IFERROR(__xludf.DUMMYFUNCTION("SPLIT(A1516, ""|"")"),43362.0)</f>
        <v>43362</v>
      </c>
      <c r="E1516" s="2">
        <f>IFERROR(__xludf.DUMMYFUNCTION("""COMPUTED_VALUE"""),1039533.0)</f>
        <v>1039533</v>
      </c>
      <c r="F1516" s="2">
        <f>IFERROR(__xludf.DUMMYFUNCTION("""COMPUTED_VALUE"""),4776072.0)</f>
        <v>4776072</v>
      </c>
      <c r="G1516" s="2">
        <f>IFERROR(__xludf.DUMMYFUNCTION("""COMPUTED_VALUE"""),120.0079)</f>
        <v>120.0079</v>
      </c>
    </row>
    <row r="1517">
      <c r="A1517" s="1" t="s">
        <v>1516</v>
      </c>
      <c r="D1517" s="3">
        <f>IFERROR(__xludf.DUMMYFUNCTION("SPLIT(A1517, ""|"")"),43362.0)</f>
        <v>43362</v>
      </c>
      <c r="E1517" s="2">
        <f>IFERROR(__xludf.DUMMYFUNCTION("""COMPUTED_VALUE"""),1640883.0)</f>
        <v>1640883</v>
      </c>
      <c r="F1517" s="2">
        <f>IFERROR(__xludf.DUMMYFUNCTION("""COMPUTED_VALUE"""),4774140.0)</f>
        <v>4774140</v>
      </c>
      <c r="G1517" s="2">
        <f>IFERROR(__xludf.DUMMYFUNCTION("""COMPUTED_VALUE"""),20.7513)</f>
        <v>20.7513</v>
      </c>
    </row>
    <row r="1518">
      <c r="A1518" s="1" t="s">
        <v>1517</v>
      </c>
      <c r="D1518" s="3">
        <f>IFERROR(__xludf.DUMMYFUNCTION("SPLIT(A1518, ""|"")"),43362.0)</f>
        <v>43362</v>
      </c>
      <c r="E1518" s="2">
        <f>IFERROR(__xludf.DUMMYFUNCTION("""COMPUTED_VALUE"""),257913.0)</f>
        <v>257913</v>
      </c>
      <c r="F1518" s="2">
        <f>IFERROR(__xludf.DUMMYFUNCTION("""COMPUTED_VALUE"""),4775276.0)</f>
        <v>4775276</v>
      </c>
      <c r="G1518" s="2">
        <f>IFERROR(__xludf.DUMMYFUNCTION("""COMPUTED_VALUE"""),81.744)</f>
        <v>81.744</v>
      </c>
    </row>
    <row r="1519">
      <c r="A1519" s="1" t="s">
        <v>1518</v>
      </c>
      <c r="D1519" s="3">
        <f>IFERROR(__xludf.DUMMYFUNCTION("SPLIT(A1519, ""|"")"),43107.0)</f>
        <v>43107</v>
      </c>
      <c r="E1519" s="2">
        <f>IFERROR(__xludf.DUMMYFUNCTION("""COMPUTED_VALUE"""),1495983.0)</f>
        <v>1495983</v>
      </c>
      <c r="F1519" s="2">
        <f>IFERROR(__xludf.DUMMYFUNCTION("""COMPUTED_VALUE"""),4100797.0)</f>
        <v>4100797</v>
      </c>
      <c r="G1519" s="2">
        <f>IFERROR(__xludf.DUMMYFUNCTION("""COMPUTED_VALUE"""),62.7166)</f>
        <v>62.7166</v>
      </c>
    </row>
    <row r="1520">
      <c r="A1520" s="1" t="s">
        <v>1519</v>
      </c>
      <c r="D1520" s="3">
        <f>IFERROR(__xludf.DUMMYFUNCTION("SPLIT(A1520, ""|"")"),43107.0)</f>
        <v>43107</v>
      </c>
      <c r="E1520" s="2">
        <f>IFERROR(__xludf.DUMMYFUNCTION("""COMPUTED_VALUE"""),1495833.0)</f>
        <v>1495833</v>
      </c>
      <c r="F1520" s="2">
        <f>IFERROR(__xludf.DUMMYFUNCTION("""COMPUTED_VALUE"""),4100302.0)</f>
        <v>4100302</v>
      </c>
      <c r="G1520" s="2">
        <f>IFERROR(__xludf.DUMMYFUNCTION("""COMPUTED_VALUE"""),31.9563)</f>
        <v>31.9563</v>
      </c>
    </row>
    <row r="1521">
      <c r="A1521" s="1" t="s">
        <v>1520</v>
      </c>
      <c r="D1521" s="3">
        <f>IFERROR(__xludf.DUMMYFUNCTION("SPLIT(A1521, ""|"")"),43107.0)</f>
        <v>43107</v>
      </c>
      <c r="E1521" s="2">
        <f>IFERROR(__xludf.DUMMYFUNCTION("""COMPUTED_VALUE"""),1496013.0)</f>
        <v>1496013</v>
      </c>
      <c r="F1521" s="2">
        <f>IFERROR(__xludf.DUMMYFUNCTION("""COMPUTED_VALUE"""),4100894.0)</f>
        <v>4100894</v>
      </c>
      <c r="G1521" s="2">
        <f>IFERROR(__xludf.DUMMYFUNCTION("""COMPUTED_VALUE"""),75.6667)</f>
        <v>75.6667</v>
      </c>
    </row>
    <row r="1522">
      <c r="A1522" s="1" t="s">
        <v>1521</v>
      </c>
      <c r="D1522" s="3">
        <f>IFERROR(__xludf.DUMMYFUNCTION("SPLIT(A1522, ""|"")"),43107.0)</f>
        <v>43107</v>
      </c>
      <c r="E1522" s="2">
        <f>IFERROR(__xludf.DUMMYFUNCTION("""COMPUTED_VALUE"""),1495923.0)</f>
        <v>1495923</v>
      </c>
      <c r="F1522" s="2">
        <f>IFERROR(__xludf.DUMMYFUNCTION("""COMPUTED_VALUE"""),4100669.0)</f>
        <v>4100669</v>
      </c>
      <c r="G1522" s="2">
        <f>IFERROR(__xludf.DUMMYFUNCTION("""COMPUTED_VALUE"""),132.5622)</f>
        <v>132.5622</v>
      </c>
    </row>
    <row r="1523">
      <c r="A1523" s="1" t="s">
        <v>1522</v>
      </c>
      <c r="D1523" s="3">
        <f>IFERROR(__xludf.DUMMYFUNCTION("SPLIT(A1523, ""|"")"),43363.0)</f>
        <v>43363</v>
      </c>
      <c r="E1523" s="2">
        <f>IFERROR(__xludf.DUMMYFUNCTION("""COMPUTED_VALUE"""),1556523.0)</f>
        <v>1556523</v>
      </c>
      <c r="F1523" s="2">
        <f>IFERROR(__xludf.DUMMYFUNCTION("""COMPUTED_VALUE"""),4777685.0)</f>
        <v>4777685</v>
      </c>
      <c r="G1523" s="2">
        <f>IFERROR(__xludf.DUMMYFUNCTION("""COMPUTED_VALUE"""),61.9603)</f>
        <v>61.9603</v>
      </c>
    </row>
    <row r="1524">
      <c r="A1524" s="1" t="s">
        <v>1523</v>
      </c>
      <c r="D1524" s="3">
        <f>IFERROR(__xludf.DUMMYFUNCTION("SPLIT(A1524, ""|"")"),43363.0)</f>
        <v>43363</v>
      </c>
      <c r="E1524" s="2">
        <f>IFERROR(__xludf.DUMMYFUNCTION("""COMPUTED_VALUE"""),1668933.0)</f>
        <v>1668933</v>
      </c>
      <c r="F1524" s="2">
        <f>IFERROR(__xludf.DUMMYFUNCTION("""COMPUTED_VALUE"""),4777519.0)</f>
        <v>4777519</v>
      </c>
      <c r="G1524" s="2">
        <f>IFERROR(__xludf.DUMMYFUNCTION("""COMPUTED_VALUE"""),208.4626)</f>
        <v>208.4626</v>
      </c>
    </row>
    <row r="1525">
      <c r="A1525" s="1" t="s">
        <v>1524</v>
      </c>
      <c r="D1525" s="3">
        <f>IFERROR(__xludf.DUMMYFUNCTION("SPLIT(A1525, ""|"")"),43363.0)</f>
        <v>43363</v>
      </c>
      <c r="E1525" s="2">
        <f>IFERROR(__xludf.DUMMYFUNCTION("""COMPUTED_VALUE"""),1461543.0)</f>
        <v>1461543</v>
      </c>
      <c r="F1525" s="2">
        <f>IFERROR(__xludf.DUMMYFUNCTION("""COMPUTED_VALUE"""),4776482.0)</f>
        <v>4776482</v>
      </c>
      <c r="G1525" s="2">
        <f>IFERROR(__xludf.DUMMYFUNCTION("""COMPUTED_VALUE"""),111.355499999999)</f>
        <v>111.3555</v>
      </c>
    </row>
    <row r="1526">
      <c r="A1526" s="1" t="s">
        <v>1525</v>
      </c>
      <c r="D1526" s="3">
        <f>IFERROR(__xludf.DUMMYFUNCTION("SPLIT(A1526, ""|"")"),43108.0)</f>
        <v>43108</v>
      </c>
      <c r="E1526" s="2">
        <f>IFERROR(__xludf.DUMMYFUNCTION("""COMPUTED_VALUE"""),1162143.0)</f>
        <v>1162143</v>
      </c>
      <c r="F1526" s="2">
        <f>IFERROR(__xludf.DUMMYFUNCTION("""COMPUTED_VALUE"""),4105193.0)</f>
        <v>4105193</v>
      </c>
      <c r="G1526" s="2">
        <f>IFERROR(__xludf.DUMMYFUNCTION("""COMPUTED_VALUE"""),78.5907)</f>
        <v>78.5907</v>
      </c>
    </row>
    <row r="1527">
      <c r="A1527" s="1" t="s">
        <v>1526</v>
      </c>
      <c r="D1527" s="3">
        <f>IFERROR(__xludf.DUMMYFUNCTION("SPLIT(A1527, ""|"")"),43108.0)</f>
        <v>43108</v>
      </c>
      <c r="E1527" s="2">
        <f>IFERROR(__xludf.DUMMYFUNCTION("""COMPUTED_VALUE"""),1153263.0)</f>
        <v>1153263</v>
      </c>
      <c r="F1527" s="2">
        <f>IFERROR(__xludf.DUMMYFUNCTION("""COMPUTED_VALUE"""),4103813.0)</f>
        <v>4103813</v>
      </c>
      <c r="G1527" s="2">
        <f>IFERROR(__xludf.DUMMYFUNCTION("""COMPUTED_VALUE"""),41.038)</f>
        <v>41.038</v>
      </c>
    </row>
    <row r="1528">
      <c r="A1528" s="1" t="s">
        <v>1527</v>
      </c>
      <c r="D1528" s="3">
        <f>IFERROR(__xludf.DUMMYFUNCTION("SPLIT(A1528, ""|"")"),43108.0)</f>
        <v>43108</v>
      </c>
      <c r="E1528" s="2">
        <f>IFERROR(__xludf.DUMMYFUNCTION("""COMPUTED_VALUE"""),1497543.0)</f>
        <v>1497543</v>
      </c>
      <c r="F1528" s="2">
        <f>IFERROR(__xludf.DUMMYFUNCTION("""COMPUTED_VALUE"""),4106742.0)</f>
        <v>4106742</v>
      </c>
      <c r="G1528" s="2">
        <f>IFERROR(__xludf.DUMMYFUNCTION("""COMPUTED_VALUE"""),66.7984)</f>
        <v>66.7984</v>
      </c>
    </row>
    <row r="1529">
      <c r="A1529" s="1" t="s">
        <v>1528</v>
      </c>
      <c r="D1529" s="3">
        <f>IFERROR(__xludf.DUMMYFUNCTION("SPLIT(A1529, ""|"")"),43108.0)</f>
        <v>43108</v>
      </c>
      <c r="E1529" s="2">
        <f>IFERROR(__xludf.DUMMYFUNCTION("""COMPUTED_VALUE"""),1497003.0)</f>
        <v>1497003</v>
      </c>
      <c r="F1529" s="2">
        <f>IFERROR(__xludf.DUMMYFUNCTION("""COMPUTED_VALUE"""),4104590.0)</f>
        <v>4104590</v>
      </c>
      <c r="G1529" s="2">
        <f>IFERROR(__xludf.DUMMYFUNCTION("""COMPUTED_VALUE"""),65.3441)</f>
        <v>65.3441</v>
      </c>
    </row>
    <row r="1530">
      <c r="A1530" s="1" t="s">
        <v>1529</v>
      </c>
      <c r="D1530" s="3">
        <f>IFERROR(__xludf.DUMMYFUNCTION("SPLIT(A1530, ""|"")"),43108.0)</f>
        <v>43108</v>
      </c>
      <c r="E1530" s="2">
        <f>IFERROR(__xludf.DUMMYFUNCTION("""COMPUTED_VALUE"""),1238253.0)</f>
        <v>1238253</v>
      </c>
      <c r="F1530" s="2">
        <f>IFERROR(__xludf.DUMMYFUNCTION("""COMPUTED_VALUE"""),4104734.0)</f>
        <v>4104734</v>
      </c>
      <c r="G1530" s="2">
        <f>IFERROR(__xludf.DUMMYFUNCTION("""COMPUTED_VALUE"""),16.3846)</f>
        <v>16.3846</v>
      </c>
    </row>
    <row r="1531">
      <c r="A1531" s="1" t="s">
        <v>1530</v>
      </c>
      <c r="D1531" s="3">
        <f>IFERROR(__xludf.DUMMYFUNCTION("SPLIT(A1531, ""|"")"),43108.0)</f>
        <v>43108</v>
      </c>
      <c r="E1531" s="2">
        <f>IFERROR(__xludf.DUMMYFUNCTION("""COMPUTED_VALUE"""),184683.0)</f>
        <v>184683</v>
      </c>
      <c r="F1531" s="2">
        <f>IFERROR(__xludf.DUMMYFUNCTION("""COMPUTED_VALUE"""),4105326.0)</f>
        <v>4105326</v>
      </c>
      <c r="G1531" s="2">
        <f>IFERROR(__xludf.DUMMYFUNCTION("""COMPUTED_VALUE"""),75.3319999999999)</f>
        <v>75.332</v>
      </c>
    </row>
    <row r="1532">
      <c r="A1532" s="1" t="s">
        <v>1531</v>
      </c>
      <c r="D1532" s="3">
        <f>IFERROR(__xludf.DUMMYFUNCTION("SPLIT(A1532, ""|"")"),43108.0)</f>
        <v>43108</v>
      </c>
      <c r="E1532" s="2">
        <f>IFERROR(__xludf.DUMMYFUNCTION("""COMPUTED_VALUE"""),1239273.0)</f>
        <v>1239273</v>
      </c>
      <c r="F1532" s="2">
        <f>IFERROR(__xludf.DUMMYFUNCTION("""COMPUTED_VALUE"""),4103934.0)</f>
        <v>4103934</v>
      </c>
      <c r="G1532" s="2">
        <f>IFERROR(__xludf.DUMMYFUNCTION("""COMPUTED_VALUE"""),108.8448)</f>
        <v>108.8448</v>
      </c>
    </row>
    <row r="1533">
      <c r="A1533" s="1" t="s">
        <v>1532</v>
      </c>
      <c r="D1533" s="3">
        <f>IFERROR(__xludf.DUMMYFUNCTION("SPLIT(A1533, ""|"")"),43108.0)</f>
        <v>43108</v>
      </c>
      <c r="E1533" s="2">
        <f>IFERROR(__xludf.DUMMYFUNCTION("""COMPUTED_VALUE"""),1496763.0)</f>
        <v>1496763</v>
      </c>
      <c r="F1533" s="2">
        <f>IFERROR(__xludf.DUMMYFUNCTION("""COMPUTED_VALUE"""),4103545.0)</f>
        <v>4103545</v>
      </c>
      <c r="G1533" s="2">
        <f>IFERROR(__xludf.DUMMYFUNCTION("""COMPUTED_VALUE"""),14.4175)</f>
        <v>14.4175</v>
      </c>
    </row>
    <row r="1534">
      <c r="A1534" s="1" t="s">
        <v>1533</v>
      </c>
      <c r="D1534" s="3">
        <f>IFERROR(__xludf.DUMMYFUNCTION("SPLIT(A1534, ""|"")"),43108.0)</f>
        <v>43108</v>
      </c>
      <c r="E1534" s="2">
        <f>IFERROR(__xludf.DUMMYFUNCTION("""COMPUTED_VALUE"""),1039983.0)</f>
        <v>1039983</v>
      </c>
      <c r="F1534" s="2">
        <f>IFERROR(__xludf.DUMMYFUNCTION("""COMPUTED_VALUE"""),4105860.0)</f>
        <v>4105860</v>
      </c>
      <c r="G1534" s="2">
        <f>IFERROR(__xludf.DUMMYFUNCTION("""COMPUTED_VALUE"""),81.7732)</f>
        <v>81.7732</v>
      </c>
    </row>
    <row r="1535">
      <c r="A1535" s="1" t="s">
        <v>1534</v>
      </c>
      <c r="D1535" s="3">
        <f>IFERROR(__xludf.DUMMYFUNCTION("SPLIT(A1535, ""|"")"),43108.0)</f>
        <v>43108</v>
      </c>
      <c r="E1535" s="2">
        <f>IFERROR(__xludf.DUMMYFUNCTION("""COMPUTED_VALUE"""),1267803.0)</f>
        <v>1267803</v>
      </c>
      <c r="F1535" s="2">
        <f>IFERROR(__xludf.DUMMYFUNCTION("""COMPUTED_VALUE"""),4104213.0)</f>
        <v>4104213</v>
      </c>
      <c r="G1535" s="2">
        <f>IFERROR(__xludf.DUMMYFUNCTION("""COMPUTED_VALUE"""),121.7436)</f>
        <v>121.7436</v>
      </c>
    </row>
    <row r="1536">
      <c r="A1536" s="1" t="s">
        <v>1535</v>
      </c>
      <c r="D1536" s="3">
        <f>IFERROR(__xludf.DUMMYFUNCTION("SPLIT(A1536, ""|"")"),43108.0)</f>
        <v>43108</v>
      </c>
      <c r="E1536" s="2">
        <f>IFERROR(__xludf.DUMMYFUNCTION("""COMPUTED_VALUE"""),427893.0)</f>
        <v>427893</v>
      </c>
      <c r="F1536" s="2">
        <f>IFERROR(__xludf.DUMMYFUNCTION("""COMPUTED_VALUE"""),4106799.0)</f>
        <v>4106799</v>
      </c>
      <c r="G1536" s="2">
        <f>IFERROR(__xludf.DUMMYFUNCTION("""COMPUTED_VALUE"""),91.6165)</f>
        <v>91.6165</v>
      </c>
    </row>
    <row r="1537">
      <c r="A1537" s="1" t="s">
        <v>1536</v>
      </c>
      <c r="D1537" s="3">
        <f>IFERROR(__xludf.DUMMYFUNCTION("SPLIT(A1537, ""|"")"),43364.0)</f>
        <v>43364</v>
      </c>
      <c r="E1537" s="2">
        <f>IFERROR(__xludf.DUMMYFUNCTION("""COMPUTED_VALUE"""),1669353.0)</f>
        <v>1669353</v>
      </c>
      <c r="F1537" s="2">
        <f>IFERROR(__xludf.DUMMYFUNCTION("""COMPUTED_VALUE"""),4779110.0)</f>
        <v>4779110</v>
      </c>
      <c r="G1537" s="2">
        <f>IFERROR(__xludf.DUMMYFUNCTION("""COMPUTED_VALUE"""),97.1661)</f>
        <v>97.1661</v>
      </c>
    </row>
    <row r="1538">
      <c r="A1538" s="1" t="s">
        <v>1537</v>
      </c>
      <c r="D1538" s="3">
        <f>IFERROR(__xludf.DUMMYFUNCTION("SPLIT(A1538, ""|"")"),43364.0)</f>
        <v>43364</v>
      </c>
      <c r="E1538" s="2">
        <f>IFERROR(__xludf.DUMMYFUNCTION("""COMPUTED_VALUE"""),58503.0)</f>
        <v>58503</v>
      </c>
      <c r="F1538" s="2">
        <f>IFERROR(__xludf.DUMMYFUNCTION("""COMPUTED_VALUE"""),4779723.0)</f>
        <v>4779723</v>
      </c>
      <c r="G1538" s="2">
        <f>IFERROR(__xludf.DUMMYFUNCTION("""COMPUTED_VALUE"""),63.6837999999999)</f>
        <v>63.6838</v>
      </c>
    </row>
    <row r="1539">
      <c r="A1539" s="1" t="s">
        <v>1538</v>
      </c>
      <c r="D1539" s="3">
        <f>IFERROR(__xludf.DUMMYFUNCTION("SPLIT(A1539, ""|"")"),43364.0)</f>
        <v>43364</v>
      </c>
      <c r="E1539" s="2">
        <f>IFERROR(__xludf.DUMMYFUNCTION("""COMPUTED_VALUE"""),1669473.0)</f>
        <v>1669473</v>
      </c>
      <c r="F1539" s="2">
        <f>IFERROR(__xludf.DUMMYFUNCTION("""COMPUTED_VALUE"""),4779582.0)</f>
        <v>4779582</v>
      </c>
      <c r="G1539" s="2">
        <f>IFERROR(__xludf.DUMMYFUNCTION("""COMPUTED_VALUE"""),43.7198999999999)</f>
        <v>43.7199</v>
      </c>
    </row>
    <row r="1540">
      <c r="A1540" s="1" t="s">
        <v>1539</v>
      </c>
      <c r="D1540" s="3">
        <f>IFERROR(__xludf.DUMMYFUNCTION("SPLIT(A1540, ""|"")"),43364.0)</f>
        <v>43364</v>
      </c>
      <c r="E1540" s="2">
        <f>IFERROR(__xludf.DUMMYFUNCTION("""COMPUTED_VALUE"""),1668213.0)</f>
        <v>1668213</v>
      </c>
      <c r="F1540" s="2">
        <f>IFERROR(__xludf.DUMMYFUNCTION("""COMPUTED_VALUE"""),4780224.0)</f>
        <v>4780224</v>
      </c>
      <c r="G1540" s="2">
        <f>IFERROR(__xludf.DUMMYFUNCTION("""COMPUTED_VALUE"""),47.8263)</f>
        <v>47.8263</v>
      </c>
    </row>
    <row r="1541">
      <c r="A1541" s="1" t="s">
        <v>1540</v>
      </c>
      <c r="D1541" s="3">
        <f>IFERROR(__xludf.DUMMYFUNCTION("SPLIT(A1541, ""|"")"),43364.0)</f>
        <v>43364</v>
      </c>
      <c r="E1541" s="2">
        <f>IFERROR(__xludf.DUMMYFUNCTION("""COMPUTED_VALUE"""),1130163.0)</f>
        <v>1130163</v>
      </c>
      <c r="F1541" s="2">
        <f>IFERROR(__xludf.DUMMYFUNCTION("""COMPUTED_VALUE"""),4780257.0)</f>
        <v>4780257</v>
      </c>
      <c r="G1541" s="2">
        <f>IFERROR(__xludf.DUMMYFUNCTION("""COMPUTED_VALUE"""),9.2463)</f>
        <v>9.2463</v>
      </c>
    </row>
    <row r="1542">
      <c r="A1542" s="1" t="s">
        <v>1541</v>
      </c>
      <c r="D1542" s="3">
        <f>IFERROR(__xludf.DUMMYFUNCTION("SPLIT(A1542, ""|"")"),43109.0)</f>
        <v>43109</v>
      </c>
      <c r="E1542" s="2">
        <f>IFERROR(__xludf.DUMMYFUNCTION("""COMPUTED_VALUE"""),1498143.0)</f>
        <v>1498143</v>
      </c>
      <c r="F1542" s="2">
        <f>IFERROR(__xludf.DUMMYFUNCTION("""COMPUTED_VALUE"""),4109465.0)</f>
        <v>4109465</v>
      </c>
      <c r="G1542" s="2">
        <f>IFERROR(__xludf.DUMMYFUNCTION("""COMPUTED_VALUE"""),47.8334)</f>
        <v>47.8334</v>
      </c>
    </row>
    <row r="1543">
      <c r="A1543" s="1" t="s">
        <v>1542</v>
      </c>
      <c r="D1543" s="3">
        <f>IFERROR(__xludf.DUMMYFUNCTION("SPLIT(A1543, ""|"")"),43109.0)</f>
        <v>43109</v>
      </c>
      <c r="E1543" s="2">
        <f>IFERROR(__xludf.DUMMYFUNCTION("""COMPUTED_VALUE"""),1198923.0)</f>
        <v>1198923</v>
      </c>
      <c r="F1543" s="2">
        <f>IFERROR(__xludf.DUMMYFUNCTION("""COMPUTED_VALUE"""),4107521.0)</f>
        <v>4107521</v>
      </c>
      <c r="G1543" s="2">
        <f>IFERROR(__xludf.DUMMYFUNCTION("""COMPUTED_VALUE"""),35.974)</f>
        <v>35.974</v>
      </c>
    </row>
    <row r="1544">
      <c r="A1544" s="1" t="s">
        <v>1543</v>
      </c>
      <c r="D1544" s="3">
        <f>IFERROR(__xludf.DUMMYFUNCTION("SPLIT(A1544, ""|"")"),43109.0)</f>
        <v>43109</v>
      </c>
      <c r="E1544" s="2">
        <f>IFERROR(__xludf.DUMMYFUNCTION("""COMPUTED_VALUE"""),33993.0)</f>
        <v>33993</v>
      </c>
      <c r="F1544" s="2">
        <f>IFERROR(__xludf.DUMMYFUNCTION("""COMPUTED_VALUE"""),4109372.0)</f>
        <v>4109372</v>
      </c>
      <c r="G1544" s="2">
        <f>IFERROR(__xludf.DUMMYFUNCTION("""COMPUTED_VALUE"""),26.4749999999999)</f>
        <v>26.475</v>
      </c>
    </row>
    <row r="1545">
      <c r="A1545" s="1" t="s">
        <v>1544</v>
      </c>
      <c r="D1545" s="3">
        <f>IFERROR(__xludf.DUMMYFUNCTION("SPLIT(A1545, ""|"")"),43109.0)</f>
        <v>43109</v>
      </c>
      <c r="E1545" s="2">
        <f>IFERROR(__xludf.DUMMYFUNCTION("""COMPUTED_VALUE"""),1497663.0)</f>
        <v>1497663</v>
      </c>
      <c r="F1545" s="2">
        <f>IFERROR(__xludf.DUMMYFUNCTION("""COMPUTED_VALUE"""),4107338.0)</f>
        <v>4107338</v>
      </c>
      <c r="G1545" s="2">
        <f>IFERROR(__xludf.DUMMYFUNCTION("""COMPUTED_VALUE"""),11.85)</f>
        <v>11.85</v>
      </c>
    </row>
    <row r="1546">
      <c r="A1546" s="1" t="s">
        <v>1545</v>
      </c>
      <c r="D1546" s="3">
        <f>IFERROR(__xludf.DUMMYFUNCTION("SPLIT(A1546, ""|"")"),43109.0)</f>
        <v>43109</v>
      </c>
      <c r="E1546" s="2">
        <f>IFERROR(__xludf.DUMMYFUNCTION("""COMPUTED_VALUE"""),407643.0)</f>
        <v>407643</v>
      </c>
      <c r="F1546" s="2">
        <f>IFERROR(__xludf.DUMMYFUNCTION("""COMPUTED_VALUE"""),4107142.0)</f>
        <v>4107142</v>
      </c>
      <c r="G1546" s="2">
        <f>IFERROR(__xludf.DUMMYFUNCTION("""COMPUTED_VALUE"""),100.4137)</f>
        <v>100.4137</v>
      </c>
    </row>
    <row r="1547">
      <c r="A1547" s="1" t="s">
        <v>1546</v>
      </c>
      <c r="D1547" s="3">
        <f>IFERROR(__xludf.DUMMYFUNCTION("SPLIT(A1547, ""|"")"),43109.0)</f>
        <v>43109</v>
      </c>
      <c r="E1547" s="2">
        <f>IFERROR(__xludf.DUMMYFUNCTION("""COMPUTED_VALUE"""),1110273.0)</f>
        <v>1110273</v>
      </c>
      <c r="F1547" s="2">
        <f>IFERROR(__xludf.DUMMYFUNCTION("""COMPUTED_VALUE"""),4109378.0)</f>
        <v>4109378</v>
      </c>
      <c r="G1547" s="2">
        <f>IFERROR(__xludf.DUMMYFUNCTION("""COMPUTED_VALUE"""),78.2598)</f>
        <v>78.2598</v>
      </c>
    </row>
    <row r="1548">
      <c r="A1548" s="1" t="s">
        <v>1547</v>
      </c>
      <c r="D1548" s="3">
        <f>IFERROR(__xludf.DUMMYFUNCTION("SPLIT(A1548, ""|"")"),43109.0)</f>
        <v>43109</v>
      </c>
      <c r="E1548" s="2">
        <f>IFERROR(__xludf.DUMMYFUNCTION("""COMPUTED_VALUE"""),1389153.0)</f>
        <v>1389153</v>
      </c>
      <c r="F1548" s="2">
        <f>IFERROR(__xludf.DUMMYFUNCTION("""COMPUTED_VALUE"""),4107594.0)</f>
        <v>4107594</v>
      </c>
      <c r="G1548" s="2">
        <f>IFERROR(__xludf.DUMMYFUNCTION("""COMPUTED_VALUE"""),17.2277)</f>
        <v>17.2277</v>
      </c>
    </row>
    <row r="1549">
      <c r="A1549" s="1" t="s">
        <v>1548</v>
      </c>
      <c r="D1549" s="3">
        <f>IFERROR(__xludf.DUMMYFUNCTION("SPLIT(A1549, ""|"")"),43365.0)</f>
        <v>43365</v>
      </c>
      <c r="E1549" s="2">
        <f>IFERROR(__xludf.DUMMYFUNCTION("""COMPUTED_VALUE"""),1670283.0)</f>
        <v>1670283</v>
      </c>
      <c r="F1549" s="2">
        <f>IFERROR(__xludf.DUMMYFUNCTION("""COMPUTED_VALUE"""),4782444.0)</f>
        <v>4782444</v>
      </c>
      <c r="G1549" s="2">
        <f>IFERROR(__xludf.DUMMYFUNCTION("""COMPUTED_VALUE"""),21.7673)</f>
        <v>21.7673</v>
      </c>
    </row>
    <row r="1550">
      <c r="A1550" s="1" t="s">
        <v>1549</v>
      </c>
      <c r="D1550" s="3">
        <f>IFERROR(__xludf.DUMMYFUNCTION("SPLIT(A1550, ""|"")"),43365.0)</f>
        <v>43365</v>
      </c>
      <c r="E1550" s="2">
        <f>IFERROR(__xludf.DUMMYFUNCTION("""COMPUTED_VALUE"""),1519503.0)</f>
        <v>1519503</v>
      </c>
      <c r="F1550" s="2">
        <f>IFERROR(__xludf.DUMMYFUNCTION("""COMPUTED_VALUE"""),4780720.0)</f>
        <v>4780720</v>
      </c>
      <c r="G1550" s="2">
        <f>IFERROR(__xludf.DUMMYFUNCTION("""COMPUTED_VALUE"""),47.528)</f>
        <v>47.528</v>
      </c>
    </row>
    <row r="1551">
      <c r="A1551" s="1" t="s">
        <v>1550</v>
      </c>
      <c r="D1551" s="3">
        <f>IFERROR(__xludf.DUMMYFUNCTION("SPLIT(A1551, ""|"")"),43365.0)</f>
        <v>43365</v>
      </c>
      <c r="E1551" s="2">
        <f>IFERROR(__xludf.DUMMYFUNCTION("""COMPUTED_VALUE"""),1604373.0)</f>
        <v>1604373</v>
      </c>
      <c r="F1551" s="2">
        <f>IFERROR(__xludf.DUMMYFUNCTION("""COMPUTED_VALUE"""),4781082.0)</f>
        <v>4781082</v>
      </c>
      <c r="G1551" s="2">
        <f>IFERROR(__xludf.DUMMYFUNCTION("""COMPUTED_VALUE"""),76.9696999999999)</f>
        <v>76.9697</v>
      </c>
    </row>
    <row r="1552">
      <c r="A1552" s="1" t="s">
        <v>1551</v>
      </c>
      <c r="D1552" s="3">
        <f>IFERROR(__xludf.DUMMYFUNCTION("SPLIT(A1552, ""|"")"),43365.0)</f>
        <v>43365</v>
      </c>
      <c r="E1552" s="2">
        <f>IFERROR(__xludf.DUMMYFUNCTION("""COMPUTED_VALUE"""),1409553.0)</f>
        <v>1409553</v>
      </c>
      <c r="F1552" s="2">
        <f>IFERROR(__xludf.DUMMYFUNCTION("""COMPUTED_VALUE"""),4781404.0)</f>
        <v>4781404</v>
      </c>
      <c r="G1552" s="2">
        <f>IFERROR(__xludf.DUMMYFUNCTION("""COMPUTED_VALUE"""),61.2627)</f>
        <v>61.2627</v>
      </c>
    </row>
    <row r="1553">
      <c r="A1553" s="1" t="s">
        <v>1552</v>
      </c>
      <c r="D1553" s="3">
        <f>IFERROR(__xludf.DUMMYFUNCTION("SPLIT(A1553, ""|"")"),43110.0)</f>
        <v>43110</v>
      </c>
      <c r="E1553" s="2">
        <f>IFERROR(__xludf.DUMMYFUNCTION("""COMPUTED_VALUE"""),1498473.0)</f>
        <v>1498473</v>
      </c>
      <c r="F1553" s="2">
        <f>IFERROR(__xludf.DUMMYFUNCTION("""COMPUTED_VALUE"""),4110694.0)</f>
        <v>4110694</v>
      </c>
      <c r="G1553" s="2">
        <f>IFERROR(__xludf.DUMMYFUNCTION("""COMPUTED_VALUE"""),13.2666)</f>
        <v>13.2666</v>
      </c>
    </row>
    <row r="1554">
      <c r="A1554" s="1" t="s">
        <v>1553</v>
      </c>
      <c r="D1554" s="3">
        <f>IFERROR(__xludf.DUMMYFUNCTION("SPLIT(A1554, ""|"")"),43110.0)</f>
        <v>43110</v>
      </c>
      <c r="E1554" s="2">
        <f>IFERROR(__xludf.DUMMYFUNCTION("""COMPUTED_VALUE"""),1497723.0)</f>
        <v>1497723</v>
      </c>
      <c r="F1554" s="2">
        <f>IFERROR(__xludf.DUMMYFUNCTION("""COMPUTED_VALUE"""),4110589.0)</f>
        <v>4110589</v>
      </c>
      <c r="G1554" s="2">
        <f>IFERROR(__xludf.DUMMYFUNCTION("""COMPUTED_VALUE"""),52.761)</f>
        <v>52.761</v>
      </c>
    </row>
    <row r="1555">
      <c r="A1555" s="1" t="s">
        <v>1554</v>
      </c>
      <c r="D1555" s="3">
        <f>IFERROR(__xludf.DUMMYFUNCTION("SPLIT(A1555, ""|"")"),43110.0)</f>
        <v>43110</v>
      </c>
      <c r="E1555" s="2">
        <f>IFERROR(__xludf.DUMMYFUNCTION("""COMPUTED_VALUE"""),1396413.0)</f>
        <v>1396413</v>
      </c>
      <c r="F1555" s="2">
        <f>IFERROR(__xludf.DUMMYFUNCTION("""COMPUTED_VALUE"""),4112461.0)</f>
        <v>4112461</v>
      </c>
      <c r="G1555" s="2">
        <f>IFERROR(__xludf.DUMMYFUNCTION("""COMPUTED_VALUE"""),45.4198)</f>
        <v>45.4198</v>
      </c>
    </row>
    <row r="1556">
      <c r="A1556" s="1" t="s">
        <v>1555</v>
      </c>
      <c r="D1556" s="3">
        <f>IFERROR(__xludf.DUMMYFUNCTION("SPLIT(A1556, ""|"")"),43110.0)</f>
        <v>43110</v>
      </c>
      <c r="E1556" s="2">
        <f>IFERROR(__xludf.DUMMYFUNCTION("""COMPUTED_VALUE"""),1499163.0)</f>
        <v>1499163</v>
      </c>
      <c r="F1556" s="2">
        <f>IFERROR(__xludf.DUMMYFUNCTION("""COMPUTED_VALUE"""),4113445.0)</f>
        <v>4113445</v>
      </c>
      <c r="G1556" s="2">
        <f>IFERROR(__xludf.DUMMYFUNCTION("""COMPUTED_VALUE"""),29.5812)</f>
        <v>29.5812</v>
      </c>
    </row>
    <row r="1557">
      <c r="A1557" s="1" t="s">
        <v>1556</v>
      </c>
      <c r="D1557" s="3">
        <f>IFERROR(__xludf.DUMMYFUNCTION("SPLIT(A1557, ""|"")"),43110.0)</f>
        <v>43110</v>
      </c>
      <c r="E1557" s="2">
        <f>IFERROR(__xludf.DUMMYFUNCTION("""COMPUTED_VALUE"""),1498623.0)</f>
        <v>1498623</v>
      </c>
      <c r="F1557" s="2">
        <f>IFERROR(__xludf.DUMMYFUNCTION("""COMPUTED_VALUE"""),4111368.0)</f>
        <v>4111368</v>
      </c>
      <c r="G1557" s="2">
        <f>IFERROR(__xludf.DUMMYFUNCTION("""COMPUTED_VALUE"""),35.4583)</f>
        <v>35.4583</v>
      </c>
    </row>
    <row r="1558">
      <c r="A1558" s="1" t="s">
        <v>1557</v>
      </c>
      <c r="D1558" s="3">
        <f>IFERROR(__xludf.DUMMYFUNCTION("SPLIT(A1558, ""|"")"),43110.0)</f>
        <v>43110</v>
      </c>
      <c r="E1558" s="2">
        <f>IFERROR(__xludf.DUMMYFUNCTION("""COMPUTED_VALUE"""),1245363.0)</f>
        <v>1245363</v>
      </c>
      <c r="F1558" s="2">
        <f>IFERROR(__xludf.DUMMYFUNCTION("""COMPUTED_VALUE"""),4114149.0)</f>
        <v>4114149</v>
      </c>
      <c r="G1558" s="2">
        <f>IFERROR(__xludf.DUMMYFUNCTION("""COMPUTED_VALUE"""),80.5521)</f>
        <v>80.5521</v>
      </c>
    </row>
    <row r="1559">
      <c r="A1559" s="1" t="s">
        <v>1558</v>
      </c>
      <c r="D1559" s="3">
        <f>IFERROR(__xludf.DUMMYFUNCTION("SPLIT(A1559, ""|"")"),43110.0)</f>
        <v>43110</v>
      </c>
      <c r="E1559" s="2">
        <f>IFERROR(__xludf.DUMMYFUNCTION("""COMPUTED_VALUE"""),1499223.0)</f>
        <v>1499223</v>
      </c>
      <c r="F1559" s="2">
        <f>IFERROR(__xludf.DUMMYFUNCTION("""COMPUTED_VALUE"""),4113672.0)</f>
        <v>4113672</v>
      </c>
      <c r="G1559" s="2">
        <f>IFERROR(__xludf.DUMMYFUNCTION("""COMPUTED_VALUE"""),36.6461)</f>
        <v>36.6461</v>
      </c>
    </row>
    <row r="1560">
      <c r="A1560" s="1" t="s">
        <v>1559</v>
      </c>
      <c r="D1560" s="3">
        <f>IFERROR(__xludf.DUMMYFUNCTION("SPLIT(A1560, ""|"")"),43110.0)</f>
        <v>43110</v>
      </c>
      <c r="E1560" s="2">
        <f>IFERROR(__xludf.DUMMYFUNCTION("""COMPUTED_VALUE"""),1291233.0)</f>
        <v>1291233</v>
      </c>
      <c r="F1560" s="2">
        <f>IFERROR(__xludf.DUMMYFUNCTION("""COMPUTED_VALUE"""),4114518.0)</f>
        <v>4114518</v>
      </c>
      <c r="G1560" s="2">
        <f>IFERROR(__xludf.DUMMYFUNCTION("""COMPUTED_VALUE"""),173.6157)</f>
        <v>173.6157</v>
      </c>
    </row>
    <row r="1561">
      <c r="A1561" s="1" t="s">
        <v>1560</v>
      </c>
      <c r="D1561" s="3">
        <f>IFERROR(__xludf.DUMMYFUNCTION("SPLIT(A1561, ""|"")"),43110.0)</f>
        <v>43110</v>
      </c>
      <c r="E1561" s="2">
        <f>IFERROR(__xludf.DUMMYFUNCTION("""COMPUTED_VALUE"""),301203.0)</f>
        <v>301203</v>
      </c>
      <c r="F1561" s="2">
        <f>IFERROR(__xludf.DUMMYFUNCTION("""COMPUTED_VALUE"""),4112407.0)</f>
        <v>4112407</v>
      </c>
      <c r="G1561" s="2">
        <f>IFERROR(__xludf.DUMMYFUNCTION("""COMPUTED_VALUE"""),95.0)</f>
        <v>95</v>
      </c>
    </row>
    <row r="1562">
      <c r="A1562" s="1" t="s">
        <v>1561</v>
      </c>
      <c r="D1562" s="3">
        <f>IFERROR(__xludf.DUMMYFUNCTION("SPLIT(A1562, ""|"")"),43110.0)</f>
        <v>43110</v>
      </c>
      <c r="E1562" s="2">
        <f>IFERROR(__xludf.DUMMYFUNCTION("""COMPUTED_VALUE"""),1498593.0)</f>
        <v>1498593</v>
      </c>
      <c r="F1562" s="2">
        <f>IFERROR(__xludf.DUMMYFUNCTION("""COMPUTED_VALUE"""),4112888.0)</f>
        <v>4112888</v>
      </c>
      <c r="G1562" s="2">
        <f>IFERROR(__xludf.DUMMYFUNCTION("""COMPUTED_VALUE"""),37.8763)</f>
        <v>37.8763</v>
      </c>
    </row>
    <row r="1563">
      <c r="A1563" s="1" t="s">
        <v>1562</v>
      </c>
      <c r="D1563" s="3">
        <f>IFERROR(__xludf.DUMMYFUNCTION("SPLIT(A1563, ""|"")"),43110.0)</f>
        <v>43110</v>
      </c>
      <c r="E1563" s="2">
        <f>IFERROR(__xludf.DUMMYFUNCTION("""COMPUTED_VALUE"""),1490913.0)</f>
        <v>1490913</v>
      </c>
      <c r="F1563" s="2">
        <f>IFERROR(__xludf.DUMMYFUNCTION("""COMPUTED_VALUE"""),4112783.0)</f>
        <v>4112783</v>
      </c>
      <c r="G1563" s="2">
        <f>IFERROR(__xludf.DUMMYFUNCTION("""COMPUTED_VALUE"""),48.7446)</f>
        <v>48.7446</v>
      </c>
    </row>
    <row r="1564">
      <c r="A1564" s="1" t="s">
        <v>1563</v>
      </c>
      <c r="D1564" s="3">
        <f>IFERROR(__xludf.DUMMYFUNCTION("SPLIT(A1564, ""|"")"),43110.0)</f>
        <v>43110</v>
      </c>
      <c r="E1564" s="2">
        <f>IFERROR(__xludf.DUMMYFUNCTION("""COMPUTED_VALUE"""),1485663.0)</f>
        <v>1485663</v>
      </c>
      <c r="F1564" s="2">
        <f>IFERROR(__xludf.DUMMYFUNCTION("""COMPUTED_VALUE"""),4111272.0)</f>
        <v>4111272</v>
      </c>
      <c r="G1564" s="2">
        <f>IFERROR(__xludf.DUMMYFUNCTION("""COMPUTED_VALUE"""),162.2685)</f>
        <v>162.2685</v>
      </c>
    </row>
    <row r="1565">
      <c r="A1565" s="1" t="s">
        <v>1564</v>
      </c>
      <c r="D1565" s="3">
        <f>IFERROR(__xludf.DUMMYFUNCTION("SPLIT(A1565, ""|"")"),43366.0)</f>
        <v>43366</v>
      </c>
      <c r="E1565" s="2">
        <f>IFERROR(__xludf.DUMMYFUNCTION("""COMPUTED_VALUE"""),1204983.0)</f>
        <v>1204983</v>
      </c>
      <c r="F1565" s="2">
        <f>IFERROR(__xludf.DUMMYFUNCTION("""COMPUTED_VALUE"""),4785732.0)</f>
        <v>4785732</v>
      </c>
      <c r="G1565" s="2">
        <f>IFERROR(__xludf.DUMMYFUNCTION("""COMPUTED_VALUE"""),80.2419)</f>
        <v>80.2419</v>
      </c>
    </row>
    <row r="1566">
      <c r="A1566" s="1" t="s">
        <v>1565</v>
      </c>
      <c r="D1566" s="3">
        <f>IFERROR(__xludf.DUMMYFUNCTION("SPLIT(A1566, ""|"")"),43366.0)</f>
        <v>43366</v>
      </c>
      <c r="E1566" s="2">
        <f>IFERROR(__xludf.DUMMYFUNCTION("""COMPUTED_VALUE"""),1670763.0)</f>
        <v>1670763</v>
      </c>
      <c r="F1566" s="2">
        <f>IFERROR(__xludf.DUMMYFUNCTION("""COMPUTED_VALUE"""),4784522.0)</f>
        <v>4784522</v>
      </c>
      <c r="G1566" s="2">
        <f>IFERROR(__xludf.DUMMYFUNCTION("""COMPUTED_VALUE"""),41.93)</f>
        <v>41.93</v>
      </c>
    </row>
    <row r="1567">
      <c r="A1567" s="1" t="s">
        <v>1566</v>
      </c>
      <c r="D1567" s="3">
        <f>IFERROR(__xludf.DUMMYFUNCTION("SPLIT(A1567, ""|"")"),43366.0)</f>
        <v>43366</v>
      </c>
      <c r="E1567" s="2">
        <f>IFERROR(__xludf.DUMMYFUNCTION("""COMPUTED_VALUE"""),1670703.0)</f>
        <v>1670703</v>
      </c>
      <c r="F1567" s="2">
        <f>IFERROR(__xludf.DUMMYFUNCTION("""COMPUTED_VALUE"""),4784270.0)</f>
        <v>4784270</v>
      </c>
      <c r="G1567" s="2">
        <f>IFERROR(__xludf.DUMMYFUNCTION("""COMPUTED_VALUE"""),42.0768999999999)</f>
        <v>42.0769</v>
      </c>
    </row>
    <row r="1568">
      <c r="A1568" s="1" t="s">
        <v>1567</v>
      </c>
      <c r="D1568" s="3">
        <f>IFERROR(__xludf.DUMMYFUNCTION("SPLIT(A1568, ""|"")"),43111.0)</f>
        <v>43111</v>
      </c>
      <c r="E1568" s="2">
        <f>IFERROR(__xludf.DUMMYFUNCTION("""COMPUTED_VALUE"""),1439613.0)</f>
        <v>1439613</v>
      </c>
      <c r="F1568" s="2">
        <f>IFERROR(__xludf.DUMMYFUNCTION("""COMPUTED_VALUE"""),4117404.0)</f>
        <v>4117404</v>
      </c>
      <c r="G1568" s="2">
        <f>IFERROR(__xludf.DUMMYFUNCTION("""COMPUTED_VALUE"""),40.2539)</f>
        <v>40.2539</v>
      </c>
    </row>
    <row r="1569">
      <c r="A1569" s="1" t="s">
        <v>1568</v>
      </c>
      <c r="D1569" s="3">
        <f>IFERROR(__xludf.DUMMYFUNCTION("SPLIT(A1569, ""|"")"),43111.0)</f>
        <v>43111</v>
      </c>
      <c r="E1569" s="2">
        <f>IFERROR(__xludf.DUMMYFUNCTION("""COMPUTED_VALUE"""),1261383.0)</f>
        <v>1261383</v>
      </c>
      <c r="F1569" s="2">
        <f>IFERROR(__xludf.DUMMYFUNCTION("""COMPUTED_VALUE"""),4117363.0)</f>
        <v>4117363</v>
      </c>
      <c r="G1569" s="2">
        <f>IFERROR(__xludf.DUMMYFUNCTION("""COMPUTED_VALUE"""),64.7349)</f>
        <v>64.7349</v>
      </c>
    </row>
    <row r="1570">
      <c r="A1570" s="1" t="s">
        <v>1569</v>
      </c>
      <c r="D1570" s="3">
        <f>IFERROR(__xludf.DUMMYFUNCTION("SPLIT(A1570, ""|"")"),43111.0)</f>
        <v>43111</v>
      </c>
      <c r="E1570" s="2">
        <f>IFERROR(__xludf.DUMMYFUNCTION("""COMPUTED_VALUE"""),1127043.0)</f>
        <v>1127043</v>
      </c>
      <c r="F1570" s="2">
        <f>IFERROR(__xludf.DUMMYFUNCTION("""COMPUTED_VALUE"""),4117643.0)</f>
        <v>4117643</v>
      </c>
      <c r="G1570" s="2">
        <f>IFERROR(__xludf.DUMMYFUNCTION("""COMPUTED_VALUE"""),92.0477)</f>
        <v>92.0477</v>
      </c>
    </row>
    <row r="1571">
      <c r="A1571" s="1" t="s">
        <v>1570</v>
      </c>
      <c r="D1571" s="3">
        <f>IFERROR(__xludf.DUMMYFUNCTION("SPLIT(A1571, ""|"")"),43111.0)</f>
        <v>43111</v>
      </c>
      <c r="E1571" s="2">
        <f>IFERROR(__xludf.DUMMYFUNCTION("""COMPUTED_VALUE"""),1406463.0)</f>
        <v>1406463</v>
      </c>
      <c r="F1571" s="2">
        <f>IFERROR(__xludf.DUMMYFUNCTION("""COMPUTED_VALUE"""),4114928.0)</f>
        <v>4114928</v>
      </c>
      <c r="G1571" s="2">
        <f>IFERROR(__xludf.DUMMYFUNCTION("""COMPUTED_VALUE"""),28.0046)</f>
        <v>28.0046</v>
      </c>
    </row>
    <row r="1572">
      <c r="A1572" s="1" t="s">
        <v>1571</v>
      </c>
      <c r="D1572" s="3">
        <f>IFERROR(__xludf.DUMMYFUNCTION("SPLIT(A1572, ""|"")"),43111.0)</f>
        <v>43111</v>
      </c>
      <c r="E1572" s="2">
        <f>IFERROR(__xludf.DUMMYFUNCTION("""COMPUTED_VALUE"""),1254663.0)</f>
        <v>1254663</v>
      </c>
      <c r="F1572" s="2">
        <f>IFERROR(__xludf.DUMMYFUNCTION("""COMPUTED_VALUE"""),4115902.0)</f>
        <v>4115902</v>
      </c>
      <c r="G1572" s="2">
        <f>IFERROR(__xludf.DUMMYFUNCTION("""COMPUTED_VALUE"""),59.5173)</f>
        <v>59.5173</v>
      </c>
    </row>
    <row r="1573">
      <c r="A1573" s="1" t="s">
        <v>1572</v>
      </c>
      <c r="D1573" s="3">
        <f>IFERROR(__xludf.DUMMYFUNCTION("SPLIT(A1573, ""|"")"),43111.0)</f>
        <v>43111</v>
      </c>
      <c r="E1573" s="2">
        <f>IFERROR(__xludf.DUMMYFUNCTION("""COMPUTED_VALUE"""),1483683.0)</f>
        <v>1483683</v>
      </c>
      <c r="F1573" s="2">
        <f>IFERROR(__xludf.DUMMYFUNCTION("""COMPUTED_VALUE"""),4115822.0)</f>
        <v>4115822</v>
      </c>
      <c r="G1573" s="2">
        <f>IFERROR(__xludf.DUMMYFUNCTION("""COMPUTED_VALUE"""),28.5701999999999)</f>
        <v>28.5702</v>
      </c>
    </row>
    <row r="1574">
      <c r="A1574" s="1" t="s">
        <v>1573</v>
      </c>
      <c r="D1574" s="3">
        <f>IFERROR(__xludf.DUMMYFUNCTION("SPLIT(A1574, ""|"")"),43367.0)</f>
        <v>43367</v>
      </c>
      <c r="E1574" s="2">
        <f>IFERROR(__xludf.DUMMYFUNCTION("""COMPUTED_VALUE"""),1671513.0)</f>
        <v>1671513</v>
      </c>
      <c r="F1574" s="2">
        <f>IFERROR(__xludf.DUMMYFUNCTION("""COMPUTED_VALUE"""),4787688.0)</f>
        <v>4787688</v>
      </c>
      <c r="G1574" s="2">
        <f>IFERROR(__xludf.DUMMYFUNCTION("""COMPUTED_VALUE"""),71.448)</f>
        <v>71.448</v>
      </c>
    </row>
    <row r="1575">
      <c r="A1575" s="1" t="s">
        <v>1574</v>
      </c>
      <c r="D1575" s="3">
        <f>IFERROR(__xludf.DUMMYFUNCTION("SPLIT(A1575, ""|"")"),43367.0)</f>
        <v>43367</v>
      </c>
      <c r="E1575" s="2">
        <f>IFERROR(__xludf.DUMMYFUNCTION("""COMPUTED_VALUE"""),1081713.0)</f>
        <v>1081713</v>
      </c>
      <c r="F1575" s="2">
        <f>IFERROR(__xludf.DUMMYFUNCTION("""COMPUTED_VALUE"""),4787310.0)</f>
        <v>4787310</v>
      </c>
      <c r="G1575" s="2">
        <f>IFERROR(__xludf.DUMMYFUNCTION("""COMPUTED_VALUE"""),38.0257)</f>
        <v>38.0257</v>
      </c>
    </row>
    <row r="1576">
      <c r="A1576" s="1" t="s">
        <v>1575</v>
      </c>
      <c r="D1576" s="3">
        <f>IFERROR(__xludf.DUMMYFUNCTION("SPLIT(A1576, ""|"")"),43367.0)</f>
        <v>43367</v>
      </c>
      <c r="E1576" s="2">
        <f>IFERROR(__xludf.DUMMYFUNCTION("""COMPUTED_VALUE"""),1671123.0)</f>
        <v>1671123</v>
      </c>
      <c r="F1576" s="2">
        <f>IFERROR(__xludf.DUMMYFUNCTION("""COMPUTED_VALUE"""),4786327.0)</f>
        <v>4786327</v>
      </c>
      <c r="G1576" s="2">
        <f>IFERROR(__xludf.DUMMYFUNCTION("""COMPUTED_VALUE"""),22.3542)</f>
        <v>22.3542</v>
      </c>
    </row>
    <row r="1577">
      <c r="A1577" s="1" t="s">
        <v>1576</v>
      </c>
      <c r="D1577" s="3">
        <f>IFERROR(__xludf.DUMMYFUNCTION("SPLIT(A1577, ""|"")"),43112.0)</f>
        <v>43112</v>
      </c>
      <c r="E1577" s="2">
        <f>IFERROR(__xludf.DUMMYFUNCTION("""COMPUTED_VALUE"""),473733.0)</f>
        <v>473733</v>
      </c>
      <c r="F1577" s="2">
        <f>IFERROR(__xludf.DUMMYFUNCTION("""COMPUTED_VALUE"""),4119354.0)</f>
        <v>4119354</v>
      </c>
      <c r="G1577" s="2">
        <f>IFERROR(__xludf.DUMMYFUNCTION("""COMPUTED_VALUE"""),24.75)</f>
        <v>24.75</v>
      </c>
    </row>
    <row r="1578">
      <c r="A1578" s="1" t="s">
        <v>1577</v>
      </c>
      <c r="D1578" s="3">
        <f>IFERROR(__xludf.DUMMYFUNCTION("SPLIT(A1578, ""|"")"),43112.0)</f>
        <v>43112</v>
      </c>
      <c r="E1578" s="2">
        <f>IFERROR(__xludf.DUMMYFUNCTION("""COMPUTED_VALUE"""),1159653.0)</f>
        <v>1159653</v>
      </c>
      <c r="F1578" s="2">
        <f>IFERROR(__xludf.DUMMYFUNCTION("""COMPUTED_VALUE"""),4120813.0)</f>
        <v>4120813</v>
      </c>
      <c r="G1578" s="2">
        <f>IFERROR(__xludf.DUMMYFUNCTION("""COMPUTED_VALUE"""),65.2483)</f>
        <v>65.2483</v>
      </c>
    </row>
    <row r="1579">
      <c r="A1579" s="1" t="s">
        <v>1578</v>
      </c>
      <c r="D1579" s="3">
        <f>IFERROR(__xludf.DUMMYFUNCTION("SPLIT(A1579, ""|"")"),43112.0)</f>
        <v>43112</v>
      </c>
      <c r="E1579" s="2">
        <f>IFERROR(__xludf.DUMMYFUNCTION("""COMPUTED_VALUE"""),1501053.0)</f>
        <v>1501053</v>
      </c>
      <c r="F1579" s="2">
        <f>IFERROR(__xludf.DUMMYFUNCTION("""COMPUTED_VALUE"""),4120322.0)</f>
        <v>4120322</v>
      </c>
      <c r="G1579" s="2">
        <f>IFERROR(__xludf.DUMMYFUNCTION("""COMPUTED_VALUE"""),100.7776)</f>
        <v>100.7776</v>
      </c>
    </row>
    <row r="1580">
      <c r="A1580" s="1" t="s">
        <v>1579</v>
      </c>
      <c r="D1580" s="3">
        <f>IFERROR(__xludf.DUMMYFUNCTION("SPLIT(A1580, ""|"")"),43112.0)</f>
        <v>43112</v>
      </c>
      <c r="E1580" s="2">
        <f>IFERROR(__xludf.DUMMYFUNCTION("""COMPUTED_VALUE"""),1046973.0)</f>
        <v>1046973</v>
      </c>
      <c r="F1580" s="2">
        <f>IFERROR(__xludf.DUMMYFUNCTION("""COMPUTED_VALUE"""),4119203.0)</f>
        <v>4119203</v>
      </c>
      <c r="G1580" s="2">
        <f>IFERROR(__xludf.DUMMYFUNCTION("""COMPUTED_VALUE"""),7.9584)</f>
        <v>7.9584</v>
      </c>
    </row>
    <row r="1581">
      <c r="A1581" s="1" t="s">
        <v>1580</v>
      </c>
      <c r="D1581" s="3">
        <f>IFERROR(__xludf.DUMMYFUNCTION("SPLIT(A1581, ""|"")"),43112.0)</f>
        <v>43112</v>
      </c>
      <c r="E1581" s="2">
        <f>IFERROR(__xludf.DUMMYFUNCTION("""COMPUTED_VALUE"""),1501143.0)</f>
        <v>1501143</v>
      </c>
      <c r="F1581" s="2">
        <f>IFERROR(__xludf.DUMMYFUNCTION("""COMPUTED_VALUE"""),4120613.0)</f>
        <v>4120613</v>
      </c>
      <c r="G1581" s="2">
        <f>IFERROR(__xludf.DUMMYFUNCTION("""COMPUTED_VALUE"""),261.625)</f>
        <v>261.625</v>
      </c>
    </row>
    <row r="1582">
      <c r="A1582" s="1" t="s">
        <v>1581</v>
      </c>
      <c r="D1582" s="3">
        <f>IFERROR(__xludf.DUMMYFUNCTION("SPLIT(A1582, ""|"")"),43112.0)</f>
        <v>43112</v>
      </c>
      <c r="E1582" s="2">
        <f>IFERROR(__xludf.DUMMYFUNCTION("""COMPUTED_VALUE"""),1344573.0)</f>
        <v>1344573</v>
      </c>
      <c r="F1582" s="2">
        <f>IFERROR(__xludf.DUMMYFUNCTION("""COMPUTED_VALUE"""),4119973.0)</f>
        <v>4119973</v>
      </c>
      <c r="G1582" s="2">
        <f>IFERROR(__xludf.DUMMYFUNCTION("""COMPUTED_VALUE"""),84.0428999999999)</f>
        <v>84.0429</v>
      </c>
    </row>
    <row r="1583">
      <c r="A1583" s="1" t="s">
        <v>1582</v>
      </c>
      <c r="D1583" s="3">
        <f>IFERROR(__xludf.DUMMYFUNCTION("SPLIT(A1583, ""|"")"),43368.0)</f>
        <v>43368</v>
      </c>
      <c r="E1583" s="2">
        <f>IFERROR(__xludf.DUMMYFUNCTION("""COMPUTED_VALUE"""),1435473.0)</f>
        <v>1435473</v>
      </c>
      <c r="F1583" s="2">
        <f>IFERROR(__xludf.DUMMYFUNCTION("""COMPUTED_VALUE"""),4790960.0)</f>
        <v>4790960</v>
      </c>
      <c r="G1583" s="2">
        <f>IFERROR(__xludf.DUMMYFUNCTION("""COMPUTED_VALUE"""),241.6611)</f>
        <v>241.6611</v>
      </c>
    </row>
    <row r="1584">
      <c r="A1584" s="1" t="s">
        <v>1583</v>
      </c>
      <c r="D1584" s="3">
        <f>IFERROR(__xludf.DUMMYFUNCTION("SPLIT(A1584, ""|"")"),43368.0)</f>
        <v>43368</v>
      </c>
      <c r="E1584" s="2">
        <f>IFERROR(__xludf.DUMMYFUNCTION("""COMPUTED_VALUE"""),124323.0)</f>
        <v>124323</v>
      </c>
      <c r="F1584" s="2">
        <f>IFERROR(__xludf.DUMMYFUNCTION("""COMPUTED_VALUE"""),4790063.0)</f>
        <v>4790063</v>
      </c>
      <c r="G1584" s="2">
        <f>IFERROR(__xludf.DUMMYFUNCTION("""COMPUTED_VALUE"""),34.2988)</f>
        <v>34.2988</v>
      </c>
    </row>
    <row r="1585">
      <c r="A1585" s="1" t="s">
        <v>1584</v>
      </c>
      <c r="D1585" s="3">
        <f>IFERROR(__xludf.DUMMYFUNCTION("SPLIT(A1585, ""|"")"),43368.0)</f>
        <v>43368</v>
      </c>
      <c r="E1585" s="2">
        <f>IFERROR(__xludf.DUMMYFUNCTION("""COMPUTED_VALUE"""),1666593.0)</f>
        <v>1666593</v>
      </c>
      <c r="F1585" s="2">
        <f>IFERROR(__xludf.DUMMYFUNCTION("""COMPUTED_VALUE"""),4790111.0)</f>
        <v>4790111</v>
      </c>
      <c r="G1585" s="2">
        <f>IFERROR(__xludf.DUMMYFUNCTION("""COMPUTED_VALUE"""),14.8077)</f>
        <v>14.8077</v>
      </c>
    </row>
    <row r="1586">
      <c r="A1586" s="1" t="s">
        <v>1585</v>
      </c>
      <c r="D1586" s="3">
        <f>IFERROR(__xludf.DUMMYFUNCTION("SPLIT(A1586, ""|"")"),43368.0)</f>
        <v>43368</v>
      </c>
      <c r="E1586" s="2">
        <f>IFERROR(__xludf.DUMMYFUNCTION("""COMPUTED_VALUE"""),1340253.0)</f>
        <v>1340253</v>
      </c>
      <c r="F1586" s="2">
        <f>IFERROR(__xludf.DUMMYFUNCTION("""COMPUTED_VALUE"""),4788949.0)</f>
        <v>4788949</v>
      </c>
      <c r="G1586" s="2">
        <f>IFERROR(__xludf.DUMMYFUNCTION("""COMPUTED_VALUE"""),34.9)</f>
        <v>34.9</v>
      </c>
    </row>
    <row r="1587">
      <c r="A1587" s="1" t="s">
        <v>1586</v>
      </c>
      <c r="D1587" s="3">
        <f>IFERROR(__xludf.DUMMYFUNCTION("SPLIT(A1587, ""|"")"),43368.0)</f>
        <v>43368</v>
      </c>
      <c r="E1587" s="2">
        <f>IFERROR(__xludf.DUMMYFUNCTION("""COMPUTED_VALUE"""),1542783.0)</f>
        <v>1542783</v>
      </c>
      <c r="F1587" s="2">
        <f>IFERROR(__xludf.DUMMYFUNCTION("""COMPUTED_VALUE"""),4789743.0)</f>
        <v>4789743</v>
      </c>
      <c r="G1587" s="2">
        <f>IFERROR(__xludf.DUMMYFUNCTION("""COMPUTED_VALUE"""),41.4798)</f>
        <v>41.4798</v>
      </c>
    </row>
    <row r="1588">
      <c r="A1588" s="1" t="s">
        <v>1587</v>
      </c>
      <c r="D1588" s="3">
        <f>IFERROR(__xludf.DUMMYFUNCTION("SPLIT(A1588, ""|"")"),43368.0)</f>
        <v>43368</v>
      </c>
      <c r="E1588" s="2">
        <f>IFERROR(__xludf.DUMMYFUNCTION("""COMPUTED_VALUE"""),1595253.0)</f>
        <v>1595253</v>
      </c>
      <c r="F1588" s="2">
        <f>IFERROR(__xludf.DUMMYFUNCTION("""COMPUTED_VALUE"""),4790198.0)</f>
        <v>4790198</v>
      </c>
      <c r="G1588" s="2">
        <f>IFERROR(__xludf.DUMMYFUNCTION("""COMPUTED_VALUE"""),89.2916)</f>
        <v>89.2916</v>
      </c>
    </row>
    <row r="1589">
      <c r="A1589" s="1" t="s">
        <v>1588</v>
      </c>
      <c r="D1589" s="3">
        <f>IFERROR(__xludf.DUMMYFUNCTION("SPLIT(A1589, ""|"")"),43368.0)</f>
        <v>43368</v>
      </c>
      <c r="E1589" s="2">
        <f>IFERROR(__xludf.DUMMYFUNCTION("""COMPUTED_VALUE"""),1435293.0)</f>
        <v>1435293</v>
      </c>
      <c r="F1589" s="2">
        <f>IFERROR(__xludf.DUMMYFUNCTION("""COMPUTED_VALUE"""),4790738.0)</f>
        <v>4790738</v>
      </c>
      <c r="G1589" s="2">
        <f>IFERROR(__xludf.DUMMYFUNCTION("""COMPUTED_VALUE"""),90.3015)</f>
        <v>90.3015</v>
      </c>
    </row>
    <row r="1590">
      <c r="A1590" s="1" t="s">
        <v>1589</v>
      </c>
      <c r="D1590" s="3">
        <f>IFERROR(__xludf.DUMMYFUNCTION("SPLIT(A1590, ""|"")"),43113.0)</f>
        <v>43113</v>
      </c>
      <c r="E1590" s="2">
        <f>IFERROR(__xludf.DUMMYFUNCTION("""COMPUTED_VALUE"""),1418553.0)</f>
        <v>1418553</v>
      </c>
      <c r="F1590" s="2">
        <f>IFERROR(__xludf.DUMMYFUNCTION("""COMPUTED_VALUE"""),4124043.0)</f>
        <v>4124043</v>
      </c>
      <c r="G1590" s="2">
        <f>IFERROR(__xludf.DUMMYFUNCTION("""COMPUTED_VALUE"""),102.4369)</f>
        <v>102.4369</v>
      </c>
    </row>
    <row r="1591">
      <c r="A1591" s="1" t="s">
        <v>1590</v>
      </c>
      <c r="D1591" s="3">
        <f>IFERROR(__xludf.DUMMYFUNCTION("SPLIT(A1591, ""|"")"),43113.0)</f>
        <v>43113</v>
      </c>
      <c r="E1591" s="2">
        <f>IFERROR(__xludf.DUMMYFUNCTION("""COMPUTED_VALUE"""),1418553.0)</f>
        <v>1418553</v>
      </c>
      <c r="F1591" s="2">
        <f>IFERROR(__xludf.DUMMYFUNCTION("""COMPUTED_VALUE"""),4122653.0)</f>
        <v>4122653</v>
      </c>
      <c r="G1591" s="2">
        <f>IFERROR(__xludf.DUMMYFUNCTION("""COMPUTED_VALUE"""),226.355)</f>
        <v>226.355</v>
      </c>
    </row>
    <row r="1592">
      <c r="A1592" s="1" t="s">
        <v>1591</v>
      </c>
      <c r="D1592" s="3">
        <f>IFERROR(__xludf.DUMMYFUNCTION("SPLIT(A1592, ""|"")"),43113.0)</f>
        <v>43113</v>
      </c>
      <c r="E1592" s="2">
        <f>IFERROR(__xludf.DUMMYFUNCTION("""COMPUTED_VALUE"""),1501803.0)</f>
        <v>1501803</v>
      </c>
      <c r="F1592" s="2">
        <f>IFERROR(__xludf.DUMMYFUNCTION("""COMPUTED_VALUE"""),4122825.0)</f>
        <v>4122825</v>
      </c>
      <c r="G1592" s="2">
        <f>IFERROR(__xludf.DUMMYFUNCTION("""COMPUTED_VALUE"""),17.495)</f>
        <v>17.495</v>
      </c>
    </row>
    <row r="1593">
      <c r="A1593" s="1" t="s">
        <v>1592</v>
      </c>
      <c r="D1593" s="3">
        <f>IFERROR(__xludf.DUMMYFUNCTION("SPLIT(A1593, ""|"")"),43113.0)</f>
        <v>43113</v>
      </c>
      <c r="E1593" s="2">
        <f>IFERROR(__xludf.DUMMYFUNCTION("""COMPUTED_VALUE"""),1501563.0)</f>
        <v>1501563</v>
      </c>
      <c r="F1593" s="2">
        <f>IFERROR(__xludf.DUMMYFUNCTION("""COMPUTED_VALUE"""),4122105.0)</f>
        <v>4122105</v>
      </c>
      <c r="G1593" s="2">
        <f>IFERROR(__xludf.DUMMYFUNCTION("""COMPUTED_VALUE"""),23.2799)</f>
        <v>23.2799</v>
      </c>
    </row>
    <row r="1594">
      <c r="A1594" s="1" t="s">
        <v>1593</v>
      </c>
      <c r="D1594" s="3">
        <f>IFERROR(__xludf.DUMMYFUNCTION("SPLIT(A1594, ""|"")"),43113.0)</f>
        <v>43113</v>
      </c>
      <c r="E1594" s="2">
        <f>IFERROR(__xludf.DUMMYFUNCTION("""COMPUTED_VALUE"""),1165353.0)</f>
        <v>1165353</v>
      </c>
      <c r="F1594" s="2">
        <f>IFERROR(__xludf.DUMMYFUNCTION("""COMPUTED_VALUE"""),4123726.0)</f>
        <v>4123726</v>
      </c>
      <c r="G1594" s="2">
        <f>IFERROR(__xludf.DUMMYFUNCTION("""COMPUTED_VALUE"""),65.2721)</f>
        <v>65.2721</v>
      </c>
    </row>
    <row r="1595">
      <c r="A1595" s="1" t="s">
        <v>1594</v>
      </c>
      <c r="D1595" s="3">
        <f>IFERROR(__xludf.DUMMYFUNCTION("SPLIT(A1595, ""|"")"),43113.0)</f>
        <v>43113</v>
      </c>
      <c r="E1595" s="2">
        <f>IFERROR(__xludf.DUMMYFUNCTION("""COMPUTED_VALUE"""),1089273.0)</f>
        <v>1089273</v>
      </c>
      <c r="F1595" s="2">
        <f>IFERROR(__xludf.DUMMYFUNCTION("""COMPUTED_VALUE"""),4123073.0)</f>
        <v>4123073</v>
      </c>
      <c r="G1595" s="2">
        <f>IFERROR(__xludf.DUMMYFUNCTION("""COMPUTED_VALUE"""),63.6581)</f>
        <v>63.6581</v>
      </c>
    </row>
    <row r="1596">
      <c r="A1596" s="1" t="s">
        <v>1595</v>
      </c>
      <c r="D1596" s="3">
        <f>IFERROR(__xludf.DUMMYFUNCTION("SPLIT(A1596, ""|"")"),43113.0)</f>
        <v>43113</v>
      </c>
      <c r="E1596" s="2">
        <f>IFERROR(__xludf.DUMMYFUNCTION("""COMPUTED_VALUE"""),1220073.0)</f>
        <v>1220073</v>
      </c>
      <c r="F1596" s="2">
        <f>IFERROR(__xludf.DUMMYFUNCTION("""COMPUTED_VALUE"""),4122600.0)</f>
        <v>4122600</v>
      </c>
      <c r="G1596" s="2">
        <f>IFERROR(__xludf.DUMMYFUNCTION("""COMPUTED_VALUE"""),97.1489)</f>
        <v>97.1489</v>
      </c>
    </row>
    <row r="1597">
      <c r="A1597" s="1" t="s">
        <v>1596</v>
      </c>
      <c r="D1597" s="3">
        <f>IFERROR(__xludf.DUMMYFUNCTION("SPLIT(A1597, ""|"")"),43113.0)</f>
        <v>43113</v>
      </c>
      <c r="E1597" s="2">
        <f>IFERROR(__xludf.DUMMYFUNCTION("""COMPUTED_VALUE"""),1428633.0)</f>
        <v>1428633</v>
      </c>
      <c r="F1597" s="2">
        <f>IFERROR(__xludf.DUMMYFUNCTION("""COMPUTED_VALUE"""),4122011.0)</f>
        <v>4122011</v>
      </c>
      <c r="G1597" s="2">
        <f>IFERROR(__xludf.DUMMYFUNCTION("""COMPUTED_VALUE"""),156.114)</f>
        <v>156.114</v>
      </c>
    </row>
    <row r="1598">
      <c r="A1598" s="1" t="s">
        <v>1597</v>
      </c>
      <c r="D1598" s="3">
        <f>IFERROR(__xludf.DUMMYFUNCTION("SPLIT(A1598, ""|"")"),43369.0)</f>
        <v>43369</v>
      </c>
      <c r="E1598" s="2">
        <f>IFERROR(__xludf.DUMMYFUNCTION("""COMPUTED_VALUE"""),1455903.0)</f>
        <v>1455903</v>
      </c>
      <c r="F1598" s="2">
        <f>IFERROR(__xludf.DUMMYFUNCTION("""COMPUTED_VALUE"""),4792092.0)</f>
        <v>4792092</v>
      </c>
      <c r="G1598" s="2">
        <f>IFERROR(__xludf.DUMMYFUNCTION("""COMPUTED_VALUE"""),51.9993999999999)</f>
        <v>51.9994</v>
      </c>
    </row>
    <row r="1599">
      <c r="A1599" s="1" t="s">
        <v>1598</v>
      </c>
      <c r="D1599" s="3">
        <f>IFERROR(__xludf.DUMMYFUNCTION("SPLIT(A1599, ""|"")"),43369.0)</f>
        <v>43369</v>
      </c>
      <c r="E1599" s="2">
        <f>IFERROR(__xludf.DUMMYFUNCTION("""COMPUTED_VALUE"""),1329663.0)</f>
        <v>1329663</v>
      </c>
      <c r="F1599" s="2">
        <f>IFERROR(__xludf.DUMMYFUNCTION("""COMPUTED_VALUE"""),4793836.0)</f>
        <v>4793836</v>
      </c>
      <c r="G1599" s="2">
        <f>IFERROR(__xludf.DUMMYFUNCTION("""COMPUTED_VALUE"""),162.9844)</f>
        <v>162.9844</v>
      </c>
    </row>
    <row r="1600">
      <c r="A1600" s="1" t="s">
        <v>1599</v>
      </c>
      <c r="D1600" s="3">
        <f>IFERROR(__xludf.DUMMYFUNCTION("SPLIT(A1600, ""|"")"),43369.0)</f>
        <v>43369</v>
      </c>
      <c r="E1600" s="2">
        <f>IFERROR(__xludf.DUMMYFUNCTION("""COMPUTED_VALUE"""),1672713.0)</f>
        <v>1672713</v>
      </c>
      <c r="F1600" s="2">
        <f>IFERROR(__xludf.DUMMYFUNCTION("""COMPUTED_VALUE"""),4791927.0)</f>
        <v>4791927</v>
      </c>
      <c r="G1600" s="2">
        <f>IFERROR(__xludf.DUMMYFUNCTION("""COMPUTED_VALUE"""),25.3435)</f>
        <v>25.3435</v>
      </c>
    </row>
    <row r="1601">
      <c r="A1601" s="1" t="s">
        <v>1600</v>
      </c>
      <c r="D1601" s="3">
        <f>IFERROR(__xludf.DUMMYFUNCTION("SPLIT(A1601, ""|"")"),43369.0)</f>
        <v>43369</v>
      </c>
      <c r="E1601" s="2">
        <f>IFERROR(__xludf.DUMMYFUNCTION("""COMPUTED_VALUE"""),1672773.0)</f>
        <v>1672773</v>
      </c>
      <c r="F1601" s="2">
        <f>IFERROR(__xludf.DUMMYFUNCTION("""COMPUTED_VALUE"""),4792884.0)</f>
        <v>4792884</v>
      </c>
      <c r="G1601" s="2">
        <f>IFERROR(__xludf.DUMMYFUNCTION("""COMPUTED_VALUE"""),231.217)</f>
        <v>231.217</v>
      </c>
    </row>
    <row r="1602">
      <c r="A1602" s="1" t="s">
        <v>1601</v>
      </c>
      <c r="D1602" s="3">
        <f>IFERROR(__xludf.DUMMYFUNCTION("SPLIT(A1602, ""|"")"),43369.0)</f>
        <v>43369</v>
      </c>
      <c r="E1602" s="2">
        <f>IFERROR(__xludf.DUMMYFUNCTION("""COMPUTED_VALUE"""),1300023.0)</f>
        <v>1300023</v>
      </c>
      <c r="F1602" s="2">
        <f>IFERROR(__xludf.DUMMYFUNCTION("""COMPUTED_VALUE"""),4793776.0)</f>
        <v>4793776</v>
      </c>
      <c r="G1602" s="2">
        <f>IFERROR(__xludf.DUMMYFUNCTION("""COMPUTED_VALUE"""),66.4036)</f>
        <v>66.4036</v>
      </c>
    </row>
    <row r="1603">
      <c r="A1603" s="1" t="s">
        <v>1602</v>
      </c>
      <c r="D1603" s="3">
        <f>IFERROR(__xludf.DUMMYFUNCTION("SPLIT(A1603, ""|"")"),43369.0)</f>
        <v>43369</v>
      </c>
      <c r="E1603" s="2">
        <f>IFERROR(__xludf.DUMMYFUNCTION("""COMPUTED_VALUE"""),1533183.0)</f>
        <v>1533183</v>
      </c>
      <c r="F1603" s="2">
        <f>IFERROR(__xludf.DUMMYFUNCTION("""COMPUTED_VALUE"""),4792743.0)</f>
        <v>4792743</v>
      </c>
      <c r="G1603" s="2">
        <f>IFERROR(__xludf.DUMMYFUNCTION("""COMPUTED_VALUE"""),39.3648)</f>
        <v>39.3648</v>
      </c>
    </row>
    <row r="1604">
      <c r="A1604" s="1" t="s">
        <v>1603</v>
      </c>
      <c r="D1604" s="3">
        <f>IFERROR(__xludf.DUMMYFUNCTION("SPLIT(A1604, ""|"")"),43114.0)</f>
        <v>43114</v>
      </c>
      <c r="E1604" s="2">
        <f>IFERROR(__xludf.DUMMYFUNCTION("""COMPUTED_VALUE"""),1503183.0)</f>
        <v>1503183</v>
      </c>
      <c r="F1604" s="2">
        <f>IFERROR(__xludf.DUMMYFUNCTION("""COMPUTED_VALUE"""),4127345.0)</f>
        <v>4127345</v>
      </c>
      <c r="G1604" s="2">
        <f>IFERROR(__xludf.DUMMYFUNCTION("""COMPUTED_VALUE"""),26.8208)</f>
        <v>26.8208</v>
      </c>
    </row>
    <row r="1605">
      <c r="A1605" s="1" t="s">
        <v>1604</v>
      </c>
      <c r="D1605" s="3">
        <f>IFERROR(__xludf.DUMMYFUNCTION("SPLIT(A1605, ""|"")"),43114.0)</f>
        <v>43114</v>
      </c>
      <c r="E1605" s="2">
        <f>IFERROR(__xludf.DUMMYFUNCTION("""COMPUTED_VALUE"""),1406043.0)</f>
        <v>1406043</v>
      </c>
      <c r="F1605" s="2">
        <f>IFERROR(__xludf.DUMMYFUNCTION("""COMPUTED_VALUE"""),4124718.0)</f>
        <v>4124718</v>
      </c>
      <c r="G1605" s="2">
        <f>IFERROR(__xludf.DUMMYFUNCTION("""COMPUTED_VALUE"""),55.4822)</f>
        <v>55.4822</v>
      </c>
    </row>
    <row r="1606">
      <c r="A1606" s="1" t="s">
        <v>1605</v>
      </c>
      <c r="D1606" s="3">
        <f>IFERROR(__xludf.DUMMYFUNCTION("SPLIT(A1606, ""|"")"),43114.0)</f>
        <v>43114</v>
      </c>
      <c r="E1606" s="2">
        <f>IFERROR(__xludf.DUMMYFUNCTION("""COMPUTED_VALUE"""),1236333.0)</f>
        <v>1236333</v>
      </c>
      <c r="F1606" s="2">
        <f>IFERROR(__xludf.DUMMYFUNCTION("""COMPUTED_VALUE"""),4124848.0)</f>
        <v>4124848</v>
      </c>
      <c r="G1606" s="2">
        <f>IFERROR(__xludf.DUMMYFUNCTION("""COMPUTED_VALUE"""),84.1701)</f>
        <v>84.1701</v>
      </c>
    </row>
    <row r="1607">
      <c r="A1607" s="1" t="s">
        <v>1606</v>
      </c>
      <c r="D1607" s="3">
        <f>IFERROR(__xludf.DUMMYFUNCTION("SPLIT(A1607, ""|"")"),43114.0)</f>
        <v>43114</v>
      </c>
      <c r="E1607" s="2">
        <f>IFERROR(__xludf.DUMMYFUNCTION("""COMPUTED_VALUE"""),1478823.0)</f>
        <v>1478823</v>
      </c>
      <c r="F1607" s="2">
        <f>IFERROR(__xludf.DUMMYFUNCTION("""COMPUTED_VALUE"""),4127050.0)</f>
        <v>4127050</v>
      </c>
      <c r="G1607" s="2">
        <f>IFERROR(__xludf.DUMMYFUNCTION("""COMPUTED_VALUE"""),72.1792)</f>
        <v>72.1792</v>
      </c>
    </row>
    <row r="1608">
      <c r="A1608" s="1" t="s">
        <v>1607</v>
      </c>
      <c r="D1608" s="3">
        <f>IFERROR(__xludf.DUMMYFUNCTION("SPLIT(A1608, ""|"")"),43114.0)</f>
        <v>43114</v>
      </c>
      <c r="E1608" s="2">
        <f>IFERROR(__xludf.DUMMYFUNCTION("""COMPUTED_VALUE"""),1440663.0)</f>
        <v>1440663</v>
      </c>
      <c r="F1608" s="2">
        <f>IFERROR(__xludf.DUMMYFUNCTION("""COMPUTED_VALUE"""),4127853.0)</f>
        <v>4127853</v>
      </c>
      <c r="G1608" s="2">
        <f>IFERROR(__xludf.DUMMYFUNCTION("""COMPUTED_VALUE"""),76.9837)</f>
        <v>76.9837</v>
      </c>
    </row>
    <row r="1609">
      <c r="A1609" s="1" t="s">
        <v>1608</v>
      </c>
      <c r="D1609" s="3">
        <f>IFERROR(__xludf.DUMMYFUNCTION("SPLIT(A1609, ""|"")"),43114.0)</f>
        <v>43114</v>
      </c>
      <c r="E1609" s="2">
        <f>IFERROR(__xludf.DUMMYFUNCTION("""COMPUTED_VALUE"""),1410633.0)</f>
        <v>1410633</v>
      </c>
      <c r="F1609" s="2">
        <f>IFERROR(__xludf.DUMMYFUNCTION("""COMPUTED_VALUE"""),4125919.0)</f>
        <v>4125919</v>
      </c>
      <c r="G1609" s="2">
        <f>IFERROR(__xludf.DUMMYFUNCTION("""COMPUTED_VALUE"""),74.254)</f>
        <v>74.254</v>
      </c>
    </row>
    <row r="1610">
      <c r="A1610" s="1" t="s">
        <v>1609</v>
      </c>
      <c r="D1610" s="3">
        <f>IFERROR(__xludf.DUMMYFUNCTION("SPLIT(A1610, ""|"")"),43114.0)</f>
        <v>43114</v>
      </c>
      <c r="E1610" s="2">
        <f>IFERROR(__xludf.DUMMYFUNCTION("""COMPUTED_VALUE"""),1502343.0)</f>
        <v>1502343</v>
      </c>
      <c r="F1610" s="2">
        <f>IFERROR(__xludf.DUMMYFUNCTION("""COMPUTED_VALUE"""),4124583.0)</f>
        <v>4124583</v>
      </c>
      <c r="G1610" s="2">
        <f>IFERROR(__xludf.DUMMYFUNCTION("""COMPUTED_VALUE"""),63.0)</f>
        <v>63</v>
      </c>
    </row>
    <row r="1611">
      <c r="A1611" s="1" t="s">
        <v>1610</v>
      </c>
      <c r="D1611" s="3">
        <f>IFERROR(__xludf.DUMMYFUNCTION("SPLIT(A1611, ""|"")"),43114.0)</f>
        <v>43114</v>
      </c>
      <c r="E1611" s="2">
        <f>IFERROR(__xludf.DUMMYFUNCTION("""COMPUTED_VALUE"""),164763.0)</f>
        <v>164763</v>
      </c>
      <c r="F1611" s="2">
        <f>IFERROR(__xludf.DUMMYFUNCTION("""COMPUTED_VALUE"""),4125015.0)</f>
        <v>4125015</v>
      </c>
      <c r="G1611" s="2">
        <f>IFERROR(__xludf.DUMMYFUNCTION("""COMPUTED_VALUE"""),81.6934)</f>
        <v>81.6934</v>
      </c>
    </row>
    <row r="1612">
      <c r="A1612" s="1" t="s">
        <v>1611</v>
      </c>
      <c r="D1612" s="3">
        <f>IFERROR(__xludf.DUMMYFUNCTION("SPLIT(A1612, ""|"")"),43114.0)</f>
        <v>43114</v>
      </c>
      <c r="E1612" s="2">
        <f>IFERROR(__xludf.DUMMYFUNCTION("""COMPUTED_VALUE"""),1336473.0)</f>
        <v>1336473</v>
      </c>
      <c r="F1612" s="2">
        <f>IFERROR(__xludf.DUMMYFUNCTION("""COMPUTED_VALUE"""),4125980.0)</f>
        <v>4125980</v>
      </c>
      <c r="G1612" s="2">
        <f>IFERROR(__xludf.DUMMYFUNCTION("""COMPUTED_VALUE"""),200.193)</f>
        <v>200.193</v>
      </c>
    </row>
    <row r="1613">
      <c r="A1613" s="1" t="s">
        <v>1612</v>
      </c>
      <c r="D1613" s="3">
        <f>IFERROR(__xludf.DUMMYFUNCTION("SPLIT(A1613, ""|"")"),43114.0)</f>
        <v>43114</v>
      </c>
      <c r="E1613" s="2">
        <f>IFERROR(__xludf.DUMMYFUNCTION("""COMPUTED_VALUE"""),1173993.0)</f>
        <v>1173993</v>
      </c>
      <c r="F1613" s="2">
        <f>IFERROR(__xludf.DUMMYFUNCTION("""COMPUTED_VALUE"""),4127454.0)</f>
        <v>4127454</v>
      </c>
      <c r="G1613" s="2">
        <f>IFERROR(__xludf.DUMMYFUNCTION("""COMPUTED_VALUE"""),139.6243)</f>
        <v>139.6243</v>
      </c>
    </row>
    <row r="1614">
      <c r="A1614" s="1" t="s">
        <v>1613</v>
      </c>
      <c r="D1614" s="3">
        <f>IFERROR(__xludf.DUMMYFUNCTION("SPLIT(A1614, ""|"")"),43114.0)</f>
        <v>43114</v>
      </c>
      <c r="E1614" s="2">
        <f>IFERROR(__xludf.DUMMYFUNCTION("""COMPUTED_VALUE"""),948573.0)</f>
        <v>948573</v>
      </c>
      <c r="F1614" s="2">
        <f>IFERROR(__xludf.DUMMYFUNCTION("""COMPUTED_VALUE"""),4128230.0)</f>
        <v>4128230</v>
      </c>
      <c r="G1614" s="2">
        <f>IFERROR(__xludf.DUMMYFUNCTION("""COMPUTED_VALUE"""),87.3422)</f>
        <v>87.3422</v>
      </c>
    </row>
    <row r="1615">
      <c r="A1615" s="1" t="s">
        <v>1614</v>
      </c>
      <c r="D1615" s="3">
        <f>IFERROR(__xludf.DUMMYFUNCTION("SPLIT(A1615, ""|"")"),43114.0)</f>
        <v>43114</v>
      </c>
      <c r="E1615" s="2">
        <f>IFERROR(__xludf.DUMMYFUNCTION("""COMPUTED_VALUE"""),1502553.0)</f>
        <v>1502553</v>
      </c>
      <c r="F1615" s="2">
        <f>IFERROR(__xludf.DUMMYFUNCTION("""COMPUTED_VALUE"""),4125318.0)</f>
        <v>4125318</v>
      </c>
      <c r="G1615" s="2">
        <f>IFERROR(__xludf.DUMMYFUNCTION("""COMPUTED_VALUE"""),45.75)</f>
        <v>45.75</v>
      </c>
    </row>
    <row r="1616">
      <c r="A1616" s="1" t="s">
        <v>1615</v>
      </c>
      <c r="D1616" s="3">
        <f>IFERROR(__xludf.DUMMYFUNCTION("SPLIT(A1616, ""|"")"),43114.0)</f>
        <v>43114</v>
      </c>
      <c r="E1616" s="2">
        <f>IFERROR(__xludf.DUMMYFUNCTION("""COMPUTED_VALUE"""),1381413.0)</f>
        <v>1381413</v>
      </c>
      <c r="F1616" s="2">
        <f>IFERROR(__xludf.DUMMYFUNCTION("""COMPUTED_VALUE"""),4126037.0)</f>
        <v>4126037</v>
      </c>
      <c r="G1616" s="2">
        <f>IFERROR(__xludf.DUMMYFUNCTION("""COMPUTED_VALUE"""),77.5832)</f>
        <v>77.5832</v>
      </c>
    </row>
    <row r="1617">
      <c r="A1617" s="1" t="s">
        <v>1616</v>
      </c>
      <c r="D1617" s="3">
        <f>IFERROR(__xludf.DUMMYFUNCTION("SPLIT(A1617, ""|"")"),43370.0)</f>
        <v>43370</v>
      </c>
      <c r="E1617" s="2">
        <f>IFERROR(__xludf.DUMMYFUNCTION("""COMPUTED_VALUE"""),1671873.0)</f>
        <v>1671873</v>
      </c>
      <c r="F1617" s="2">
        <f>IFERROR(__xludf.DUMMYFUNCTION("""COMPUTED_VALUE"""),4795983.0)</f>
        <v>4795983</v>
      </c>
      <c r="G1617" s="2">
        <f>IFERROR(__xludf.DUMMYFUNCTION("""COMPUTED_VALUE"""),10.9908)</f>
        <v>10.9908</v>
      </c>
    </row>
    <row r="1618">
      <c r="A1618" s="1" t="s">
        <v>1617</v>
      </c>
      <c r="D1618" s="3">
        <f>IFERROR(__xludf.DUMMYFUNCTION("SPLIT(A1618, ""|"")"),43370.0)</f>
        <v>43370</v>
      </c>
      <c r="E1618" s="2">
        <f>IFERROR(__xludf.DUMMYFUNCTION("""COMPUTED_VALUE"""),450963.0)</f>
        <v>450963</v>
      </c>
      <c r="F1618" s="2">
        <f>IFERROR(__xludf.DUMMYFUNCTION("""COMPUTED_VALUE"""),4795822.0)</f>
        <v>4795822</v>
      </c>
      <c r="G1618" s="2">
        <f>IFERROR(__xludf.DUMMYFUNCTION("""COMPUTED_VALUE"""),45.1495)</f>
        <v>45.1495</v>
      </c>
    </row>
    <row r="1619">
      <c r="A1619" s="1" t="s">
        <v>1618</v>
      </c>
      <c r="D1619" s="3">
        <f>IFERROR(__xludf.DUMMYFUNCTION("SPLIT(A1619, ""|"")"),43370.0)</f>
        <v>43370</v>
      </c>
      <c r="E1619" s="2">
        <f>IFERROR(__xludf.DUMMYFUNCTION("""COMPUTED_VALUE"""),1672743.0)</f>
        <v>1672743</v>
      </c>
      <c r="F1619" s="2">
        <f>IFERROR(__xludf.DUMMYFUNCTION("""COMPUTED_VALUE"""),4795531.0)</f>
        <v>4795531</v>
      </c>
      <c r="G1619" s="2">
        <f>IFERROR(__xludf.DUMMYFUNCTION("""COMPUTED_VALUE"""),65.7835)</f>
        <v>65.7835</v>
      </c>
    </row>
    <row r="1620">
      <c r="A1620" s="1" t="s">
        <v>1619</v>
      </c>
      <c r="D1620" s="3">
        <f>IFERROR(__xludf.DUMMYFUNCTION("SPLIT(A1620, ""|"")"),43370.0)</f>
        <v>43370</v>
      </c>
      <c r="E1620" s="2">
        <f>IFERROR(__xludf.DUMMYFUNCTION("""COMPUTED_VALUE"""),1184643.0)</f>
        <v>1184643</v>
      </c>
      <c r="F1620" s="2">
        <f>IFERROR(__xludf.DUMMYFUNCTION("""COMPUTED_VALUE"""),4795034.0)</f>
        <v>4795034</v>
      </c>
      <c r="G1620" s="2">
        <f>IFERROR(__xludf.DUMMYFUNCTION("""COMPUTED_VALUE"""),163.4627)</f>
        <v>163.4627</v>
      </c>
    </row>
    <row r="1621">
      <c r="A1621" s="1" t="s">
        <v>1620</v>
      </c>
      <c r="D1621" s="3">
        <f>IFERROR(__xludf.DUMMYFUNCTION("SPLIT(A1621, ""|"")"),43115.0)</f>
        <v>43115</v>
      </c>
      <c r="E1621" s="2">
        <f>IFERROR(__xludf.DUMMYFUNCTION("""COMPUTED_VALUE"""),228423.0)</f>
        <v>228423</v>
      </c>
      <c r="F1621" s="2">
        <f>IFERROR(__xludf.DUMMYFUNCTION("""COMPUTED_VALUE"""),4132204.0)</f>
        <v>4132204</v>
      </c>
      <c r="G1621" s="2">
        <f>IFERROR(__xludf.DUMMYFUNCTION("""COMPUTED_VALUE"""),145.3654)</f>
        <v>145.3654</v>
      </c>
    </row>
    <row r="1622">
      <c r="A1622" s="1" t="s">
        <v>1621</v>
      </c>
      <c r="D1622" s="3">
        <f>IFERROR(__xludf.DUMMYFUNCTION("SPLIT(A1622, ""|"")"),43115.0)</f>
        <v>43115</v>
      </c>
      <c r="E1622" s="2">
        <f>IFERROR(__xludf.DUMMYFUNCTION("""COMPUTED_VALUE"""),1082913.0)</f>
        <v>1082913</v>
      </c>
      <c r="F1622" s="2">
        <f>IFERROR(__xludf.DUMMYFUNCTION("""COMPUTED_VALUE"""),4132681.0)</f>
        <v>4132681</v>
      </c>
      <c r="G1622" s="2">
        <f>IFERROR(__xludf.DUMMYFUNCTION("""COMPUTED_VALUE"""),123.3559)</f>
        <v>123.3559</v>
      </c>
    </row>
    <row r="1623">
      <c r="A1623" s="1" t="s">
        <v>1622</v>
      </c>
      <c r="D1623" s="3">
        <f>IFERROR(__xludf.DUMMYFUNCTION("SPLIT(A1623, ""|"")"),43115.0)</f>
        <v>43115</v>
      </c>
      <c r="E1623" s="2">
        <f>IFERROR(__xludf.DUMMYFUNCTION("""COMPUTED_VALUE"""),1504683.0)</f>
        <v>1504683</v>
      </c>
      <c r="F1623" s="2">
        <f>IFERROR(__xludf.DUMMYFUNCTION("""COMPUTED_VALUE"""),4132802.0)</f>
        <v>4132802</v>
      </c>
      <c r="G1623" s="2">
        <f>IFERROR(__xludf.DUMMYFUNCTION("""COMPUTED_VALUE"""),77.8663)</f>
        <v>77.8663</v>
      </c>
    </row>
    <row r="1624">
      <c r="A1624" s="1" t="s">
        <v>1623</v>
      </c>
      <c r="D1624" s="3">
        <f>IFERROR(__xludf.DUMMYFUNCTION("SPLIT(A1624, ""|"")"),43115.0)</f>
        <v>43115</v>
      </c>
      <c r="E1624" s="2">
        <f>IFERROR(__xludf.DUMMYFUNCTION("""COMPUTED_VALUE"""),1324833.0)</f>
        <v>1324833</v>
      </c>
      <c r="F1624" s="2">
        <f>IFERROR(__xludf.DUMMYFUNCTION("""COMPUTED_VALUE"""),4131158.0)</f>
        <v>4131158</v>
      </c>
      <c r="G1624" s="2">
        <f>IFERROR(__xludf.DUMMYFUNCTION("""COMPUTED_VALUE"""),24.8744)</f>
        <v>24.8744</v>
      </c>
    </row>
    <row r="1625">
      <c r="A1625" s="1" t="s">
        <v>1624</v>
      </c>
      <c r="D1625" s="3">
        <f>IFERROR(__xludf.DUMMYFUNCTION("SPLIT(A1625, ""|"")"),43371.0)</f>
        <v>43371</v>
      </c>
      <c r="E1625" s="2">
        <f>IFERROR(__xludf.DUMMYFUNCTION("""COMPUTED_VALUE"""),1428633.0)</f>
        <v>1428633</v>
      </c>
      <c r="F1625" s="2">
        <f>IFERROR(__xludf.DUMMYFUNCTION("""COMPUTED_VALUE"""),4796687.0)</f>
        <v>4796687</v>
      </c>
      <c r="G1625" s="2">
        <f>IFERROR(__xludf.DUMMYFUNCTION("""COMPUTED_VALUE"""),168.9144)</f>
        <v>168.9144</v>
      </c>
    </row>
    <row r="1626">
      <c r="A1626" s="1" t="s">
        <v>1625</v>
      </c>
      <c r="D1626" s="3">
        <f>IFERROR(__xludf.DUMMYFUNCTION("SPLIT(A1626, ""|"")"),43371.0)</f>
        <v>43371</v>
      </c>
      <c r="E1626" s="2">
        <f>IFERROR(__xludf.DUMMYFUNCTION("""COMPUTED_VALUE"""),1674423.0)</f>
        <v>1674423</v>
      </c>
      <c r="F1626" s="2">
        <f>IFERROR(__xludf.DUMMYFUNCTION("""COMPUTED_VALUE"""),4798717.0)</f>
        <v>4798717</v>
      </c>
      <c r="G1626" s="2">
        <f>IFERROR(__xludf.DUMMYFUNCTION("""COMPUTED_VALUE"""),66.5891)</f>
        <v>66.5891</v>
      </c>
    </row>
    <row r="1627">
      <c r="A1627" s="1" t="s">
        <v>1626</v>
      </c>
      <c r="D1627" s="3">
        <f>IFERROR(__xludf.DUMMYFUNCTION("SPLIT(A1627, ""|"")"),43371.0)</f>
        <v>43371</v>
      </c>
      <c r="E1627" s="2">
        <f>IFERROR(__xludf.DUMMYFUNCTION("""COMPUTED_VALUE"""),1427553.0)</f>
        <v>1427553</v>
      </c>
      <c r="F1627" s="2">
        <f>IFERROR(__xludf.DUMMYFUNCTION("""COMPUTED_VALUE"""),4797720.0)</f>
        <v>4797720</v>
      </c>
      <c r="G1627" s="2">
        <f>IFERROR(__xludf.DUMMYFUNCTION("""COMPUTED_VALUE"""),205.908)</f>
        <v>205.908</v>
      </c>
    </row>
    <row r="1628">
      <c r="A1628" s="1" t="s">
        <v>1627</v>
      </c>
      <c r="D1628" s="3">
        <f>IFERROR(__xludf.DUMMYFUNCTION("SPLIT(A1628, ""|"")"),43371.0)</f>
        <v>43371</v>
      </c>
      <c r="E1628" s="2">
        <f>IFERROR(__xludf.DUMMYFUNCTION("""COMPUTED_VALUE"""),1427553.0)</f>
        <v>1427553</v>
      </c>
      <c r="F1628" s="2">
        <f>IFERROR(__xludf.DUMMYFUNCTION("""COMPUTED_VALUE"""),4797610.0)</f>
        <v>4797610</v>
      </c>
      <c r="G1628" s="2">
        <f>IFERROR(__xludf.DUMMYFUNCTION("""COMPUTED_VALUE"""),205.908)</f>
        <v>205.908</v>
      </c>
    </row>
    <row r="1629">
      <c r="A1629" s="1" t="s">
        <v>1628</v>
      </c>
      <c r="D1629" s="3">
        <f>IFERROR(__xludf.DUMMYFUNCTION("SPLIT(A1629, ""|"")"),43371.0)</f>
        <v>43371</v>
      </c>
      <c r="E1629" s="2">
        <f>IFERROR(__xludf.DUMMYFUNCTION("""COMPUTED_VALUE"""),426423.0)</f>
        <v>426423</v>
      </c>
      <c r="F1629" s="2">
        <f>IFERROR(__xludf.DUMMYFUNCTION("""COMPUTED_VALUE"""),4797938.0)</f>
        <v>4797938</v>
      </c>
      <c r="G1629" s="2">
        <f>IFERROR(__xludf.DUMMYFUNCTION("""COMPUTED_VALUE"""),116.228399999999)</f>
        <v>116.2284</v>
      </c>
    </row>
    <row r="1630">
      <c r="A1630" s="1" t="s">
        <v>1629</v>
      </c>
      <c r="D1630" s="3">
        <f>IFERROR(__xludf.DUMMYFUNCTION("SPLIT(A1630, ""|"")"),43371.0)</f>
        <v>43371</v>
      </c>
      <c r="E1630" s="2">
        <f>IFERROR(__xludf.DUMMYFUNCTION("""COMPUTED_VALUE"""),1674183.0)</f>
        <v>1674183</v>
      </c>
      <c r="F1630" s="2">
        <f>IFERROR(__xludf.DUMMYFUNCTION("""COMPUTED_VALUE"""),4797669.0)</f>
        <v>4797669</v>
      </c>
      <c r="G1630" s="2">
        <f>IFERROR(__xludf.DUMMYFUNCTION("""COMPUTED_VALUE"""),29.7738)</f>
        <v>29.7738</v>
      </c>
    </row>
    <row r="1631">
      <c r="A1631" s="1" t="s">
        <v>1630</v>
      </c>
      <c r="D1631" s="3">
        <f>IFERROR(__xludf.DUMMYFUNCTION("SPLIT(A1631, ""|"")"),43371.0)</f>
        <v>43371</v>
      </c>
      <c r="E1631" s="2">
        <f>IFERROR(__xludf.DUMMYFUNCTION("""COMPUTED_VALUE"""),1089873.0)</f>
        <v>1089873</v>
      </c>
      <c r="F1631" s="2">
        <f>IFERROR(__xludf.DUMMYFUNCTION("""COMPUTED_VALUE"""),4798703.0)</f>
        <v>4798703</v>
      </c>
      <c r="G1631" s="2">
        <f>IFERROR(__xludf.DUMMYFUNCTION("""COMPUTED_VALUE"""),89.7042999999999)</f>
        <v>89.7043</v>
      </c>
    </row>
    <row r="1632">
      <c r="A1632" s="1" t="s">
        <v>1631</v>
      </c>
      <c r="D1632" s="3">
        <f>IFERROR(__xludf.DUMMYFUNCTION("SPLIT(A1632, ""|"")"),43371.0)</f>
        <v>43371</v>
      </c>
      <c r="E1632" s="2">
        <f>IFERROR(__xludf.DUMMYFUNCTION("""COMPUTED_VALUE"""),1344573.0)</f>
        <v>1344573</v>
      </c>
      <c r="F1632" s="2">
        <f>IFERROR(__xludf.DUMMYFUNCTION("""COMPUTED_VALUE"""),4797031.0)</f>
        <v>4797031</v>
      </c>
      <c r="G1632" s="2">
        <f>IFERROR(__xludf.DUMMYFUNCTION("""COMPUTED_VALUE"""),94.1702)</f>
        <v>94.1702</v>
      </c>
    </row>
    <row r="1633">
      <c r="A1633" s="1" t="s">
        <v>1632</v>
      </c>
      <c r="D1633" s="3">
        <f>IFERROR(__xludf.DUMMYFUNCTION("SPLIT(A1633, ""|"")"),43116.0)</f>
        <v>43116</v>
      </c>
      <c r="E1633" s="2">
        <f>IFERROR(__xludf.DUMMYFUNCTION("""COMPUTED_VALUE"""),1074813.0)</f>
        <v>1074813</v>
      </c>
      <c r="F1633" s="2">
        <f>IFERROR(__xludf.DUMMYFUNCTION("""COMPUTED_VALUE"""),4136013.0)</f>
        <v>4136013</v>
      </c>
      <c r="G1633" s="2">
        <f>IFERROR(__xludf.DUMMYFUNCTION("""COMPUTED_VALUE"""),39.9274)</f>
        <v>39.9274</v>
      </c>
    </row>
    <row r="1634">
      <c r="A1634" s="1" t="s">
        <v>1633</v>
      </c>
      <c r="D1634" s="3">
        <f>IFERROR(__xludf.DUMMYFUNCTION("SPLIT(A1634, ""|"")"),43116.0)</f>
        <v>43116</v>
      </c>
      <c r="E1634" s="2">
        <f>IFERROR(__xludf.DUMMYFUNCTION("""COMPUTED_VALUE"""),1103823.0)</f>
        <v>1103823</v>
      </c>
      <c r="F1634" s="2">
        <f>IFERROR(__xludf.DUMMYFUNCTION("""COMPUTED_VALUE"""),4134260.0)</f>
        <v>4134260</v>
      </c>
      <c r="G1634" s="2">
        <f>IFERROR(__xludf.DUMMYFUNCTION("""COMPUTED_VALUE"""),62.1248)</f>
        <v>62.1248</v>
      </c>
    </row>
    <row r="1635">
      <c r="A1635" s="1" t="s">
        <v>1634</v>
      </c>
      <c r="D1635" s="3">
        <f>IFERROR(__xludf.DUMMYFUNCTION("SPLIT(A1635, ""|"")"),43116.0)</f>
        <v>43116</v>
      </c>
      <c r="E1635" s="2">
        <f>IFERROR(__xludf.DUMMYFUNCTION("""COMPUTED_VALUE"""),1433553.0)</f>
        <v>1433553</v>
      </c>
      <c r="F1635" s="2">
        <f>IFERROR(__xludf.DUMMYFUNCTION("""COMPUTED_VALUE"""),4136046.0)</f>
        <v>4136046</v>
      </c>
      <c r="G1635" s="2">
        <f>IFERROR(__xludf.DUMMYFUNCTION("""COMPUTED_VALUE"""),156.067199999999)</f>
        <v>156.0672</v>
      </c>
    </row>
    <row r="1636">
      <c r="A1636" s="1" t="s">
        <v>1635</v>
      </c>
      <c r="D1636" s="3">
        <f>IFERROR(__xludf.DUMMYFUNCTION("SPLIT(A1636, ""|"")"),43116.0)</f>
        <v>43116</v>
      </c>
      <c r="E1636" s="2">
        <f>IFERROR(__xludf.DUMMYFUNCTION("""COMPUTED_VALUE"""),1196493.0)</f>
        <v>1196493</v>
      </c>
      <c r="F1636" s="2">
        <f>IFERROR(__xludf.DUMMYFUNCTION("""COMPUTED_VALUE"""),4135674.0)</f>
        <v>4135674</v>
      </c>
      <c r="G1636" s="2">
        <f>IFERROR(__xludf.DUMMYFUNCTION("""COMPUTED_VALUE"""),139.920799999999)</f>
        <v>139.9208</v>
      </c>
    </row>
    <row r="1637">
      <c r="A1637" s="1" t="s">
        <v>1636</v>
      </c>
      <c r="D1637" s="3">
        <f>IFERROR(__xludf.DUMMYFUNCTION("SPLIT(A1637, ""|"")"),43116.0)</f>
        <v>43116</v>
      </c>
      <c r="E1637" s="2">
        <f>IFERROR(__xludf.DUMMYFUNCTION("""COMPUTED_VALUE"""),1237893.0)</f>
        <v>1237893</v>
      </c>
      <c r="F1637" s="2">
        <f>IFERROR(__xludf.DUMMYFUNCTION("""COMPUTED_VALUE"""),4135136.0)</f>
        <v>4135136</v>
      </c>
      <c r="G1637" s="2">
        <f>IFERROR(__xludf.DUMMYFUNCTION("""COMPUTED_VALUE"""),86.1704)</f>
        <v>86.1704</v>
      </c>
    </row>
    <row r="1638">
      <c r="A1638" s="1" t="s">
        <v>1637</v>
      </c>
      <c r="D1638" s="3">
        <f>IFERROR(__xludf.DUMMYFUNCTION("SPLIT(A1638, ""|"")"),43116.0)</f>
        <v>43116</v>
      </c>
      <c r="E1638" s="2">
        <f>IFERROR(__xludf.DUMMYFUNCTION("""COMPUTED_VALUE"""),1505163.0)</f>
        <v>1505163</v>
      </c>
      <c r="F1638" s="2">
        <f>IFERROR(__xludf.DUMMYFUNCTION("""COMPUTED_VALUE"""),4134474.0)</f>
        <v>4134474</v>
      </c>
      <c r="G1638" s="2">
        <f>IFERROR(__xludf.DUMMYFUNCTION("""COMPUTED_VALUE"""),77.8)</f>
        <v>77.8</v>
      </c>
    </row>
    <row r="1639">
      <c r="A1639" s="1" t="s">
        <v>1638</v>
      </c>
      <c r="D1639" s="3">
        <f>IFERROR(__xludf.DUMMYFUNCTION("SPLIT(A1639, ""|"")"),43116.0)</f>
        <v>43116</v>
      </c>
      <c r="E1639" s="2">
        <f>IFERROR(__xludf.DUMMYFUNCTION("""COMPUTED_VALUE"""),1505493.0)</f>
        <v>1505493</v>
      </c>
      <c r="F1639" s="2">
        <f>IFERROR(__xludf.DUMMYFUNCTION("""COMPUTED_VALUE"""),4135711.0)</f>
        <v>4135711</v>
      </c>
      <c r="G1639" s="2">
        <f>IFERROR(__xludf.DUMMYFUNCTION("""COMPUTED_VALUE"""),72.4368)</f>
        <v>72.4368</v>
      </c>
    </row>
    <row r="1640">
      <c r="A1640" s="1" t="s">
        <v>1639</v>
      </c>
      <c r="D1640" s="3">
        <f>IFERROR(__xludf.DUMMYFUNCTION("SPLIT(A1640, ""|"")"),43116.0)</f>
        <v>43116</v>
      </c>
      <c r="E1640" s="2">
        <f>IFERROR(__xludf.DUMMYFUNCTION("""COMPUTED_VALUE"""),1505013.0)</f>
        <v>1505013</v>
      </c>
      <c r="F1640" s="2">
        <f>IFERROR(__xludf.DUMMYFUNCTION("""COMPUTED_VALUE"""),4134007.0)</f>
        <v>4134007</v>
      </c>
      <c r="G1640" s="2">
        <f>IFERROR(__xludf.DUMMYFUNCTION("""COMPUTED_VALUE"""),34.6652)</f>
        <v>34.6652</v>
      </c>
    </row>
    <row r="1641">
      <c r="A1641" s="1" t="s">
        <v>1640</v>
      </c>
      <c r="D1641" s="3">
        <f>IFERROR(__xludf.DUMMYFUNCTION("SPLIT(A1641, ""|"")"),43116.0)</f>
        <v>43116</v>
      </c>
      <c r="E1641" s="2">
        <f>IFERROR(__xludf.DUMMYFUNCTION("""COMPUTED_VALUE"""),1505073.0)</f>
        <v>1505073</v>
      </c>
      <c r="F1641" s="2">
        <f>IFERROR(__xludf.DUMMYFUNCTION("""COMPUTED_VALUE"""),4134196.0)</f>
        <v>4134196</v>
      </c>
      <c r="G1641" s="2">
        <f>IFERROR(__xludf.DUMMYFUNCTION("""COMPUTED_VALUE"""),47.7)</f>
        <v>47.7</v>
      </c>
    </row>
    <row r="1642">
      <c r="A1642" s="1" t="s">
        <v>1641</v>
      </c>
      <c r="D1642" s="3">
        <f>IFERROR(__xludf.DUMMYFUNCTION("SPLIT(A1642, ""|"")"),43116.0)</f>
        <v>43116</v>
      </c>
      <c r="E1642" s="2">
        <f>IFERROR(__xludf.DUMMYFUNCTION("""COMPUTED_VALUE"""),1373283.0)</f>
        <v>1373283</v>
      </c>
      <c r="F1642" s="2">
        <f>IFERROR(__xludf.DUMMYFUNCTION("""COMPUTED_VALUE"""),4133363.0)</f>
        <v>4133363</v>
      </c>
      <c r="G1642" s="2">
        <f>IFERROR(__xludf.DUMMYFUNCTION("""COMPUTED_VALUE"""),67.31)</f>
        <v>67.31</v>
      </c>
    </row>
    <row r="1643">
      <c r="A1643" s="1" t="s">
        <v>1642</v>
      </c>
      <c r="D1643" s="3">
        <f>IFERROR(__xludf.DUMMYFUNCTION("SPLIT(A1643, ""|"")"),43116.0)</f>
        <v>43116</v>
      </c>
      <c r="E1643" s="2">
        <f>IFERROR(__xludf.DUMMYFUNCTION("""COMPUTED_VALUE"""),408813.0)</f>
        <v>408813</v>
      </c>
      <c r="F1643" s="2">
        <f>IFERROR(__xludf.DUMMYFUNCTION("""COMPUTED_VALUE"""),4134296.0)</f>
        <v>4134296</v>
      </c>
      <c r="G1643" s="2">
        <f>IFERROR(__xludf.DUMMYFUNCTION("""COMPUTED_VALUE"""),222.4692)</f>
        <v>222.4692</v>
      </c>
    </row>
    <row r="1644">
      <c r="A1644" s="1" t="s">
        <v>1643</v>
      </c>
      <c r="D1644" s="3">
        <f>IFERROR(__xludf.DUMMYFUNCTION("SPLIT(A1644, ""|"")"),43372.0)</f>
        <v>43372</v>
      </c>
      <c r="E1644" s="2">
        <f>IFERROR(__xludf.DUMMYFUNCTION("""COMPUTED_VALUE"""),1460043.0)</f>
        <v>1460043</v>
      </c>
      <c r="F1644" s="2">
        <f>IFERROR(__xludf.DUMMYFUNCTION("""COMPUTED_VALUE"""),4800267.0)</f>
        <v>4800267</v>
      </c>
      <c r="G1644" s="2">
        <f>IFERROR(__xludf.DUMMYFUNCTION("""COMPUTED_VALUE"""),65.3027)</f>
        <v>65.3027</v>
      </c>
    </row>
    <row r="1645">
      <c r="A1645" s="1" t="s">
        <v>1644</v>
      </c>
      <c r="D1645" s="3">
        <f>IFERROR(__xludf.DUMMYFUNCTION("SPLIT(A1645, ""|"")"),43372.0)</f>
        <v>43372</v>
      </c>
      <c r="E1645" s="2">
        <f>IFERROR(__xludf.DUMMYFUNCTION("""COMPUTED_VALUE"""),1588233.0)</f>
        <v>1588233</v>
      </c>
      <c r="F1645" s="2">
        <f>IFERROR(__xludf.DUMMYFUNCTION("""COMPUTED_VALUE"""),4801295.0)</f>
        <v>4801295</v>
      </c>
      <c r="G1645" s="2">
        <f>IFERROR(__xludf.DUMMYFUNCTION("""COMPUTED_VALUE"""),168.7858)</f>
        <v>168.7858</v>
      </c>
    </row>
    <row r="1646">
      <c r="A1646" s="1" t="s">
        <v>1645</v>
      </c>
      <c r="D1646" s="3">
        <f>IFERROR(__xludf.DUMMYFUNCTION("SPLIT(A1646, ""|"")"),43372.0)</f>
        <v>43372</v>
      </c>
      <c r="E1646" s="2">
        <f>IFERROR(__xludf.DUMMYFUNCTION("""COMPUTED_VALUE"""),1635813.0)</f>
        <v>1635813</v>
      </c>
      <c r="F1646" s="2">
        <f>IFERROR(__xludf.DUMMYFUNCTION("""COMPUTED_VALUE"""),4799914.0)</f>
        <v>4799914</v>
      </c>
      <c r="G1646" s="2">
        <f>IFERROR(__xludf.DUMMYFUNCTION("""COMPUTED_VALUE"""),76.7595)</f>
        <v>76.7595</v>
      </c>
    </row>
    <row r="1647">
      <c r="A1647" s="1" t="s">
        <v>1646</v>
      </c>
      <c r="D1647" s="3">
        <f>IFERROR(__xludf.DUMMYFUNCTION("SPLIT(A1647, ""|"")"),43372.0)</f>
        <v>43372</v>
      </c>
      <c r="E1647" s="2">
        <f>IFERROR(__xludf.DUMMYFUNCTION("""COMPUTED_VALUE"""),414843.0)</f>
        <v>414843</v>
      </c>
      <c r="F1647" s="2">
        <f>IFERROR(__xludf.DUMMYFUNCTION("""COMPUTED_VALUE"""),4801760.0)</f>
        <v>4801760</v>
      </c>
      <c r="G1647" s="2">
        <f>IFERROR(__xludf.DUMMYFUNCTION("""COMPUTED_VALUE"""),69.423)</f>
        <v>69.423</v>
      </c>
    </row>
    <row r="1648">
      <c r="A1648" s="1" t="s">
        <v>1647</v>
      </c>
      <c r="D1648" s="3">
        <f>IFERROR(__xludf.DUMMYFUNCTION("SPLIT(A1648, ""|"")"),43372.0)</f>
        <v>43372</v>
      </c>
      <c r="E1648" s="2">
        <f>IFERROR(__xludf.DUMMYFUNCTION("""COMPUTED_VALUE"""),1674573.0)</f>
        <v>1674573</v>
      </c>
      <c r="F1648" s="2">
        <f>IFERROR(__xludf.DUMMYFUNCTION("""COMPUTED_VALUE"""),4799350.0)</f>
        <v>4799350</v>
      </c>
      <c r="G1648" s="2">
        <f>IFERROR(__xludf.DUMMYFUNCTION("""COMPUTED_VALUE"""),38.9413999999999)</f>
        <v>38.9414</v>
      </c>
    </row>
    <row r="1649">
      <c r="A1649" s="1" t="s">
        <v>1648</v>
      </c>
      <c r="D1649" s="3">
        <f>IFERROR(__xludf.DUMMYFUNCTION("SPLIT(A1649, ""|"")"),43372.0)</f>
        <v>43372</v>
      </c>
      <c r="E1649" s="2">
        <f>IFERROR(__xludf.DUMMYFUNCTION("""COMPUTED_VALUE"""),1348683.0)</f>
        <v>1348683</v>
      </c>
      <c r="F1649" s="2">
        <f>IFERROR(__xludf.DUMMYFUNCTION("""COMPUTED_VALUE"""),4801089.0)</f>
        <v>4801089</v>
      </c>
      <c r="G1649" s="2">
        <f>IFERROR(__xludf.DUMMYFUNCTION("""COMPUTED_VALUE"""),54.6449999999999)</f>
        <v>54.645</v>
      </c>
    </row>
    <row r="1650">
      <c r="A1650" s="1" t="s">
        <v>1649</v>
      </c>
      <c r="D1650" s="3">
        <f>IFERROR(__xludf.DUMMYFUNCTION("SPLIT(A1650, ""|"")"),43372.0)</f>
        <v>43372</v>
      </c>
      <c r="E1650" s="2">
        <f>IFERROR(__xludf.DUMMYFUNCTION("""COMPUTED_VALUE"""),1675173.0)</f>
        <v>1675173</v>
      </c>
      <c r="F1650" s="2">
        <f>IFERROR(__xludf.DUMMYFUNCTION("""COMPUTED_VALUE"""),4801645.0)</f>
        <v>4801645</v>
      </c>
      <c r="G1650" s="2">
        <f>IFERROR(__xludf.DUMMYFUNCTION("""COMPUTED_VALUE"""),86.9175)</f>
        <v>86.9175</v>
      </c>
    </row>
    <row r="1651">
      <c r="A1651" s="1" t="s">
        <v>1650</v>
      </c>
      <c r="D1651" s="3">
        <f>IFERROR(__xludf.DUMMYFUNCTION("SPLIT(A1651, ""|"")"),43372.0)</f>
        <v>43372</v>
      </c>
      <c r="E1651" s="2">
        <f>IFERROR(__xludf.DUMMYFUNCTION("""COMPUTED_VALUE"""),1505163.0)</f>
        <v>1505163</v>
      </c>
      <c r="F1651" s="2">
        <f>IFERROR(__xludf.DUMMYFUNCTION("""COMPUTED_VALUE"""),4800642.0)</f>
        <v>4800642</v>
      </c>
      <c r="G1651" s="2">
        <f>IFERROR(__xludf.DUMMYFUNCTION("""COMPUTED_VALUE"""),53.6067999999999)</f>
        <v>53.6068</v>
      </c>
    </row>
    <row r="1652">
      <c r="A1652" s="1" t="s">
        <v>1651</v>
      </c>
      <c r="D1652" s="3">
        <f>IFERROR(__xludf.DUMMYFUNCTION("SPLIT(A1652, ""|"")"),43372.0)</f>
        <v>43372</v>
      </c>
      <c r="E1652" s="2">
        <f>IFERROR(__xludf.DUMMYFUNCTION("""COMPUTED_VALUE"""),1261383.0)</f>
        <v>1261383</v>
      </c>
      <c r="F1652" s="2">
        <f>IFERROR(__xludf.DUMMYFUNCTION("""COMPUTED_VALUE"""),4799413.0)</f>
        <v>4799413</v>
      </c>
      <c r="G1652" s="2">
        <f>IFERROR(__xludf.DUMMYFUNCTION("""COMPUTED_VALUE"""),165.257499999999)</f>
        <v>165.2575</v>
      </c>
    </row>
    <row r="1653">
      <c r="A1653" s="1" t="s">
        <v>1652</v>
      </c>
      <c r="D1653" s="3">
        <f>IFERROR(__xludf.DUMMYFUNCTION("SPLIT(A1653, ""|"")"),43372.0)</f>
        <v>43372</v>
      </c>
      <c r="E1653" s="2">
        <f>IFERROR(__xludf.DUMMYFUNCTION("""COMPUTED_VALUE"""),1517673.0)</f>
        <v>1517673</v>
      </c>
      <c r="F1653" s="2">
        <f>IFERROR(__xludf.DUMMYFUNCTION("""COMPUTED_VALUE"""),4799695.0)</f>
        <v>4799695</v>
      </c>
      <c r="G1653" s="2">
        <f>IFERROR(__xludf.DUMMYFUNCTION("""COMPUTED_VALUE"""),137.7695)</f>
        <v>137.7695</v>
      </c>
    </row>
    <row r="1654">
      <c r="A1654" s="1" t="s">
        <v>1653</v>
      </c>
      <c r="D1654" s="3">
        <f>IFERROR(__xludf.DUMMYFUNCTION("SPLIT(A1654, ""|"")"),43117.0)</f>
        <v>43117</v>
      </c>
      <c r="E1654" s="2">
        <f>IFERROR(__xludf.DUMMYFUNCTION("""COMPUTED_VALUE"""),1450893.0)</f>
        <v>1450893</v>
      </c>
      <c r="F1654" s="2">
        <f>IFERROR(__xludf.DUMMYFUNCTION("""COMPUTED_VALUE"""),4139698.0)</f>
        <v>4139698</v>
      </c>
      <c r="G1654" s="2">
        <f>IFERROR(__xludf.DUMMYFUNCTION("""COMPUTED_VALUE"""),84.7464)</f>
        <v>84.7464</v>
      </c>
    </row>
    <row r="1655">
      <c r="A1655" s="1" t="s">
        <v>1654</v>
      </c>
      <c r="D1655" s="3">
        <f>IFERROR(__xludf.DUMMYFUNCTION("SPLIT(A1655, ""|"")"),43117.0)</f>
        <v>43117</v>
      </c>
      <c r="E1655" s="2">
        <f>IFERROR(__xludf.DUMMYFUNCTION("""COMPUTED_VALUE"""),1306983.0)</f>
        <v>1306983</v>
      </c>
      <c r="F1655" s="2">
        <f>IFERROR(__xludf.DUMMYFUNCTION("""COMPUTED_VALUE"""),4138570.0)</f>
        <v>4138570</v>
      </c>
      <c r="G1655" s="2">
        <f>IFERROR(__xludf.DUMMYFUNCTION("""COMPUTED_VALUE"""),135.0418)</f>
        <v>135.0418</v>
      </c>
    </row>
    <row r="1656">
      <c r="A1656" s="1" t="s">
        <v>1655</v>
      </c>
      <c r="D1656" s="3">
        <f>IFERROR(__xludf.DUMMYFUNCTION("SPLIT(A1656, ""|"")"),43117.0)</f>
        <v>43117</v>
      </c>
      <c r="E1656" s="2">
        <f>IFERROR(__xludf.DUMMYFUNCTION("""COMPUTED_VALUE"""),274113.0)</f>
        <v>274113</v>
      </c>
      <c r="F1656" s="2">
        <f>IFERROR(__xludf.DUMMYFUNCTION("""COMPUTED_VALUE"""),4138927.0)</f>
        <v>4138927</v>
      </c>
      <c r="G1656" s="2">
        <f>IFERROR(__xludf.DUMMYFUNCTION("""COMPUTED_VALUE"""),51.8561)</f>
        <v>51.8561</v>
      </c>
    </row>
    <row r="1657">
      <c r="A1657" s="1" t="s">
        <v>1656</v>
      </c>
      <c r="D1657" s="3">
        <f>IFERROR(__xludf.DUMMYFUNCTION("SPLIT(A1657, ""|"")"),43117.0)</f>
        <v>43117</v>
      </c>
      <c r="E1657" s="2">
        <f>IFERROR(__xludf.DUMMYFUNCTION("""COMPUTED_VALUE"""),1198923.0)</f>
        <v>1198923</v>
      </c>
      <c r="F1657" s="2">
        <f>IFERROR(__xludf.DUMMYFUNCTION("""COMPUTED_VALUE"""),4137954.0)</f>
        <v>4137954</v>
      </c>
      <c r="G1657" s="2">
        <f>IFERROR(__xludf.DUMMYFUNCTION("""COMPUTED_VALUE"""),34.8557)</f>
        <v>34.8557</v>
      </c>
    </row>
    <row r="1658">
      <c r="A1658" s="1" t="s">
        <v>1657</v>
      </c>
      <c r="D1658" s="3">
        <f>IFERROR(__xludf.DUMMYFUNCTION("SPLIT(A1658, ""|"")"),43117.0)</f>
        <v>43117</v>
      </c>
      <c r="E1658" s="2">
        <f>IFERROR(__xludf.DUMMYFUNCTION("""COMPUTED_VALUE"""),1286103.0)</f>
        <v>1286103</v>
      </c>
      <c r="F1658" s="2">
        <f>IFERROR(__xludf.DUMMYFUNCTION("""COMPUTED_VALUE"""),4139453.0)</f>
        <v>4139453</v>
      </c>
      <c r="G1658" s="2">
        <f>IFERROR(__xludf.DUMMYFUNCTION("""COMPUTED_VALUE"""),198.416)</f>
        <v>198.416</v>
      </c>
    </row>
    <row r="1659">
      <c r="A1659" s="1" t="s">
        <v>1658</v>
      </c>
      <c r="D1659" s="3">
        <f>IFERROR(__xludf.DUMMYFUNCTION("SPLIT(A1659, ""|"")"),43117.0)</f>
        <v>43117</v>
      </c>
      <c r="E1659" s="2">
        <f>IFERROR(__xludf.DUMMYFUNCTION("""COMPUTED_VALUE"""),1506543.0)</f>
        <v>1506543</v>
      </c>
      <c r="F1659" s="2">
        <f>IFERROR(__xludf.DUMMYFUNCTION("""COMPUTED_VALUE"""),4139556.0)</f>
        <v>4139556</v>
      </c>
      <c r="G1659" s="2">
        <f>IFERROR(__xludf.DUMMYFUNCTION("""COMPUTED_VALUE"""),25.308)</f>
        <v>25.308</v>
      </c>
    </row>
    <row r="1660">
      <c r="A1660" s="1" t="s">
        <v>1659</v>
      </c>
      <c r="D1660" s="3">
        <f>IFERROR(__xludf.DUMMYFUNCTION("SPLIT(A1660, ""|"")"),43117.0)</f>
        <v>43117</v>
      </c>
      <c r="E1660" s="2">
        <f>IFERROR(__xludf.DUMMYFUNCTION("""COMPUTED_VALUE"""),1506633.0)</f>
        <v>1506633</v>
      </c>
      <c r="F1660" s="2">
        <f>IFERROR(__xludf.DUMMYFUNCTION("""COMPUTED_VALUE"""),4139523.0)</f>
        <v>4139523</v>
      </c>
      <c r="G1660" s="2">
        <f>IFERROR(__xludf.DUMMYFUNCTION("""COMPUTED_VALUE"""),32.7605)</f>
        <v>32.7605</v>
      </c>
    </row>
    <row r="1661">
      <c r="A1661" s="1" t="s">
        <v>1660</v>
      </c>
      <c r="D1661" s="3">
        <f>IFERROR(__xludf.DUMMYFUNCTION("SPLIT(A1661, ""|"")"),43373.0)</f>
        <v>43373</v>
      </c>
      <c r="E1661" s="2">
        <f>IFERROR(__xludf.DUMMYFUNCTION("""COMPUTED_VALUE"""),1151013.0)</f>
        <v>1151013</v>
      </c>
      <c r="F1661" s="2">
        <f>IFERROR(__xludf.DUMMYFUNCTION("""COMPUTED_VALUE"""),4803574.0)</f>
        <v>4803574</v>
      </c>
      <c r="G1661" s="2">
        <f>IFERROR(__xludf.DUMMYFUNCTION("""COMPUTED_VALUE"""),130.430799999999)</f>
        <v>130.4308</v>
      </c>
    </row>
    <row r="1662">
      <c r="A1662" s="1" t="s">
        <v>1661</v>
      </c>
      <c r="D1662" s="3">
        <f>IFERROR(__xludf.DUMMYFUNCTION("SPLIT(A1662, ""|"")"),43373.0)</f>
        <v>43373</v>
      </c>
      <c r="E1662" s="2">
        <f>IFERROR(__xludf.DUMMYFUNCTION("""COMPUTED_VALUE"""),1676133.0)</f>
        <v>1676133</v>
      </c>
      <c r="F1662" s="2">
        <f>IFERROR(__xludf.DUMMYFUNCTION("""COMPUTED_VALUE"""),4805529.0)</f>
        <v>4805529</v>
      </c>
      <c r="G1662" s="2">
        <f>IFERROR(__xludf.DUMMYFUNCTION("""COMPUTED_VALUE"""),79.0521)</f>
        <v>79.0521</v>
      </c>
    </row>
    <row r="1663">
      <c r="A1663" s="1" t="s">
        <v>1662</v>
      </c>
      <c r="D1663" s="3">
        <f>IFERROR(__xludf.DUMMYFUNCTION("SPLIT(A1663, ""|"")"),43373.0)</f>
        <v>43373</v>
      </c>
      <c r="E1663" s="2">
        <f>IFERROR(__xludf.DUMMYFUNCTION("""COMPUTED_VALUE"""),1426383.0)</f>
        <v>1426383</v>
      </c>
      <c r="F1663" s="2">
        <f>IFERROR(__xludf.DUMMYFUNCTION("""COMPUTED_VALUE"""),4803004.0)</f>
        <v>4803004</v>
      </c>
      <c r="G1663" s="2">
        <f>IFERROR(__xludf.DUMMYFUNCTION("""COMPUTED_VALUE"""),97.0116)</f>
        <v>97.0116</v>
      </c>
    </row>
    <row r="1664">
      <c r="A1664" s="1" t="s">
        <v>1663</v>
      </c>
      <c r="D1664" s="3">
        <f>IFERROR(__xludf.DUMMYFUNCTION("SPLIT(A1664, ""|"")"),43373.0)</f>
        <v>43373</v>
      </c>
      <c r="E1664" s="2">
        <f>IFERROR(__xludf.DUMMYFUNCTION("""COMPUTED_VALUE"""),266283.0)</f>
        <v>266283</v>
      </c>
      <c r="F1664" s="2">
        <f>IFERROR(__xludf.DUMMYFUNCTION("""COMPUTED_VALUE"""),4804635.0)</f>
        <v>4804635</v>
      </c>
      <c r="G1664" s="2">
        <f>IFERROR(__xludf.DUMMYFUNCTION("""COMPUTED_VALUE"""),43.0430999999999)</f>
        <v>43.0431</v>
      </c>
    </row>
    <row r="1665">
      <c r="A1665" s="1" t="s">
        <v>1664</v>
      </c>
      <c r="D1665" s="3">
        <f>IFERROR(__xludf.DUMMYFUNCTION("SPLIT(A1665, ""|"")"),43373.0)</f>
        <v>43373</v>
      </c>
      <c r="E1665" s="2">
        <f>IFERROR(__xludf.DUMMYFUNCTION("""COMPUTED_VALUE"""),1419393.0)</f>
        <v>1419393</v>
      </c>
      <c r="F1665" s="2">
        <f>IFERROR(__xludf.DUMMYFUNCTION("""COMPUTED_VALUE"""),4802955.0)</f>
        <v>4802955</v>
      </c>
      <c r="G1665" s="2">
        <f>IFERROR(__xludf.DUMMYFUNCTION("""COMPUTED_VALUE"""),40.4092)</f>
        <v>40.4092</v>
      </c>
    </row>
    <row r="1666">
      <c r="A1666" s="1" t="s">
        <v>1665</v>
      </c>
      <c r="D1666" s="3">
        <f>IFERROR(__xludf.DUMMYFUNCTION("SPLIT(A1666, ""|"")"),43373.0)</f>
        <v>43373</v>
      </c>
      <c r="E1666" s="2">
        <f>IFERROR(__xludf.DUMMYFUNCTION("""COMPUTED_VALUE"""),1675803.0)</f>
        <v>1675803</v>
      </c>
      <c r="F1666" s="2">
        <f>IFERROR(__xludf.DUMMYFUNCTION("""COMPUTED_VALUE"""),4804159.0)</f>
        <v>4804159</v>
      </c>
      <c r="G1666" s="2">
        <f>IFERROR(__xludf.DUMMYFUNCTION("""COMPUTED_VALUE"""),41.5404999999999)</f>
        <v>41.5405</v>
      </c>
    </row>
    <row r="1667">
      <c r="A1667" s="1" t="s">
        <v>1666</v>
      </c>
      <c r="D1667" s="3">
        <f>IFERROR(__xludf.DUMMYFUNCTION("SPLIT(A1667, ""|"")"),43373.0)</f>
        <v>43373</v>
      </c>
      <c r="E1667" s="2">
        <f>IFERROR(__xludf.DUMMYFUNCTION("""COMPUTED_VALUE"""),1676103.0)</f>
        <v>1676103</v>
      </c>
      <c r="F1667" s="2">
        <f>IFERROR(__xludf.DUMMYFUNCTION("""COMPUTED_VALUE"""),4805439.0)</f>
        <v>4805439</v>
      </c>
      <c r="G1667" s="2">
        <f>IFERROR(__xludf.DUMMYFUNCTION("""COMPUTED_VALUE"""),105.072499999999)</f>
        <v>105.0725</v>
      </c>
    </row>
    <row r="1668">
      <c r="A1668" s="1" t="s">
        <v>1667</v>
      </c>
      <c r="D1668" s="3">
        <f>IFERROR(__xludf.DUMMYFUNCTION("SPLIT(A1668, ""|"")"),43373.0)</f>
        <v>43373</v>
      </c>
      <c r="E1668" s="2">
        <f>IFERROR(__xludf.DUMMYFUNCTION("""COMPUTED_VALUE"""),1645653.0)</f>
        <v>1645653</v>
      </c>
      <c r="F1668" s="2">
        <f>IFERROR(__xludf.DUMMYFUNCTION("""COMPUTED_VALUE"""),4802020.0)</f>
        <v>4802020</v>
      </c>
      <c r="G1668" s="2">
        <f>IFERROR(__xludf.DUMMYFUNCTION("""COMPUTED_VALUE"""),61.0494)</f>
        <v>61.0494</v>
      </c>
    </row>
    <row r="1669">
      <c r="A1669" s="1" t="s">
        <v>1668</v>
      </c>
      <c r="D1669" s="3">
        <f>IFERROR(__xludf.DUMMYFUNCTION("SPLIT(A1669, ""|"")"),43373.0)</f>
        <v>43373</v>
      </c>
      <c r="E1669" s="2">
        <f>IFERROR(__xludf.DUMMYFUNCTION("""COMPUTED_VALUE"""),165933.0)</f>
        <v>165933</v>
      </c>
      <c r="F1669" s="2">
        <f>IFERROR(__xludf.DUMMYFUNCTION("""COMPUTED_VALUE"""),4803885.0)</f>
        <v>4803885</v>
      </c>
      <c r="G1669" s="2">
        <f>IFERROR(__xludf.DUMMYFUNCTION("""COMPUTED_VALUE"""),38.0834)</f>
        <v>38.0834</v>
      </c>
    </row>
    <row r="1670">
      <c r="A1670" s="1" t="s">
        <v>1669</v>
      </c>
      <c r="D1670" s="3">
        <f>IFERROR(__xludf.DUMMYFUNCTION("SPLIT(A1670, ""|"")"),43118.0)</f>
        <v>43118</v>
      </c>
      <c r="E1670" s="2">
        <f>IFERROR(__xludf.DUMMYFUNCTION("""COMPUTED_VALUE"""),1474893.0)</f>
        <v>1474893</v>
      </c>
      <c r="F1670" s="2">
        <f>IFERROR(__xludf.DUMMYFUNCTION("""COMPUTED_VALUE"""),4142824.0)</f>
        <v>4142824</v>
      </c>
      <c r="G1670" s="2">
        <f>IFERROR(__xludf.DUMMYFUNCTION("""COMPUTED_VALUE"""),98.0803)</f>
        <v>98.0803</v>
      </c>
    </row>
    <row r="1671">
      <c r="A1671" s="1" t="s">
        <v>1670</v>
      </c>
      <c r="D1671" s="3">
        <f>IFERROR(__xludf.DUMMYFUNCTION("SPLIT(A1671, ""|"")"),43118.0)</f>
        <v>43118</v>
      </c>
      <c r="E1671" s="2">
        <f>IFERROR(__xludf.DUMMYFUNCTION("""COMPUTED_VALUE"""),1506993.0)</f>
        <v>1506993</v>
      </c>
      <c r="F1671" s="2">
        <f>IFERROR(__xludf.DUMMYFUNCTION("""COMPUTED_VALUE"""),4140855.0)</f>
        <v>4140855</v>
      </c>
      <c r="G1671" s="2">
        <f>IFERROR(__xludf.DUMMYFUNCTION("""COMPUTED_VALUE"""),58.5695999999999)</f>
        <v>58.5696</v>
      </c>
    </row>
    <row r="1672">
      <c r="A1672" s="1" t="s">
        <v>1671</v>
      </c>
      <c r="D1672" s="3">
        <f>IFERROR(__xludf.DUMMYFUNCTION("SPLIT(A1672, ""|"")"),43118.0)</f>
        <v>43118</v>
      </c>
      <c r="E1672" s="2">
        <f>IFERROR(__xludf.DUMMYFUNCTION("""COMPUTED_VALUE"""),1423773.0)</f>
        <v>1423773</v>
      </c>
      <c r="F1672" s="2">
        <f>IFERROR(__xludf.DUMMYFUNCTION("""COMPUTED_VALUE"""),4141683.0)</f>
        <v>4141683</v>
      </c>
      <c r="G1672" s="2">
        <f>IFERROR(__xludf.DUMMYFUNCTION("""COMPUTED_VALUE"""),66.3301)</f>
        <v>66.3301</v>
      </c>
    </row>
    <row r="1673">
      <c r="A1673" s="1" t="s">
        <v>1672</v>
      </c>
      <c r="D1673" s="3">
        <f>IFERROR(__xludf.DUMMYFUNCTION("SPLIT(A1673, ""|"")"),43118.0)</f>
        <v>43118</v>
      </c>
      <c r="E1673" s="2">
        <f>IFERROR(__xludf.DUMMYFUNCTION("""COMPUTED_VALUE"""),1477113.0)</f>
        <v>1477113</v>
      </c>
      <c r="F1673" s="2">
        <f>IFERROR(__xludf.DUMMYFUNCTION("""COMPUTED_VALUE"""),4142780.0)</f>
        <v>4142780</v>
      </c>
      <c r="G1673" s="2">
        <f>IFERROR(__xludf.DUMMYFUNCTION("""COMPUTED_VALUE"""),37.8958)</f>
        <v>37.8958</v>
      </c>
    </row>
    <row r="1674">
      <c r="A1674" s="1" t="s">
        <v>1673</v>
      </c>
      <c r="D1674" s="3">
        <f>IFERROR(__xludf.DUMMYFUNCTION("SPLIT(A1674, ""|"")"),43374.0)</f>
        <v>43374</v>
      </c>
      <c r="E1674" s="2">
        <f>IFERROR(__xludf.DUMMYFUNCTION("""COMPUTED_VALUE"""),1676793.0)</f>
        <v>1676793</v>
      </c>
      <c r="F1674" s="2">
        <f>IFERROR(__xludf.DUMMYFUNCTION("""COMPUTED_VALUE"""),4808455.0)</f>
        <v>4808455</v>
      </c>
      <c r="G1674" s="2">
        <f>IFERROR(__xludf.DUMMYFUNCTION("""COMPUTED_VALUE"""),91.4332)</f>
        <v>91.4332</v>
      </c>
    </row>
    <row r="1675">
      <c r="A1675" s="1" t="s">
        <v>1674</v>
      </c>
      <c r="D1675" s="3">
        <f>IFERROR(__xludf.DUMMYFUNCTION("SPLIT(A1675, ""|"")"),43374.0)</f>
        <v>43374</v>
      </c>
      <c r="E1675" s="2">
        <f>IFERROR(__xludf.DUMMYFUNCTION("""COMPUTED_VALUE"""),1478673.0)</f>
        <v>1478673</v>
      </c>
      <c r="F1675" s="2">
        <f>IFERROR(__xludf.DUMMYFUNCTION("""COMPUTED_VALUE"""),4809050.0)</f>
        <v>4809050</v>
      </c>
      <c r="G1675" s="2">
        <f>IFERROR(__xludf.DUMMYFUNCTION("""COMPUTED_VALUE"""),103.2299)</f>
        <v>103.2299</v>
      </c>
    </row>
    <row r="1676">
      <c r="A1676" s="1" t="s">
        <v>1675</v>
      </c>
      <c r="D1676" s="3">
        <f>IFERROR(__xludf.DUMMYFUNCTION("SPLIT(A1676, ""|"")"),43374.0)</f>
        <v>43374</v>
      </c>
      <c r="E1676" s="2">
        <f>IFERROR(__xludf.DUMMYFUNCTION("""COMPUTED_VALUE"""),273093.0)</f>
        <v>273093</v>
      </c>
      <c r="F1676" s="2">
        <f>IFERROR(__xludf.DUMMYFUNCTION("""COMPUTED_VALUE"""),4806258.0)</f>
        <v>4806258</v>
      </c>
      <c r="G1676" s="2">
        <f>IFERROR(__xludf.DUMMYFUNCTION("""COMPUTED_VALUE"""),83.7042999999999)</f>
        <v>83.7043</v>
      </c>
    </row>
    <row r="1677">
      <c r="A1677" s="1" t="s">
        <v>1676</v>
      </c>
      <c r="D1677" s="3">
        <f>IFERROR(__xludf.DUMMYFUNCTION("SPLIT(A1677, ""|"")"),43374.0)</f>
        <v>43374</v>
      </c>
      <c r="E1677" s="2">
        <f>IFERROR(__xludf.DUMMYFUNCTION("""COMPUTED_VALUE"""),1410633.0)</f>
        <v>1410633</v>
      </c>
      <c r="F1677" s="2">
        <f>IFERROR(__xludf.DUMMYFUNCTION("""COMPUTED_VALUE"""),4808510.0)</f>
        <v>4808510</v>
      </c>
      <c r="G1677" s="2">
        <f>IFERROR(__xludf.DUMMYFUNCTION("""COMPUTED_VALUE"""),76.2156)</f>
        <v>76.2156</v>
      </c>
    </row>
    <row r="1678">
      <c r="A1678" s="1" t="s">
        <v>1677</v>
      </c>
      <c r="D1678" s="3">
        <f>IFERROR(__xludf.DUMMYFUNCTION("SPLIT(A1678, ""|"")"),43374.0)</f>
        <v>43374</v>
      </c>
      <c r="E1678" s="2">
        <f>IFERROR(__xludf.DUMMYFUNCTION("""COMPUTED_VALUE"""),1676193.0)</f>
        <v>1676193</v>
      </c>
      <c r="F1678" s="2">
        <f>IFERROR(__xludf.DUMMYFUNCTION("""COMPUTED_VALUE"""),4805813.0)</f>
        <v>4805813</v>
      </c>
      <c r="G1678" s="2">
        <f>IFERROR(__xludf.DUMMYFUNCTION("""COMPUTED_VALUE"""),122.7217)</f>
        <v>122.7217</v>
      </c>
    </row>
    <row r="1679">
      <c r="A1679" s="1" t="s">
        <v>1678</v>
      </c>
      <c r="D1679" s="3">
        <f>IFERROR(__xludf.DUMMYFUNCTION("SPLIT(A1679, ""|"")"),43374.0)</f>
        <v>43374</v>
      </c>
      <c r="E1679" s="2">
        <f>IFERROR(__xludf.DUMMYFUNCTION("""COMPUTED_VALUE"""),1344573.0)</f>
        <v>1344573</v>
      </c>
      <c r="F1679" s="2">
        <f>IFERROR(__xludf.DUMMYFUNCTION("""COMPUTED_VALUE"""),4806888.0)</f>
        <v>4806888</v>
      </c>
      <c r="G1679" s="2">
        <f>IFERROR(__xludf.DUMMYFUNCTION("""COMPUTED_VALUE"""),120.6143)</f>
        <v>120.6143</v>
      </c>
    </row>
    <row r="1680">
      <c r="A1680" s="1" t="s">
        <v>1679</v>
      </c>
      <c r="D1680" s="3">
        <f>IFERROR(__xludf.DUMMYFUNCTION("SPLIT(A1680, ""|"")"),43374.0)</f>
        <v>43374</v>
      </c>
      <c r="E1680" s="2">
        <f>IFERROR(__xludf.DUMMYFUNCTION("""COMPUTED_VALUE"""),1658883.0)</f>
        <v>1658883</v>
      </c>
      <c r="F1680" s="2">
        <f>IFERROR(__xludf.DUMMYFUNCTION("""COMPUTED_VALUE"""),4807113.0)</f>
        <v>4807113</v>
      </c>
      <c r="G1680" s="2">
        <f>IFERROR(__xludf.DUMMYFUNCTION("""COMPUTED_VALUE"""),138.4511)</f>
        <v>138.4511</v>
      </c>
    </row>
    <row r="1681">
      <c r="A1681" s="1" t="s">
        <v>1680</v>
      </c>
      <c r="D1681" s="3">
        <f>IFERROR(__xludf.DUMMYFUNCTION("SPLIT(A1681, ""|"")"),43374.0)</f>
        <v>43374</v>
      </c>
      <c r="E1681" s="2">
        <f>IFERROR(__xludf.DUMMYFUNCTION("""COMPUTED_VALUE"""),1676193.0)</f>
        <v>1676193</v>
      </c>
      <c r="F1681" s="2">
        <f>IFERROR(__xludf.DUMMYFUNCTION("""COMPUTED_VALUE"""),4805824.0)</f>
        <v>4805824</v>
      </c>
      <c r="G1681" s="2">
        <f>IFERROR(__xludf.DUMMYFUNCTION("""COMPUTED_VALUE"""),61.2673)</f>
        <v>61.2673</v>
      </c>
    </row>
    <row r="1682">
      <c r="A1682" s="1" t="s">
        <v>1681</v>
      </c>
      <c r="D1682" s="3">
        <f>IFERROR(__xludf.DUMMYFUNCTION("SPLIT(A1682, ""|"")"),43119.0)</f>
        <v>43119</v>
      </c>
      <c r="E1682" s="2">
        <f>IFERROR(__xludf.DUMMYFUNCTION("""COMPUTED_VALUE"""),1344573.0)</f>
        <v>1344573</v>
      </c>
      <c r="F1682" s="2">
        <f>IFERROR(__xludf.DUMMYFUNCTION("""COMPUTED_VALUE"""),4143621.0)</f>
        <v>4143621</v>
      </c>
      <c r="G1682" s="2">
        <f>IFERROR(__xludf.DUMMYFUNCTION("""COMPUTED_VALUE"""),61.7316)</f>
        <v>61.7316</v>
      </c>
    </row>
    <row r="1683">
      <c r="A1683" s="1" t="s">
        <v>1682</v>
      </c>
      <c r="D1683" s="3">
        <f>IFERROR(__xludf.DUMMYFUNCTION("SPLIT(A1683, ""|"")"),43119.0)</f>
        <v>43119</v>
      </c>
      <c r="E1683" s="2">
        <f>IFERROR(__xludf.DUMMYFUNCTION("""COMPUTED_VALUE"""),1344573.0)</f>
        <v>1344573</v>
      </c>
      <c r="F1683" s="2">
        <f>IFERROR(__xludf.DUMMYFUNCTION("""COMPUTED_VALUE"""),4143640.0)</f>
        <v>4143640</v>
      </c>
      <c r="G1683" s="2">
        <f>IFERROR(__xludf.DUMMYFUNCTION("""COMPUTED_VALUE"""),90.775)</f>
        <v>90.775</v>
      </c>
    </row>
    <row r="1684">
      <c r="A1684" s="1" t="s">
        <v>1683</v>
      </c>
      <c r="D1684" s="3">
        <f>IFERROR(__xludf.DUMMYFUNCTION("SPLIT(A1684, ""|"")"),43375.0)</f>
        <v>43375</v>
      </c>
      <c r="E1684" s="2">
        <f>IFERROR(__xludf.DUMMYFUNCTION("""COMPUTED_VALUE"""),1677693.0)</f>
        <v>1677693</v>
      </c>
      <c r="F1684" s="2">
        <f>IFERROR(__xludf.DUMMYFUNCTION("""COMPUTED_VALUE"""),4811775.0)</f>
        <v>4811775</v>
      </c>
      <c r="G1684" s="2">
        <f>IFERROR(__xludf.DUMMYFUNCTION("""COMPUTED_VALUE"""),15.9846)</f>
        <v>15.9846</v>
      </c>
    </row>
    <row r="1685">
      <c r="A1685" s="1" t="s">
        <v>1684</v>
      </c>
      <c r="D1685" s="3">
        <f>IFERROR(__xludf.DUMMYFUNCTION("SPLIT(A1685, ""|"")"),43375.0)</f>
        <v>43375</v>
      </c>
      <c r="E1685" s="2">
        <f>IFERROR(__xludf.DUMMYFUNCTION("""COMPUTED_VALUE"""),1677213.0)</f>
        <v>1677213</v>
      </c>
      <c r="F1685" s="2">
        <f>IFERROR(__xludf.DUMMYFUNCTION("""COMPUTED_VALUE"""),4810272.0)</f>
        <v>4810272</v>
      </c>
      <c r="G1685" s="2">
        <f>IFERROR(__xludf.DUMMYFUNCTION("""COMPUTED_VALUE"""),39.5062999999999)</f>
        <v>39.5063</v>
      </c>
    </row>
    <row r="1686">
      <c r="A1686" s="1" t="s">
        <v>1685</v>
      </c>
      <c r="D1686" s="3">
        <f>IFERROR(__xludf.DUMMYFUNCTION("SPLIT(A1686, ""|"")"),43375.0)</f>
        <v>43375</v>
      </c>
      <c r="E1686" s="2">
        <f>IFERROR(__xludf.DUMMYFUNCTION("""COMPUTED_VALUE"""),1163523.0)</f>
        <v>1163523</v>
      </c>
      <c r="F1686" s="2">
        <f>IFERROR(__xludf.DUMMYFUNCTION("""COMPUTED_VALUE"""),4810906.0)</f>
        <v>4810906</v>
      </c>
      <c r="G1686" s="2">
        <f>IFERROR(__xludf.DUMMYFUNCTION("""COMPUTED_VALUE"""),42.8649)</f>
        <v>42.8649</v>
      </c>
    </row>
    <row r="1687">
      <c r="A1687" s="1" t="s">
        <v>1686</v>
      </c>
      <c r="D1687" s="3">
        <f>IFERROR(__xludf.DUMMYFUNCTION("SPLIT(A1687, ""|"")"),43375.0)</f>
        <v>43375</v>
      </c>
      <c r="E1687" s="2">
        <f>IFERROR(__xludf.DUMMYFUNCTION("""COMPUTED_VALUE"""),1677573.0)</f>
        <v>1677573</v>
      </c>
      <c r="F1687" s="2">
        <f>IFERROR(__xludf.DUMMYFUNCTION("""COMPUTED_VALUE"""),4811603.0)</f>
        <v>4811603</v>
      </c>
      <c r="G1687" s="2">
        <f>IFERROR(__xludf.DUMMYFUNCTION("""COMPUTED_VALUE"""),37.1852)</f>
        <v>37.1852</v>
      </c>
    </row>
    <row r="1688">
      <c r="A1688" s="1" t="s">
        <v>1687</v>
      </c>
      <c r="D1688" s="3">
        <f>IFERROR(__xludf.DUMMYFUNCTION("SPLIT(A1688, ""|"")"),43375.0)</f>
        <v>43375</v>
      </c>
      <c r="E1688" s="2">
        <f>IFERROR(__xludf.DUMMYFUNCTION("""COMPUTED_VALUE"""),486093.0)</f>
        <v>486093</v>
      </c>
      <c r="F1688" s="2">
        <f>IFERROR(__xludf.DUMMYFUNCTION("""COMPUTED_VALUE"""),4811251.0)</f>
        <v>4811251</v>
      </c>
      <c r="G1688" s="2">
        <f>IFERROR(__xludf.DUMMYFUNCTION("""COMPUTED_VALUE"""),23.2674)</f>
        <v>23.2674</v>
      </c>
    </row>
    <row r="1689">
      <c r="A1689" s="1" t="s">
        <v>1688</v>
      </c>
      <c r="D1689" s="3">
        <f>IFERROR(__xludf.DUMMYFUNCTION("SPLIT(A1689, ""|"")"),43120.0)</f>
        <v>43120</v>
      </c>
      <c r="E1689" s="2">
        <f>IFERROR(__xludf.DUMMYFUNCTION("""COMPUTED_VALUE"""),1372173.0)</f>
        <v>1372173</v>
      </c>
      <c r="F1689" s="2">
        <f>IFERROR(__xludf.DUMMYFUNCTION("""COMPUTED_VALUE"""),4146446.0)</f>
        <v>4146446</v>
      </c>
      <c r="G1689" s="2">
        <f>IFERROR(__xludf.DUMMYFUNCTION("""COMPUTED_VALUE"""),131.4229)</f>
        <v>131.4229</v>
      </c>
    </row>
    <row r="1690">
      <c r="A1690" s="1" t="s">
        <v>1689</v>
      </c>
      <c r="D1690" s="3">
        <f>IFERROR(__xludf.DUMMYFUNCTION("SPLIT(A1690, ""|"")"),43120.0)</f>
        <v>43120</v>
      </c>
      <c r="E1690" s="2">
        <f>IFERROR(__xludf.DUMMYFUNCTION("""COMPUTED_VALUE"""),1477113.0)</f>
        <v>1477113</v>
      </c>
      <c r="F1690" s="2">
        <f>IFERROR(__xludf.DUMMYFUNCTION("""COMPUTED_VALUE"""),4146642.0)</f>
        <v>4146642</v>
      </c>
      <c r="G1690" s="2">
        <f>IFERROR(__xludf.DUMMYFUNCTION("""COMPUTED_VALUE"""),48.109)</f>
        <v>48.109</v>
      </c>
    </row>
    <row r="1691">
      <c r="A1691" s="1" t="s">
        <v>1690</v>
      </c>
      <c r="D1691" s="3">
        <f>IFERROR(__xludf.DUMMYFUNCTION("SPLIT(A1691, ""|"")"),43120.0)</f>
        <v>43120</v>
      </c>
      <c r="E1691" s="2">
        <f>IFERROR(__xludf.DUMMYFUNCTION("""COMPUTED_VALUE"""),1239183.0)</f>
        <v>1239183</v>
      </c>
      <c r="F1691" s="2">
        <f>IFERROR(__xludf.DUMMYFUNCTION("""COMPUTED_VALUE"""),4145787.0)</f>
        <v>4145787</v>
      </c>
      <c r="G1691" s="2">
        <f>IFERROR(__xludf.DUMMYFUNCTION("""COMPUTED_VALUE"""),69.7331)</f>
        <v>69.7331</v>
      </c>
    </row>
    <row r="1692">
      <c r="A1692" s="1" t="s">
        <v>1691</v>
      </c>
      <c r="D1692" s="3">
        <f>IFERROR(__xludf.DUMMYFUNCTION("SPLIT(A1692, ""|"")"),43120.0)</f>
        <v>43120</v>
      </c>
      <c r="E1692" s="2">
        <f>IFERROR(__xludf.DUMMYFUNCTION("""COMPUTED_VALUE"""),1407333.0)</f>
        <v>1407333</v>
      </c>
      <c r="F1692" s="2">
        <f>IFERROR(__xludf.DUMMYFUNCTION("""COMPUTED_VALUE"""),4147000.0)</f>
        <v>4147000</v>
      </c>
      <c r="G1692" s="2">
        <f>IFERROR(__xludf.DUMMYFUNCTION("""COMPUTED_VALUE"""),61.9844)</f>
        <v>61.9844</v>
      </c>
    </row>
    <row r="1693">
      <c r="A1693" s="1" t="s">
        <v>1692</v>
      </c>
      <c r="D1693" s="3">
        <f>IFERROR(__xludf.DUMMYFUNCTION("SPLIT(A1693, ""|"")"),43120.0)</f>
        <v>43120</v>
      </c>
      <c r="E1693" s="2">
        <f>IFERROR(__xludf.DUMMYFUNCTION("""COMPUTED_VALUE"""),367683.0)</f>
        <v>367683</v>
      </c>
      <c r="F1693" s="2">
        <f>IFERROR(__xludf.DUMMYFUNCTION("""COMPUTED_VALUE"""),4146595.0)</f>
        <v>4146595</v>
      </c>
      <c r="G1693" s="2">
        <f>IFERROR(__xludf.DUMMYFUNCTION("""COMPUTED_VALUE"""),49.7044)</f>
        <v>49.7044</v>
      </c>
    </row>
    <row r="1694">
      <c r="A1694" s="1" t="s">
        <v>1693</v>
      </c>
      <c r="D1694" s="3">
        <f>IFERROR(__xludf.DUMMYFUNCTION("SPLIT(A1694, ""|"")"),43120.0)</f>
        <v>43120</v>
      </c>
      <c r="E1694" s="2">
        <f>IFERROR(__xludf.DUMMYFUNCTION("""COMPUTED_VALUE"""),1422333.0)</f>
        <v>1422333</v>
      </c>
      <c r="F1694" s="2">
        <f>IFERROR(__xludf.DUMMYFUNCTION("""COMPUTED_VALUE"""),4147426.0)</f>
        <v>4147426</v>
      </c>
      <c r="G1694" s="2">
        <f>IFERROR(__xludf.DUMMYFUNCTION("""COMPUTED_VALUE"""),44.6421)</f>
        <v>44.6421</v>
      </c>
    </row>
    <row r="1695">
      <c r="A1695" s="1" t="s">
        <v>1694</v>
      </c>
      <c r="D1695" s="3">
        <f>IFERROR(__xludf.DUMMYFUNCTION("SPLIT(A1695, ""|"")"),43120.0)</f>
        <v>43120</v>
      </c>
      <c r="E1695" s="2">
        <f>IFERROR(__xludf.DUMMYFUNCTION("""COMPUTED_VALUE"""),1452633.0)</f>
        <v>1452633</v>
      </c>
      <c r="F1695" s="2">
        <f>IFERROR(__xludf.DUMMYFUNCTION("""COMPUTED_VALUE"""),4147962.0)</f>
        <v>4147962</v>
      </c>
      <c r="G1695" s="2">
        <f>IFERROR(__xludf.DUMMYFUNCTION("""COMPUTED_VALUE"""),108.574999999999)</f>
        <v>108.575</v>
      </c>
    </row>
    <row r="1696">
      <c r="A1696" s="1" t="s">
        <v>1695</v>
      </c>
      <c r="D1696" s="3">
        <f>IFERROR(__xludf.DUMMYFUNCTION("SPLIT(A1696, ""|"")"),43376.0)</f>
        <v>43376</v>
      </c>
      <c r="E1696" s="2">
        <f>IFERROR(__xludf.DUMMYFUNCTION("""COMPUTED_VALUE"""),1677843.0)</f>
        <v>1677843</v>
      </c>
      <c r="F1696" s="2">
        <f>IFERROR(__xludf.DUMMYFUNCTION("""COMPUTED_VALUE"""),4812341.0)</f>
        <v>4812341</v>
      </c>
      <c r="G1696" s="2">
        <f>IFERROR(__xludf.DUMMYFUNCTION("""COMPUTED_VALUE"""),17.2493)</f>
        <v>17.2493</v>
      </c>
    </row>
    <row r="1697">
      <c r="A1697" s="1" t="s">
        <v>1696</v>
      </c>
      <c r="D1697" s="3">
        <f>IFERROR(__xludf.DUMMYFUNCTION("SPLIT(A1697, ""|"")"),43376.0)</f>
        <v>43376</v>
      </c>
      <c r="E1697" s="2">
        <f>IFERROR(__xludf.DUMMYFUNCTION("""COMPUTED_VALUE"""),1223523.0)</f>
        <v>1223523</v>
      </c>
      <c r="F1697" s="2">
        <f>IFERROR(__xludf.DUMMYFUNCTION("""COMPUTED_VALUE"""),4813216.0)</f>
        <v>4813216</v>
      </c>
      <c r="G1697" s="2">
        <f>IFERROR(__xludf.DUMMYFUNCTION("""COMPUTED_VALUE"""),136.982699999999)</f>
        <v>136.9827</v>
      </c>
    </row>
    <row r="1698">
      <c r="A1698" s="1" t="s">
        <v>1697</v>
      </c>
      <c r="D1698" s="3">
        <f>IFERROR(__xludf.DUMMYFUNCTION("SPLIT(A1698, ""|"")"),43376.0)</f>
        <v>43376</v>
      </c>
      <c r="E1698" s="2">
        <f>IFERROR(__xludf.DUMMYFUNCTION("""COMPUTED_VALUE"""),1653453.0)</f>
        <v>1653453</v>
      </c>
      <c r="F1698" s="2">
        <f>IFERROR(__xludf.DUMMYFUNCTION("""COMPUTED_VALUE"""),4814480.0)</f>
        <v>4814480</v>
      </c>
      <c r="G1698" s="2">
        <f>IFERROR(__xludf.DUMMYFUNCTION("""COMPUTED_VALUE"""),71.7147)</f>
        <v>71.7147</v>
      </c>
    </row>
    <row r="1699">
      <c r="A1699" s="1" t="s">
        <v>1698</v>
      </c>
      <c r="D1699" s="3">
        <f>IFERROR(__xludf.DUMMYFUNCTION("SPLIT(A1699, ""|"")"),43376.0)</f>
        <v>43376</v>
      </c>
      <c r="E1699" s="2">
        <f>IFERROR(__xludf.DUMMYFUNCTION("""COMPUTED_VALUE"""),1678233.0)</f>
        <v>1678233</v>
      </c>
      <c r="F1699" s="2">
        <f>IFERROR(__xludf.DUMMYFUNCTION("""COMPUTED_VALUE"""),4814073.0)</f>
        <v>4814073</v>
      </c>
      <c r="G1699" s="2">
        <f>IFERROR(__xludf.DUMMYFUNCTION("""COMPUTED_VALUE"""),24.055)</f>
        <v>24.055</v>
      </c>
    </row>
    <row r="1700">
      <c r="A1700" s="1" t="s">
        <v>1699</v>
      </c>
      <c r="D1700" s="3">
        <f>IFERROR(__xludf.DUMMYFUNCTION("SPLIT(A1700, ""|"")"),43376.0)</f>
        <v>43376</v>
      </c>
      <c r="E1700" s="2">
        <f>IFERROR(__xludf.DUMMYFUNCTION("""COMPUTED_VALUE"""),1452153.0)</f>
        <v>1452153</v>
      </c>
      <c r="F1700" s="2">
        <f>IFERROR(__xludf.DUMMYFUNCTION("""COMPUTED_VALUE"""),4813105.0)</f>
        <v>4813105</v>
      </c>
      <c r="G1700" s="2">
        <f>IFERROR(__xludf.DUMMYFUNCTION("""COMPUTED_VALUE"""),113.5384)</f>
        <v>113.5384</v>
      </c>
    </row>
    <row r="1701">
      <c r="A1701" s="1" t="s">
        <v>1700</v>
      </c>
      <c r="D1701" s="3">
        <f>IFERROR(__xludf.DUMMYFUNCTION("SPLIT(A1701, ""|"")"),43376.0)</f>
        <v>43376</v>
      </c>
      <c r="E1701" s="2">
        <f>IFERROR(__xludf.DUMMYFUNCTION("""COMPUTED_VALUE"""),1454403.0)</f>
        <v>1454403</v>
      </c>
      <c r="F1701" s="2">
        <f>IFERROR(__xludf.DUMMYFUNCTION("""COMPUTED_VALUE"""),4814205.0)</f>
        <v>4814205</v>
      </c>
      <c r="G1701" s="2">
        <f>IFERROR(__xludf.DUMMYFUNCTION("""COMPUTED_VALUE"""),35.1979)</f>
        <v>35.1979</v>
      </c>
    </row>
    <row r="1702">
      <c r="A1702" s="1" t="s">
        <v>1701</v>
      </c>
      <c r="D1702" s="3">
        <f>IFERROR(__xludf.DUMMYFUNCTION("SPLIT(A1702, ""|"")"),43376.0)</f>
        <v>43376</v>
      </c>
      <c r="E1702" s="2">
        <f>IFERROR(__xludf.DUMMYFUNCTION("""COMPUTED_VALUE"""),1286103.0)</f>
        <v>1286103</v>
      </c>
      <c r="F1702" s="2">
        <f>IFERROR(__xludf.DUMMYFUNCTION("""COMPUTED_VALUE"""),4813080.0)</f>
        <v>4813080</v>
      </c>
      <c r="G1702" s="2">
        <f>IFERROR(__xludf.DUMMYFUNCTION("""COMPUTED_VALUE"""),162.832499999999)</f>
        <v>162.8325</v>
      </c>
    </row>
    <row r="1703">
      <c r="A1703" s="1" t="s">
        <v>1702</v>
      </c>
      <c r="D1703" s="3">
        <f>IFERROR(__xludf.DUMMYFUNCTION("SPLIT(A1703, ""|"")"),43376.0)</f>
        <v>43376</v>
      </c>
      <c r="E1703" s="2">
        <f>IFERROR(__xludf.DUMMYFUNCTION("""COMPUTED_VALUE"""),1609023.0)</f>
        <v>1609023</v>
      </c>
      <c r="F1703" s="2">
        <f>IFERROR(__xludf.DUMMYFUNCTION("""COMPUTED_VALUE"""),4812494.0)</f>
        <v>4812494</v>
      </c>
      <c r="G1703" s="2">
        <f>IFERROR(__xludf.DUMMYFUNCTION("""COMPUTED_VALUE"""),60.0914)</f>
        <v>60.0914</v>
      </c>
    </row>
    <row r="1704">
      <c r="A1704" s="1" t="s">
        <v>1703</v>
      </c>
      <c r="D1704" s="3">
        <f>IFERROR(__xludf.DUMMYFUNCTION("SPLIT(A1704, ""|"")"),43376.0)</f>
        <v>43376</v>
      </c>
      <c r="E1704" s="2">
        <f>IFERROR(__xludf.DUMMYFUNCTION("""COMPUTED_VALUE"""),1678143.0)</f>
        <v>1678143</v>
      </c>
      <c r="F1704" s="2">
        <f>IFERROR(__xludf.DUMMYFUNCTION("""COMPUTED_VALUE"""),4813672.0)</f>
        <v>4813672</v>
      </c>
      <c r="G1704" s="2">
        <f>IFERROR(__xludf.DUMMYFUNCTION("""COMPUTED_VALUE"""),65.0883)</f>
        <v>65.0883</v>
      </c>
    </row>
    <row r="1705">
      <c r="A1705" s="1" t="s">
        <v>1704</v>
      </c>
      <c r="D1705" s="3">
        <f>IFERROR(__xludf.DUMMYFUNCTION("SPLIT(A1705, ""|"")"),43121.0)</f>
        <v>43121</v>
      </c>
      <c r="E1705" s="2">
        <f>IFERROR(__xludf.DUMMYFUNCTION("""COMPUTED_VALUE"""),1475943.0)</f>
        <v>1475943</v>
      </c>
      <c r="F1705" s="2">
        <f>IFERROR(__xludf.DUMMYFUNCTION("""COMPUTED_VALUE"""),4150332.0)</f>
        <v>4150332</v>
      </c>
      <c r="G1705" s="2">
        <f>IFERROR(__xludf.DUMMYFUNCTION("""COMPUTED_VALUE"""),28.9167)</f>
        <v>28.9167</v>
      </c>
    </row>
    <row r="1706">
      <c r="A1706" s="1" t="s">
        <v>1705</v>
      </c>
      <c r="D1706" s="3">
        <f>IFERROR(__xludf.DUMMYFUNCTION("SPLIT(A1706, ""|"")"),43121.0)</f>
        <v>43121</v>
      </c>
      <c r="E1706" s="2">
        <f>IFERROR(__xludf.DUMMYFUNCTION("""COMPUTED_VALUE"""),1204983.0)</f>
        <v>1204983</v>
      </c>
      <c r="F1706" s="2">
        <f>IFERROR(__xludf.DUMMYFUNCTION("""COMPUTED_VALUE"""),4151320.0)</f>
        <v>4151320</v>
      </c>
      <c r="G1706" s="2">
        <f>IFERROR(__xludf.DUMMYFUNCTION("""COMPUTED_VALUE"""),60.7716)</f>
        <v>60.7716</v>
      </c>
    </row>
    <row r="1707">
      <c r="A1707" s="1" t="s">
        <v>1706</v>
      </c>
      <c r="D1707" s="3">
        <f>IFERROR(__xludf.DUMMYFUNCTION("SPLIT(A1707, ""|"")"),43121.0)</f>
        <v>43121</v>
      </c>
      <c r="E1707" s="2">
        <f>IFERROR(__xludf.DUMMYFUNCTION("""COMPUTED_VALUE"""),186663.0)</f>
        <v>186663</v>
      </c>
      <c r="F1707" s="2">
        <f>IFERROR(__xludf.DUMMYFUNCTION("""COMPUTED_VALUE"""),4149499.0)</f>
        <v>4149499</v>
      </c>
      <c r="G1707" s="2">
        <f>IFERROR(__xludf.DUMMYFUNCTION("""COMPUTED_VALUE"""),82.4833999999999)</f>
        <v>82.4834</v>
      </c>
    </row>
    <row r="1708">
      <c r="A1708" s="1" t="s">
        <v>1707</v>
      </c>
      <c r="D1708" s="3">
        <f>IFERROR(__xludf.DUMMYFUNCTION("SPLIT(A1708, ""|"")"),43121.0)</f>
        <v>43121</v>
      </c>
      <c r="E1708" s="2">
        <f>IFERROR(__xludf.DUMMYFUNCTION("""COMPUTED_VALUE"""),1149063.0)</f>
        <v>1149063</v>
      </c>
      <c r="F1708" s="2">
        <f>IFERROR(__xludf.DUMMYFUNCTION("""COMPUTED_VALUE"""),4149568.0)</f>
        <v>4149568</v>
      </c>
      <c r="G1708" s="2">
        <f>IFERROR(__xludf.DUMMYFUNCTION("""COMPUTED_VALUE"""),69.1166)</f>
        <v>69.1166</v>
      </c>
    </row>
    <row r="1709">
      <c r="A1709" s="1" t="s">
        <v>1708</v>
      </c>
      <c r="D1709" s="3">
        <f>IFERROR(__xludf.DUMMYFUNCTION("SPLIT(A1709, ""|"")"),43121.0)</f>
        <v>43121</v>
      </c>
      <c r="E1709" s="2">
        <f>IFERROR(__xludf.DUMMYFUNCTION("""COMPUTED_VALUE"""),1510293.0)</f>
        <v>1510293</v>
      </c>
      <c r="F1709" s="2">
        <f>IFERROR(__xludf.DUMMYFUNCTION("""COMPUTED_VALUE"""),4151746.0)</f>
        <v>4151746</v>
      </c>
      <c r="G1709" s="2">
        <f>IFERROR(__xludf.DUMMYFUNCTION("""COMPUTED_VALUE"""),4.9749)</f>
        <v>4.9749</v>
      </c>
    </row>
    <row r="1710">
      <c r="A1710" s="1" t="s">
        <v>1709</v>
      </c>
      <c r="D1710" s="3">
        <f>IFERROR(__xludf.DUMMYFUNCTION("SPLIT(A1710, ""|"")"),43121.0)</f>
        <v>43121</v>
      </c>
      <c r="E1710" s="2">
        <f>IFERROR(__xludf.DUMMYFUNCTION("""COMPUTED_VALUE"""),1510383.0)</f>
        <v>1510383</v>
      </c>
      <c r="F1710" s="2">
        <f>IFERROR(__xludf.DUMMYFUNCTION("""COMPUTED_VALUE"""),4152024.0)</f>
        <v>4152024</v>
      </c>
      <c r="G1710" s="2">
        <f>IFERROR(__xludf.DUMMYFUNCTION("""COMPUTED_VALUE"""),113.4755)</f>
        <v>113.4755</v>
      </c>
    </row>
    <row r="1711">
      <c r="A1711" s="1" t="s">
        <v>1710</v>
      </c>
      <c r="D1711" s="3">
        <f>IFERROR(__xludf.DUMMYFUNCTION("SPLIT(A1711, ""|"")"),43121.0)</f>
        <v>43121</v>
      </c>
      <c r="E1711" s="2">
        <f>IFERROR(__xludf.DUMMYFUNCTION("""COMPUTED_VALUE"""),323493.0)</f>
        <v>323493</v>
      </c>
      <c r="F1711" s="2">
        <f>IFERROR(__xludf.DUMMYFUNCTION("""COMPUTED_VALUE"""),4150343.0)</f>
        <v>4150343</v>
      </c>
      <c r="G1711" s="2">
        <f>IFERROR(__xludf.DUMMYFUNCTION("""COMPUTED_VALUE"""),191.8583)</f>
        <v>191.8583</v>
      </c>
    </row>
    <row r="1712">
      <c r="A1712" s="1" t="s">
        <v>1711</v>
      </c>
      <c r="D1712" s="3">
        <f>IFERROR(__xludf.DUMMYFUNCTION("SPLIT(A1712, ""|"")"),43121.0)</f>
        <v>43121</v>
      </c>
      <c r="E1712" s="2">
        <f>IFERROR(__xludf.DUMMYFUNCTION("""COMPUTED_VALUE"""),1509843.0)</f>
        <v>1509843</v>
      </c>
      <c r="F1712" s="2">
        <f>IFERROR(__xludf.DUMMYFUNCTION("""COMPUTED_VALUE"""),4150164.0)</f>
        <v>4150164</v>
      </c>
      <c r="G1712" s="2">
        <f>IFERROR(__xludf.DUMMYFUNCTION("""COMPUTED_VALUE"""),4.05)</f>
        <v>4.05</v>
      </c>
    </row>
    <row r="1713">
      <c r="A1713" s="1" t="s">
        <v>1712</v>
      </c>
      <c r="D1713" s="3">
        <f>IFERROR(__xludf.DUMMYFUNCTION("SPLIT(A1713, ""|"")"),43121.0)</f>
        <v>43121</v>
      </c>
      <c r="E1713" s="2">
        <f>IFERROR(__xludf.DUMMYFUNCTION("""COMPUTED_VALUE"""),1061973.0)</f>
        <v>1061973</v>
      </c>
      <c r="F1713" s="2">
        <f>IFERROR(__xludf.DUMMYFUNCTION("""COMPUTED_VALUE"""),4149106.0)</f>
        <v>4149106</v>
      </c>
      <c r="G1713" s="2">
        <f>IFERROR(__xludf.DUMMYFUNCTION("""COMPUTED_VALUE"""),52.8908999999999)</f>
        <v>52.8909</v>
      </c>
    </row>
    <row r="1714">
      <c r="A1714" s="1" t="s">
        <v>1713</v>
      </c>
      <c r="D1714" s="3">
        <f>IFERROR(__xludf.DUMMYFUNCTION("SPLIT(A1714, ""|"")"),43121.0)</f>
        <v>43121</v>
      </c>
      <c r="E1714" s="2">
        <f>IFERROR(__xludf.DUMMYFUNCTION("""COMPUTED_VALUE"""),1509663.0)</f>
        <v>1509663</v>
      </c>
      <c r="F1714" s="2">
        <f>IFERROR(__xludf.DUMMYFUNCTION("""COMPUTED_VALUE"""),4149621.0)</f>
        <v>4149621</v>
      </c>
      <c r="G1714" s="2">
        <f>IFERROR(__xludf.DUMMYFUNCTION("""COMPUTED_VALUE"""),13.4585)</f>
        <v>13.4585</v>
      </c>
    </row>
    <row r="1715">
      <c r="A1715" s="1" t="s">
        <v>1714</v>
      </c>
      <c r="D1715" s="3">
        <f>IFERROR(__xludf.DUMMYFUNCTION("SPLIT(A1715, ""|"")"),43377.0)</f>
        <v>43377</v>
      </c>
      <c r="E1715" s="2">
        <f>IFERROR(__xludf.DUMMYFUNCTION("""COMPUTED_VALUE"""),1475943.0)</f>
        <v>1475943</v>
      </c>
      <c r="F1715" s="2">
        <f>IFERROR(__xludf.DUMMYFUNCTION("""COMPUTED_VALUE"""),4816138.0)</f>
        <v>4816138</v>
      </c>
      <c r="G1715" s="2">
        <f>IFERROR(__xludf.DUMMYFUNCTION("""COMPUTED_VALUE"""),43.6769999999999)</f>
        <v>43.677</v>
      </c>
    </row>
    <row r="1716">
      <c r="A1716" s="1" t="s">
        <v>1715</v>
      </c>
      <c r="D1716" s="3">
        <f>IFERROR(__xludf.DUMMYFUNCTION("SPLIT(A1716, ""|"")"),43377.0)</f>
        <v>43377</v>
      </c>
      <c r="E1716" s="2">
        <f>IFERROR(__xludf.DUMMYFUNCTION("""COMPUTED_VALUE"""),1610733.0)</f>
        <v>1610733</v>
      </c>
      <c r="F1716" s="2">
        <f>IFERROR(__xludf.DUMMYFUNCTION("""COMPUTED_VALUE"""),4816225.0)</f>
        <v>4816225</v>
      </c>
      <c r="G1716" s="2">
        <f>IFERROR(__xludf.DUMMYFUNCTION("""COMPUTED_VALUE"""),47.2536)</f>
        <v>47.2536</v>
      </c>
    </row>
    <row r="1717">
      <c r="A1717" s="1" t="s">
        <v>1716</v>
      </c>
      <c r="D1717" s="3">
        <f>IFERROR(__xludf.DUMMYFUNCTION("SPLIT(A1717, ""|"")"),43377.0)</f>
        <v>43377</v>
      </c>
      <c r="E1717" s="2">
        <f>IFERROR(__xludf.DUMMYFUNCTION("""COMPUTED_VALUE"""),1679253.0)</f>
        <v>1679253</v>
      </c>
      <c r="F1717" s="2">
        <f>IFERROR(__xludf.DUMMYFUNCTION("""COMPUTED_VALUE"""),4817732.0)</f>
        <v>4817732</v>
      </c>
      <c r="G1717" s="2">
        <f>IFERROR(__xludf.DUMMYFUNCTION("""COMPUTED_VALUE"""),26.4626)</f>
        <v>26.4626</v>
      </c>
    </row>
    <row r="1718">
      <c r="A1718" s="1" t="s">
        <v>1717</v>
      </c>
      <c r="D1718" s="3">
        <f>IFERROR(__xludf.DUMMYFUNCTION("SPLIT(A1718, ""|"")"),43377.0)</f>
        <v>43377</v>
      </c>
      <c r="E1718" s="2">
        <f>IFERROR(__xludf.DUMMYFUNCTION("""COMPUTED_VALUE"""),1065213.0)</f>
        <v>1065213</v>
      </c>
      <c r="F1718" s="2">
        <f>IFERROR(__xludf.DUMMYFUNCTION("""COMPUTED_VALUE"""),4816806.0)</f>
        <v>4816806</v>
      </c>
      <c r="G1718" s="2">
        <f>IFERROR(__xludf.DUMMYFUNCTION("""COMPUTED_VALUE"""),212.7616)</f>
        <v>212.7616</v>
      </c>
    </row>
    <row r="1719">
      <c r="A1719" s="1" t="s">
        <v>1718</v>
      </c>
      <c r="D1719" s="3">
        <f>IFERROR(__xludf.DUMMYFUNCTION("SPLIT(A1719, ""|"")"),43377.0)</f>
        <v>43377</v>
      </c>
      <c r="E1719" s="2">
        <f>IFERROR(__xludf.DUMMYFUNCTION("""COMPUTED_VALUE"""),1564293.0)</f>
        <v>1564293</v>
      </c>
      <c r="F1719" s="2">
        <f>IFERROR(__xludf.DUMMYFUNCTION("""COMPUTED_VALUE"""),4817988.0)</f>
        <v>4817988</v>
      </c>
      <c r="G1719" s="2">
        <f>IFERROR(__xludf.DUMMYFUNCTION("""COMPUTED_VALUE"""),38.413)</f>
        <v>38.413</v>
      </c>
    </row>
    <row r="1720">
      <c r="A1720" s="1" t="s">
        <v>1719</v>
      </c>
      <c r="D1720" s="3">
        <f>IFERROR(__xludf.DUMMYFUNCTION("SPLIT(A1720, ""|"")"),43377.0)</f>
        <v>43377</v>
      </c>
      <c r="E1720" s="2">
        <f>IFERROR(__xludf.DUMMYFUNCTION("""COMPUTED_VALUE"""),1678953.0)</f>
        <v>1678953</v>
      </c>
      <c r="F1720" s="2">
        <f>IFERROR(__xludf.DUMMYFUNCTION("""COMPUTED_VALUE"""),4816689.0)</f>
        <v>4816689</v>
      </c>
      <c r="G1720" s="2">
        <f>IFERROR(__xludf.DUMMYFUNCTION("""COMPUTED_VALUE"""),36.75)</f>
        <v>36.75</v>
      </c>
    </row>
    <row r="1721">
      <c r="A1721" s="1" t="s">
        <v>1720</v>
      </c>
      <c r="D1721" s="3">
        <f>IFERROR(__xludf.DUMMYFUNCTION("SPLIT(A1721, ""|"")"),43377.0)</f>
        <v>43377</v>
      </c>
      <c r="E1721" s="2">
        <f>IFERROR(__xludf.DUMMYFUNCTION("""COMPUTED_VALUE"""),1665633.0)</f>
        <v>1665633</v>
      </c>
      <c r="F1721" s="2">
        <f>IFERROR(__xludf.DUMMYFUNCTION("""COMPUTED_VALUE"""),4815923.0)</f>
        <v>4815923</v>
      </c>
      <c r="G1721" s="2">
        <f>IFERROR(__xludf.DUMMYFUNCTION("""COMPUTED_VALUE"""),59.0496)</f>
        <v>59.0496</v>
      </c>
    </row>
    <row r="1722">
      <c r="A1722" s="1" t="s">
        <v>1721</v>
      </c>
      <c r="D1722" s="3">
        <f>IFERROR(__xludf.DUMMYFUNCTION("SPLIT(A1722, ""|"")"),43377.0)</f>
        <v>43377</v>
      </c>
      <c r="E1722" s="2">
        <f>IFERROR(__xludf.DUMMYFUNCTION("""COMPUTED_VALUE"""),1595193.0)</f>
        <v>1595193</v>
      </c>
      <c r="F1722" s="2">
        <f>IFERROR(__xludf.DUMMYFUNCTION("""COMPUTED_VALUE"""),4817296.0)</f>
        <v>4817296</v>
      </c>
      <c r="G1722" s="2">
        <f>IFERROR(__xludf.DUMMYFUNCTION("""COMPUTED_VALUE"""),22.5585)</f>
        <v>22.5585</v>
      </c>
    </row>
    <row r="1723">
      <c r="A1723" s="1" t="s">
        <v>1722</v>
      </c>
      <c r="D1723" s="3">
        <f>IFERROR(__xludf.DUMMYFUNCTION("SPLIT(A1723, ""|"")"),43377.0)</f>
        <v>43377</v>
      </c>
      <c r="E1723" s="2">
        <f>IFERROR(__xludf.DUMMYFUNCTION("""COMPUTED_VALUE"""),1679043.0)</f>
        <v>1679043</v>
      </c>
      <c r="F1723" s="2">
        <f>IFERROR(__xludf.DUMMYFUNCTION("""COMPUTED_VALUE"""),4816988.0)</f>
        <v>4816988</v>
      </c>
      <c r="G1723" s="2">
        <f>IFERROR(__xludf.DUMMYFUNCTION("""COMPUTED_VALUE"""),28.6271)</f>
        <v>28.6271</v>
      </c>
    </row>
    <row r="1724">
      <c r="A1724" s="1" t="s">
        <v>1723</v>
      </c>
      <c r="D1724" s="3">
        <f>IFERROR(__xludf.DUMMYFUNCTION("SPLIT(A1724, ""|"")"),43122.0)</f>
        <v>43122</v>
      </c>
      <c r="E1724" s="2">
        <f>IFERROR(__xludf.DUMMYFUNCTION("""COMPUTED_VALUE"""),1510953.0)</f>
        <v>1510953</v>
      </c>
      <c r="F1724" s="2">
        <f>IFERROR(__xludf.DUMMYFUNCTION("""COMPUTED_VALUE"""),4154314.0)</f>
        <v>4154314</v>
      </c>
      <c r="G1724" s="2">
        <f>IFERROR(__xludf.DUMMYFUNCTION("""COMPUTED_VALUE"""),33.8292999999999)</f>
        <v>33.8293</v>
      </c>
    </row>
    <row r="1725">
      <c r="A1725" s="1" t="s">
        <v>1724</v>
      </c>
      <c r="D1725" s="3">
        <f>IFERROR(__xludf.DUMMYFUNCTION("SPLIT(A1725, ""|"")"),43122.0)</f>
        <v>43122</v>
      </c>
      <c r="E1725" s="2">
        <f>IFERROR(__xludf.DUMMYFUNCTION("""COMPUTED_VALUE"""),1214823.0)</f>
        <v>1214823</v>
      </c>
      <c r="F1725" s="2">
        <f>IFERROR(__xludf.DUMMYFUNCTION("""COMPUTED_VALUE"""),4153188.0)</f>
        <v>4153188</v>
      </c>
      <c r="G1725" s="2">
        <f>IFERROR(__xludf.DUMMYFUNCTION("""COMPUTED_VALUE"""),40.5271)</f>
        <v>40.5271</v>
      </c>
    </row>
    <row r="1726">
      <c r="A1726" s="1" t="s">
        <v>1725</v>
      </c>
      <c r="D1726" s="3">
        <f>IFERROR(__xludf.DUMMYFUNCTION("SPLIT(A1726, ""|"")"),43122.0)</f>
        <v>43122</v>
      </c>
      <c r="E1726" s="2">
        <f>IFERROR(__xludf.DUMMYFUNCTION("""COMPUTED_VALUE"""),1450893.0)</f>
        <v>1450893</v>
      </c>
      <c r="F1726" s="2">
        <f>IFERROR(__xludf.DUMMYFUNCTION("""COMPUTED_VALUE"""),4152337.0)</f>
        <v>4152337</v>
      </c>
      <c r="G1726" s="2">
        <f>IFERROR(__xludf.DUMMYFUNCTION("""COMPUTED_VALUE"""),65.6653)</f>
        <v>65.6653</v>
      </c>
    </row>
    <row r="1727">
      <c r="A1727" s="1" t="s">
        <v>1726</v>
      </c>
      <c r="D1727" s="3">
        <f>IFERROR(__xludf.DUMMYFUNCTION("SPLIT(A1727, ""|"")"),43122.0)</f>
        <v>43122</v>
      </c>
      <c r="E1727" s="2">
        <f>IFERROR(__xludf.DUMMYFUNCTION("""COMPUTED_VALUE"""),1470573.0)</f>
        <v>1470573</v>
      </c>
      <c r="F1727" s="2">
        <f>IFERROR(__xludf.DUMMYFUNCTION("""COMPUTED_VALUE"""),4155479.0)</f>
        <v>4155479</v>
      </c>
      <c r="G1727" s="2">
        <f>IFERROR(__xludf.DUMMYFUNCTION("""COMPUTED_VALUE"""),69.357)</f>
        <v>69.357</v>
      </c>
    </row>
    <row r="1728">
      <c r="A1728" s="1" t="s">
        <v>1727</v>
      </c>
      <c r="D1728" s="3">
        <f>IFERROR(__xludf.DUMMYFUNCTION("SPLIT(A1728, ""|"")"),43122.0)</f>
        <v>43122</v>
      </c>
      <c r="E1728" s="2">
        <f>IFERROR(__xludf.DUMMYFUNCTION("""COMPUTED_VALUE"""),1409583.0)</f>
        <v>1409583</v>
      </c>
      <c r="F1728" s="2">
        <f>IFERROR(__xludf.DUMMYFUNCTION("""COMPUTED_VALUE"""),4152536.0)</f>
        <v>4152536</v>
      </c>
      <c r="G1728" s="2">
        <f>IFERROR(__xludf.DUMMYFUNCTION("""COMPUTED_VALUE"""),77.4225)</f>
        <v>77.4225</v>
      </c>
    </row>
    <row r="1729">
      <c r="A1729" s="1" t="s">
        <v>1728</v>
      </c>
      <c r="D1729" s="3">
        <f>IFERROR(__xludf.DUMMYFUNCTION("SPLIT(A1729, ""|"")"),43122.0)</f>
        <v>43122</v>
      </c>
      <c r="E1729" s="2">
        <f>IFERROR(__xludf.DUMMYFUNCTION("""COMPUTED_VALUE"""),1510443.0)</f>
        <v>1510443</v>
      </c>
      <c r="F1729" s="2">
        <f>IFERROR(__xludf.DUMMYFUNCTION("""COMPUTED_VALUE"""),4152375.0)</f>
        <v>4152375</v>
      </c>
      <c r="G1729" s="2">
        <f>IFERROR(__xludf.DUMMYFUNCTION("""COMPUTED_VALUE"""),41.7041999999999)</f>
        <v>41.7042</v>
      </c>
    </row>
    <row r="1730">
      <c r="A1730" s="1" t="s">
        <v>1729</v>
      </c>
      <c r="D1730" s="3">
        <f>IFERROR(__xludf.DUMMYFUNCTION("SPLIT(A1730, ""|"")"),43378.0)</f>
        <v>43378</v>
      </c>
      <c r="E1730" s="2">
        <f>IFERROR(__xludf.DUMMYFUNCTION("""COMPUTED_VALUE"""),413523.0)</f>
        <v>413523</v>
      </c>
      <c r="F1730" s="2">
        <f>IFERROR(__xludf.DUMMYFUNCTION("""COMPUTED_VALUE"""),4819190.0)</f>
        <v>4819190</v>
      </c>
      <c r="G1730" s="2">
        <f>IFERROR(__xludf.DUMMYFUNCTION("""COMPUTED_VALUE"""),184.771)</f>
        <v>184.771</v>
      </c>
    </row>
    <row r="1731">
      <c r="A1731" s="1" t="s">
        <v>1730</v>
      </c>
      <c r="D1731" s="3">
        <f>IFERROR(__xludf.DUMMYFUNCTION("SPLIT(A1731, ""|"")"),43378.0)</f>
        <v>43378</v>
      </c>
      <c r="E1731" s="2">
        <f>IFERROR(__xludf.DUMMYFUNCTION("""COMPUTED_VALUE"""),1273263.0)</f>
        <v>1273263</v>
      </c>
      <c r="F1731" s="2">
        <f>IFERROR(__xludf.DUMMYFUNCTION("""COMPUTED_VALUE"""),4819544.0)</f>
        <v>4819544</v>
      </c>
      <c r="G1731" s="2">
        <f>IFERROR(__xludf.DUMMYFUNCTION("""COMPUTED_VALUE"""),37.7221)</f>
        <v>37.7221</v>
      </c>
    </row>
    <row r="1732">
      <c r="A1732" s="1" t="s">
        <v>1731</v>
      </c>
      <c r="D1732" s="3">
        <f>IFERROR(__xludf.DUMMYFUNCTION("SPLIT(A1732, ""|"")"),43378.0)</f>
        <v>43378</v>
      </c>
      <c r="E1732" s="2">
        <f>IFERROR(__xludf.DUMMYFUNCTION("""COMPUTED_VALUE"""),1496013.0)</f>
        <v>1496013</v>
      </c>
      <c r="F1732" s="2">
        <f>IFERROR(__xludf.DUMMYFUNCTION("""COMPUTED_VALUE"""),4818130.0)</f>
        <v>4818130</v>
      </c>
      <c r="G1732" s="2">
        <f>IFERROR(__xludf.DUMMYFUNCTION("""COMPUTED_VALUE"""),146.0421)</f>
        <v>146.0421</v>
      </c>
    </row>
    <row r="1733">
      <c r="A1733" s="1" t="s">
        <v>1732</v>
      </c>
      <c r="D1733" s="3">
        <f>IFERROR(__xludf.DUMMYFUNCTION("SPLIT(A1733, ""|"")"),43378.0)</f>
        <v>43378</v>
      </c>
      <c r="E1733" s="2">
        <f>IFERROR(__xludf.DUMMYFUNCTION("""COMPUTED_VALUE"""),1611213.0)</f>
        <v>1611213</v>
      </c>
      <c r="F1733" s="2">
        <f>IFERROR(__xludf.DUMMYFUNCTION("""COMPUTED_VALUE"""),4819620.0)</f>
        <v>4819620</v>
      </c>
      <c r="G1733" s="2">
        <f>IFERROR(__xludf.DUMMYFUNCTION("""COMPUTED_VALUE"""),46.1448)</f>
        <v>46.1448</v>
      </c>
    </row>
    <row r="1734">
      <c r="A1734" s="1" t="s">
        <v>1733</v>
      </c>
      <c r="D1734" s="3">
        <f>IFERROR(__xludf.DUMMYFUNCTION("SPLIT(A1734, ""|"")"),43378.0)</f>
        <v>43378</v>
      </c>
      <c r="E1734" s="2">
        <f>IFERROR(__xludf.DUMMYFUNCTION("""COMPUTED_VALUE"""),481893.0)</f>
        <v>481893</v>
      </c>
      <c r="F1734" s="2">
        <f>IFERROR(__xludf.DUMMYFUNCTION("""COMPUTED_VALUE"""),4818819.0)</f>
        <v>4818819</v>
      </c>
      <c r="G1734" s="2">
        <f>IFERROR(__xludf.DUMMYFUNCTION("""COMPUTED_VALUE"""),64.3061)</f>
        <v>64.3061</v>
      </c>
    </row>
    <row r="1735">
      <c r="A1735" s="1" t="s">
        <v>1734</v>
      </c>
      <c r="D1735" s="3">
        <f>IFERROR(__xludf.DUMMYFUNCTION("SPLIT(A1735, ""|"")"),43123.0)</f>
        <v>43123</v>
      </c>
      <c r="E1735" s="2">
        <f>IFERROR(__xludf.DUMMYFUNCTION("""COMPUTED_VALUE"""),1505493.0)</f>
        <v>1505493</v>
      </c>
      <c r="F1735" s="2">
        <f>IFERROR(__xludf.DUMMYFUNCTION("""COMPUTED_VALUE"""),4157746.0)</f>
        <v>4157746</v>
      </c>
      <c r="G1735" s="2">
        <f>IFERROR(__xludf.DUMMYFUNCTION("""COMPUTED_VALUE"""),27.5956)</f>
        <v>27.5956</v>
      </c>
    </row>
    <row r="1736">
      <c r="A1736" s="1" t="s">
        <v>1735</v>
      </c>
      <c r="D1736" s="3">
        <f>IFERROR(__xludf.DUMMYFUNCTION("SPLIT(A1736, ""|"")"),43123.0)</f>
        <v>43123</v>
      </c>
      <c r="E1736" s="2">
        <f>IFERROR(__xludf.DUMMYFUNCTION("""COMPUTED_VALUE"""),1405893.0)</f>
        <v>1405893</v>
      </c>
      <c r="F1736" s="2">
        <f>IFERROR(__xludf.DUMMYFUNCTION("""COMPUTED_VALUE"""),4157517.0)</f>
        <v>4157517</v>
      </c>
      <c r="G1736" s="2">
        <f>IFERROR(__xludf.DUMMYFUNCTION("""COMPUTED_VALUE"""),55.6633999999999)</f>
        <v>55.6634</v>
      </c>
    </row>
    <row r="1737">
      <c r="A1737" s="1" t="s">
        <v>1736</v>
      </c>
      <c r="D1737" s="3">
        <f>IFERROR(__xludf.DUMMYFUNCTION("SPLIT(A1737, ""|"")"),43123.0)</f>
        <v>43123</v>
      </c>
      <c r="E1737" s="2">
        <f>IFERROR(__xludf.DUMMYFUNCTION("""COMPUTED_VALUE"""),1121703.0)</f>
        <v>1121703</v>
      </c>
      <c r="F1737" s="2">
        <f>IFERROR(__xludf.DUMMYFUNCTION("""COMPUTED_VALUE"""),4156401.0)</f>
        <v>4156401</v>
      </c>
      <c r="G1737" s="2">
        <f>IFERROR(__xludf.DUMMYFUNCTION("""COMPUTED_VALUE"""),30.7868)</f>
        <v>30.7868</v>
      </c>
    </row>
    <row r="1738">
      <c r="A1738" s="1" t="s">
        <v>1737</v>
      </c>
      <c r="D1738" s="3">
        <f>IFERROR(__xludf.DUMMYFUNCTION("SPLIT(A1738, ""|"")"),43123.0)</f>
        <v>43123</v>
      </c>
      <c r="E1738" s="2">
        <f>IFERROR(__xludf.DUMMYFUNCTION("""COMPUTED_VALUE"""),1292223.0)</f>
        <v>1292223</v>
      </c>
      <c r="F1738" s="2">
        <f>IFERROR(__xludf.DUMMYFUNCTION("""COMPUTED_VALUE"""),4156506.0)</f>
        <v>4156506</v>
      </c>
      <c r="G1738" s="2">
        <f>IFERROR(__xludf.DUMMYFUNCTION("""COMPUTED_VALUE"""),37.3267)</f>
        <v>37.3267</v>
      </c>
    </row>
    <row r="1739">
      <c r="A1739" s="1" t="s">
        <v>1738</v>
      </c>
      <c r="D1739" s="3">
        <f>IFERROR(__xludf.DUMMYFUNCTION("SPLIT(A1739, ""|"")"),43123.0)</f>
        <v>43123</v>
      </c>
      <c r="E1739" s="2">
        <f>IFERROR(__xludf.DUMMYFUNCTION("""COMPUTED_VALUE"""),1038963.0)</f>
        <v>1038963</v>
      </c>
      <c r="F1739" s="2">
        <f>IFERROR(__xludf.DUMMYFUNCTION("""COMPUTED_VALUE"""),4157575.0)</f>
        <v>4157575</v>
      </c>
      <c r="G1739" s="2">
        <f>IFERROR(__xludf.DUMMYFUNCTION("""COMPUTED_VALUE"""),28.9)</f>
        <v>28.9</v>
      </c>
    </row>
    <row r="1740">
      <c r="A1740" s="1" t="s">
        <v>1739</v>
      </c>
      <c r="D1740" s="3">
        <f>IFERROR(__xludf.DUMMYFUNCTION("SPLIT(A1740, ""|"")"),43123.0)</f>
        <v>43123</v>
      </c>
      <c r="E1740" s="2">
        <f>IFERROR(__xludf.DUMMYFUNCTION("""COMPUTED_VALUE"""),1131483.0)</f>
        <v>1131483</v>
      </c>
      <c r="F1740" s="2">
        <f>IFERROR(__xludf.DUMMYFUNCTION("""COMPUTED_VALUE"""),4157568.0)</f>
        <v>4157568</v>
      </c>
      <c r="G1740" s="2">
        <f>IFERROR(__xludf.DUMMYFUNCTION("""COMPUTED_VALUE"""),38.6871)</f>
        <v>38.6871</v>
      </c>
    </row>
    <row r="1741">
      <c r="A1741" s="1" t="s">
        <v>1740</v>
      </c>
      <c r="D1741" s="3">
        <f>IFERROR(__xludf.DUMMYFUNCTION("SPLIT(A1741, ""|"")"),43123.0)</f>
        <v>43123</v>
      </c>
      <c r="E1741" s="2">
        <f>IFERROR(__xludf.DUMMYFUNCTION("""COMPUTED_VALUE"""),217743.0)</f>
        <v>217743</v>
      </c>
      <c r="F1741" s="2">
        <f>IFERROR(__xludf.DUMMYFUNCTION("""COMPUTED_VALUE"""),4157798.0)</f>
        <v>4157798</v>
      </c>
      <c r="G1741" s="2">
        <f>IFERROR(__xludf.DUMMYFUNCTION("""COMPUTED_VALUE"""),79.7158)</f>
        <v>79.7158</v>
      </c>
    </row>
    <row r="1742">
      <c r="A1742" s="1" t="s">
        <v>1741</v>
      </c>
      <c r="D1742" s="3">
        <f>IFERROR(__xludf.DUMMYFUNCTION("SPLIT(A1742, ""|"")"),43123.0)</f>
        <v>43123</v>
      </c>
      <c r="E1742" s="2">
        <f>IFERROR(__xludf.DUMMYFUNCTION("""COMPUTED_VALUE"""),231783.0)</f>
        <v>231783</v>
      </c>
      <c r="F1742" s="2">
        <f>IFERROR(__xludf.DUMMYFUNCTION("""COMPUTED_VALUE"""),4158440.0)</f>
        <v>4158440</v>
      </c>
      <c r="G1742" s="2">
        <f>IFERROR(__xludf.DUMMYFUNCTION("""COMPUTED_VALUE"""),112.517)</f>
        <v>112.517</v>
      </c>
    </row>
    <row r="1743">
      <c r="A1743" s="1" t="s">
        <v>1742</v>
      </c>
      <c r="D1743" s="3">
        <f>IFERROR(__xludf.DUMMYFUNCTION("SPLIT(A1743, ""|"")"),43123.0)</f>
        <v>43123</v>
      </c>
      <c r="E1743" s="2">
        <f>IFERROR(__xludf.DUMMYFUNCTION("""COMPUTED_VALUE"""),1427553.0)</f>
        <v>1427553</v>
      </c>
      <c r="F1743" s="2">
        <f>IFERROR(__xludf.DUMMYFUNCTION("""COMPUTED_VALUE"""),4157612.0)</f>
        <v>4157612</v>
      </c>
      <c r="G1743" s="2">
        <f>IFERROR(__xludf.DUMMYFUNCTION("""COMPUTED_VALUE"""),148.6792)</f>
        <v>148.6792</v>
      </c>
    </row>
    <row r="1744">
      <c r="A1744" s="1" t="s">
        <v>1743</v>
      </c>
      <c r="D1744" s="3">
        <f>IFERROR(__xludf.DUMMYFUNCTION("SPLIT(A1744, ""|"")"),43123.0)</f>
        <v>43123</v>
      </c>
      <c r="E1744" s="2">
        <f>IFERROR(__xludf.DUMMYFUNCTION("""COMPUTED_VALUE"""),1511763.0)</f>
        <v>1511763</v>
      </c>
      <c r="F1744" s="2">
        <f>IFERROR(__xludf.DUMMYFUNCTION("""COMPUTED_VALUE"""),4157546.0)</f>
        <v>4157546</v>
      </c>
      <c r="G1744" s="2">
        <f>IFERROR(__xludf.DUMMYFUNCTION("""COMPUTED_VALUE"""),20.75)</f>
        <v>20.75</v>
      </c>
    </row>
    <row r="1745">
      <c r="A1745" s="1" t="s">
        <v>1744</v>
      </c>
      <c r="D1745" s="3">
        <f>IFERROR(__xludf.DUMMYFUNCTION("SPLIT(A1745, ""|"")"),43123.0)</f>
        <v>43123</v>
      </c>
      <c r="E1745" s="2">
        <f>IFERROR(__xludf.DUMMYFUNCTION("""COMPUTED_VALUE"""),1511583.0)</f>
        <v>1511583</v>
      </c>
      <c r="F1745" s="2">
        <f>IFERROR(__xludf.DUMMYFUNCTION("""COMPUTED_VALUE"""),4156883.0)</f>
        <v>4156883</v>
      </c>
      <c r="G1745" s="2">
        <f>IFERROR(__xludf.DUMMYFUNCTION("""COMPUTED_VALUE"""),28.625)</f>
        <v>28.625</v>
      </c>
    </row>
    <row r="1746">
      <c r="A1746" s="1" t="s">
        <v>1745</v>
      </c>
      <c r="D1746" s="3">
        <f>IFERROR(__xludf.DUMMYFUNCTION("SPLIT(A1746, ""|"")"),43123.0)</f>
        <v>43123</v>
      </c>
      <c r="E1746" s="2">
        <f>IFERROR(__xludf.DUMMYFUNCTION("""COMPUTED_VALUE"""),1511853.0)</f>
        <v>1511853</v>
      </c>
      <c r="F1746" s="2">
        <f>IFERROR(__xludf.DUMMYFUNCTION("""COMPUTED_VALUE"""),4158243.0)</f>
        <v>4158243</v>
      </c>
      <c r="G1746" s="2">
        <f>IFERROR(__xludf.DUMMYFUNCTION("""COMPUTED_VALUE"""),73.2203)</f>
        <v>73.2203</v>
      </c>
    </row>
    <row r="1747">
      <c r="A1747" s="1" t="s">
        <v>1746</v>
      </c>
      <c r="D1747" s="3">
        <f>IFERROR(__xludf.DUMMYFUNCTION("SPLIT(A1747, ""|"")"),43379.0)</f>
        <v>43379</v>
      </c>
      <c r="E1747" s="2">
        <f>IFERROR(__xludf.DUMMYFUNCTION("""COMPUTED_VALUE"""),1389153.0)</f>
        <v>1389153</v>
      </c>
      <c r="F1747" s="2">
        <f>IFERROR(__xludf.DUMMYFUNCTION("""COMPUTED_VALUE"""),4821762.0)</f>
        <v>4821762</v>
      </c>
      <c r="G1747" s="2">
        <f>IFERROR(__xludf.DUMMYFUNCTION("""COMPUTED_VALUE"""),10.4167)</f>
        <v>10.4167</v>
      </c>
    </row>
    <row r="1748">
      <c r="A1748" s="1" t="s">
        <v>1747</v>
      </c>
      <c r="D1748" s="3">
        <f>IFERROR(__xludf.DUMMYFUNCTION("SPLIT(A1748, ""|"")"),43379.0)</f>
        <v>43379</v>
      </c>
      <c r="E1748" s="2">
        <f>IFERROR(__xludf.DUMMYFUNCTION("""COMPUTED_VALUE"""),1679673.0)</f>
        <v>1679673</v>
      </c>
      <c r="F1748" s="2">
        <f>IFERROR(__xludf.DUMMYFUNCTION("""COMPUTED_VALUE"""),4820620.0)</f>
        <v>4820620</v>
      </c>
      <c r="G1748" s="2">
        <f>IFERROR(__xludf.DUMMYFUNCTION("""COMPUTED_VALUE"""),60.2172999999999)</f>
        <v>60.2173</v>
      </c>
    </row>
    <row r="1749">
      <c r="A1749" s="1" t="s">
        <v>1748</v>
      </c>
      <c r="D1749" s="3">
        <f>IFERROR(__xludf.DUMMYFUNCTION("SPLIT(A1749, ""|"")"),43379.0)</f>
        <v>43379</v>
      </c>
      <c r="E1749" s="2">
        <f>IFERROR(__xludf.DUMMYFUNCTION("""COMPUTED_VALUE"""),463353.0)</f>
        <v>463353</v>
      </c>
      <c r="F1749" s="2">
        <f>IFERROR(__xludf.DUMMYFUNCTION("""COMPUTED_VALUE"""),4822659.0)</f>
        <v>4822659</v>
      </c>
      <c r="G1749" s="2">
        <f>IFERROR(__xludf.DUMMYFUNCTION("""COMPUTED_VALUE"""),78.6)</f>
        <v>78.6</v>
      </c>
    </row>
    <row r="1750">
      <c r="A1750" s="1" t="s">
        <v>1749</v>
      </c>
      <c r="D1750" s="3">
        <f>IFERROR(__xludf.DUMMYFUNCTION("SPLIT(A1750, ""|"")"),43379.0)</f>
        <v>43379</v>
      </c>
      <c r="E1750" s="2">
        <f>IFERROR(__xludf.DUMMYFUNCTION("""COMPUTED_VALUE"""),1503183.0)</f>
        <v>1503183</v>
      </c>
      <c r="F1750" s="2">
        <f>IFERROR(__xludf.DUMMYFUNCTION("""COMPUTED_VALUE"""),4821710.0)</f>
        <v>4821710</v>
      </c>
      <c r="G1750" s="2">
        <f>IFERROR(__xludf.DUMMYFUNCTION("""COMPUTED_VALUE"""),85.5662)</f>
        <v>85.5662</v>
      </c>
    </row>
    <row r="1751">
      <c r="A1751" s="1" t="s">
        <v>1750</v>
      </c>
      <c r="D1751" s="3">
        <f>IFERROR(__xludf.DUMMYFUNCTION("SPLIT(A1751, ""|"")"),43379.0)</f>
        <v>43379</v>
      </c>
      <c r="E1751" s="2">
        <f>IFERROR(__xludf.DUMMYFUNCTION("""COMPUTED_VALUE"""),1626093.0)</f>
        <v>1626093</v>
      </c>
      <c r="F1751" s="2">
        <f>IFERROR(__xludf.DUMMYFUNCTION("""COMPUTED_VALUE"""),4820868.0)</f>
        <v>4820868</v>
      </c>
      <c r="G1751" s="2">
        <f>IFERROR(__xludf.DUMMYFUNCTION("""COMPUTED_VALUE"""),93.1111)</f>
        <v>93.1111</v>
      </c>
    </row>
    <row r="1752">
      <c r="A1752" s="1" t="s">
        <v>1751</v>
      </c>
      <c r="D1752" s="3">
        <f>IFERROR(__xludf.DUMMYFUNCTION("SPLIT(A1752, ""|"")"),43379.0)</f>
        <v>43379</v>
      </c>
      <c r="E1752" s="2">
        <f>IFERROR(__xludf.DUMMYFUNCTION("""COMPUTED_VALUE"""),1680003.0)</f>
        <v>1680003</v>
      </c>
      <c r="F1752" s="2">
        <f>IFERROR(__xludf.DUMMYFUNCTION("""COMPUTED_VALUE"""),4820658.0)</f>
        <v>4820658</v>
      </c>
      <c r="G1752" s="2">
        <f>IFERROR(__xludf.DUMMYFUNCTION("""COMPUTED_VALUE"""),7.375)</f>
        <v>7.375</v>
      </c>
    </row>
    <row r="1753">
      <c r="A1753" s="1" t="s">
        <v>1752</v>
      </c>
      <c r="D1753" s="3">
        <f>IFERROR(__xludf.DUMMYFUNCTION("SPLIT(A1753, ""|"")"),43379.0)</f>
        <v>43379</v>
      </c>
      <c r="E1753" s="2">
        <f>IFERROR(__xludf.DUMMYFUNCTION("""COMPUTED_VALUE"""),1149063.0)</f>
        <v>1149063</v>
      </c>
      <c r="F1753" s="2">
        <f>IFERROR(__xludf.DUMMYFUNCTION("""COMPUTED_VALUE"""),4822210.0)</f>
        <v>4822210</v>
      </c>
      <c r="G1753" s="2">
        <f>IFERROR(__xludf.DUMMYFUNCTION("""COMPUTED_VALUE"""),86.4941)</f>
        <v>86.4941</v>
      </c>
    </row>
    <row r="1754">
      <c r="A1754" s="1" t="s">
        <v>1753</v>
      </c>
      <c r="D1754" s="3">
        <f>IFERROR(__xludf.DUMMYFUNCTION("SPLIT(A1754, ""|"")"),43124.0)</f>
        <v>43124</v>
      </c>
      <c r="E1754" s="2">
        <f>IFERROR(__xludf.DUMMYFUNCTION("""COMPUTED_VALUE"""),1269453.0)</f>
        <v>1269453</v>
      </c>
      <c r="F1754" s="2">
        <f>IFERROR(__xludf.DUMMYFUNCTION("""COMPUTED_VALUE"""),4159099.0)</f>
        <v>4159099</v>
      </c>
      <c r="G1754" s="2">
        <f>IFERROR(__xludf.DUMMYFUNCTION("""COMPUTED_VALUE"""),44.386)</f>
        <v>44.386</v>
      </c>
    </row>
    <row r="1755">
      <c r="A1755" s="1" t="s">
        <v>1754</v>
      </c>
      <c r="D1755" s="3">
        <f>IFERROR(__xludf.DUMMYFUNCTION("SPLIT(A1755, ""|"")"),43124.0)</f>
        <v>43124</v>
      </c>
      <c r="E1755" s="2">
        <f>IFERROR(__xludf.DUMMYFUNCTION("""COMPUTED_VALUE"""),1224573.0)</f>
        <v>1224573</v>
      </c>
      <c r="F1755" s="2">
        <f>IFERROR(__xludf.DUMMYFUNCTION("""COMPUTED_VALUE"""),4160995.0)</f>
        <v>4160995</v>
      </c>
      <c r="G1755" s="2">
        <f>IFERROR(__xludf.DUMMYFUNCTION("""COMPUTED_VALUE"""),31.5386)</f>
        <v>31.5386</v>
      </c>
    </row>
    <row r="1756">
      <c r="A1756" s="1" t="s">
        <v>1755</v>
      </c>
      <c r="D1756" s="3">
        <f>IFERROR(__xludf.DUMMYFUNCTION("SPLIT(A1756, ""|"")"),43124.0)</f>
        <v>43124</v>
      </c>
      <c r="E1756" s="2">
        <f>IFERROR(__xludf.DUMMYFUNCTION("""COMPUTED_VALUE"""),1416303.0)</f>
        <v>1416303</v>
      </c>
      <c r="F1756" s="2">
        <f>IFERROR(__xludf.DUMMYFUNCTION("""COMPUTED_VALUE"""),4158692.0)</f>
        <v>4158692</v>
      </c>
      <c r="G1756" s="2">
        <f>IFERROR(__xludf.DUMMYFUNCTION("""COMPUTED_VALUE"""),48.75)</f>
        <v>48.75</v>
      </c>
    </row>
    <row r="1757">
      <c r="A1757" s="1" t="s">
        <v>1756</v>
      </c>
      <c r="D1757" s="3">
        <f>IFERROR(__xludf.DUMMYFUNCTION("SPLIT(A1757, ""|"")"),43380.0)</f>
        <v>43380</v>
      </c>
      <c r="E1757" s="2">
        <f>IFERROR(__xludf.DUMMYFUNCTION("""COMPUTED_VALUE"""),1102863.0)</f>
        <v>1102863</v>
      </c>
      <c r="F1757" s="2">
        <f>IFERROR(__xludf.DUMMYFUNCTION("""COMPUTED_VALUE"""),4824578.0)</f>
        <v>4824578</v>
      </c>
      <c r="G1757" s="2">
        <f>IFERROR(__xludf.DUMMYFUNCTION("""COMPUTED_VALUE"""),13.0998)</f>
        <v>13.0998</v>
      </c>
    </row>
    <row r="1758">
      <c r="A1758" s="1" t="s">
        <v>1757</v>
      </c>
      <c r="D1758" s="3">
        <f>IFERROR(__xludf.DUMMYFUNCTION("SPLIT(A1758, ""|"")"),43380.0)</f>
        <v>43380</v>
      </c>
      <c r="E1758" s="2">
        <f>IFERROR(__xludf.DUMMYFUNCTION("""COMPUTED_VALUE"""),1679073.0)</f>
        <v>1679073</v>
      </c>
      <c r="F1758" s="2">
        <f>IFERROR(__xludf.DUMMYFUNCTION("""COMPUTED_VALUE"""),4827129.0)</f>
        <v>4827129</v>
      </c>
      <c r="G1758" s="2">
        <f>IFERROR(__xludf.DUMMYFUNCTION("""COMPUTED_VALUE"""),97.6772)</f>
        <v>97.6772</v>
      </c>
    </row>
    <row r="1759">
      <c r="A1759" s="1" t="s">
        <v>1758</v>
      </c>
      <c r="D1759" s="3">
        <f>IFERROR(__xludf.DUMMYFUNCTION("SPLIT(A1759, ""|"")"),43380.0)</f>
        <v>43380</v>
      </c>
      <c r="E1759" s="2">
        <f>IFERROR(__xludf.DUMMYFUNCTION("""COMPUTED_VALUE"""),1220073.0)</f>
        <v>1220073</v>
      </c>
      <c r="F1759" s="2">
        <f>IFERROR(__xludf.DUMMYFUNCTION("""COMPUTED_VALUE"""),4824609.0)</f>
        <v>4824609</v>
      </c>
      <c r="G1759" s="2">
        <f>IFERROR(__xludf.DUMMYFUNCTION("""COMPUTED_VALUE"""),115.540099999999)</f>
        <v>115.5401</v>
      </c>
    </row>
    <row r="1760">
      <c r="A1760" s="1" t="s">
        <v>1759</v>
      </c>
      <c r="D1760" s="3">
        <f>IFERROR(__xludf.DUMMYFUNCTION("SPLIT(A1760, ""|"")"),43380.0)</f>
        <v>43380</v>
      </c>
      <c r="E1760" s="2">
        <f>IFERROR(__xludf.DUMMYFUNCTION("""COMPUTED_VALUE"""),1678983.0)</f>
        <v>1678983</v>
      </c>
      <c r="F1760" s="2">
        <f>IFERROR(__xludf.DUMMYFUNCTION("""COMPUTED_VALUE"""),4826986.0)</f>
        <v>4826986</v>
      </c>
      <c r="G1760" s="2">
        <f>IFERROR(__xludf.DUMMYFUNCTION("""COMPUTED_VALUE"""),60.5013)</f>
        <v>60.5013</v>
      </c>
    </row>
    <row r="1761">
      <c r="A1761" s="1" t="s">
        <v>1760</v>
      </c>
      <c r="D1761" s="3">
        <f>IFERROR(__xludf.DUMMYFUNCTION("SPLIT(A1761, ""|"")"),43380.0)</f>
        <v>43380</v>
      </c>
      <c r="E1761" s="2">
        <f>IFERROR(__xludf.DUMMYFUNCTION("""COMPUTED_VALUE"""),1232733.0)</f>
        <v>1232733</v>
      </c>
      <c r="F1761" s="2">
        <f>IFERROR(__xludf.DUMMYFUNCTION("""COMPUTED_VALUE"""),4824287.0)</f>
        <v>4824287</v>
      </c>
      <c r="G1761" s="2">
        <f>IFERROR(__xludf.DUMMYFUNCTION("""COMPUTED_VALUE"""),157.1333)</f>
        <v>157.1333</v>
      </c>
    </row>
    <row r="1762">
      <c r="A1762" s="1" t="s">
        <v>1761</v>
      </c>
      <c r="D1762" s="3">
        <f>IFERROR(__xludf.DUMMYFUNCTION("SPLIT(A1762, ""|"")"),43380.0)</f>
        <v>43380</v>
      </c>
      <c r="E1762" s="2">
        <f>IFERROR(__xludf.DUMMYFUNCTION("""COMPUTED_VALUE"""),1318413.0)</f>
        <v>1318413</v>
      </c>
      <c r="F1762" s="2">
        <f>IFERROR(__xludf.DUMMYFUNCTION("""COMPUTED_VALUE"""),4824903.0)</f>
        <v>4824903</v>
      </c>
      <c r="G1762" s="2">
        <f>IFERROR(__xludf.DUMMYFUNCTION("""COMPUTED_VALUE"""),66.6707999999999)</f>
        <v>66.6708</v>
      </c>
    </row>
    <row r="1763">
      <c r="A1763" s="1" t="s">
        <v>1762</v>
      </c>
      <c r="D1763" s="3">
        <f>IFERROR(__xludf.DUMMYFUNCTION("SPLIT(A1763, ""|"")"),43380.0)</f>
        <v>43380</v>
      </c>
      <c r="E1763" s="2">
        <f>IFERROR(__xludf.DUMMYFUNCTION("""COMPUTED_VALUE"""),1204983.0)</f>
        <v>1204983</v>
      </c>
      <c r="F1763" s="2">
        <f>IFERROR(__xludf.DUMMYFUNCTION("""COMPUTED_VALUE"""),4825871.0)</f>
        <v>4825871</v>
      </c>
      <c r="G1763" s="2">
        <f>IFERROR(__xludf.DUMMYFUNCTION("""COMPUTED_VALUE"""),64.8209)</f>
        <v>64.8209</v>
      </c>
    </row>
    <row r="1764">
      <c r="A1764" s="1" t="s">
        <v>1763</v>
      </c>
      <c r="D1764" s="3">
        <f>IFERROR(__xludf.DUMMYFUNCTION("SPLIT(A1764, ""|"")"),43125.0)</f>
        <v>43125</v>
      </c>
      <c r="E1764" s="2">
        <f>IFERROR(__xludf.DUMMYFUNCTION("""COMPUTED_VALUE"""),1409553.0)</f>
        <v>1409553</v>
      </c>
      <c r="F1764" s="2">
        <f>IFERROR(__xludf.DUMMYFUNCTION("""COMPUTED_VALUE"""),4162643.0)</f>
        <v>4162643</v>
      </c>
      <c r="G1764" s="2">
        <f>IFERROR(__xludf.DUMMYFUNCTION("""COMPUTED_VALUE"""),65.8809)</f>
        <v>65.8809</v>
      </c>
    </row>
    <row r="1765">
      <c r="A1765" s="1" t="s">
        <v>1764</v>
      </c>
      <c r="D1765" s="3">
        <f>IFERROR(__xludf.DUMMYFUNCTION("SPLIT(A1765, ""|"")"),43125.0)</f>
        <v>43125</v>
      </c>
      <c r="E1765" s="2">
        <f>IFERROR(__xludf.DUMMYFUNCTION("""COMPUTED_VALUE"""),1422333.0)</f>
        <v>1422333</v>
      </c>
      <c r="F1765" s="2">
        <f>IFERROR(__xludf.DUMMYFUNCTION("""COMPUTED_VALUE"""),4161199.0)</f>
        <v>4161199</v>
      </c>
      <c r="G1765" s="2">
        <f>IFERROR(__xludf.DUMMYFUNCTION("""COMPUTED_VALUE"""),40.7463999999999)</f>
        <v>40.7464</v>
      </c>
    </row>
    <row r="1766">
      <c r="A1766" s="1" t="s">
        <v>1765</v>
      </c>
      <c r="D1766" s="3">
        <f>IFERROR(__xludf.DUMMYFUNCTION("SPLIT(A1766, ""|"")"),43125.0)</f>
        <v>43125</v>
      </c>
      <c r="E1766" s="2">
        <f>IFERROR(__xludf.DUMMYFUNCTION("""COMPUTED_VALUE"""),1144893.0)</f>
        <v>1144893</v>
      </c>
      <c r="F1766" s="2">
        <f>IFERROR(__xludf.DUMMYFUNCTION("""COMPUTED_VALUE"""),4161325.0)</f>
        <v>4161325</v>
      </c>
      <c r="G1766" s="2">
        <f>IFERROR(__xludf.DUMMYFUNCTION("""COMPUTED_VALUE"""),128.1583)</f>
        <v>128.1583</v>
      </c>
    </row>
    <row r="1767">
      <c r="A1767" s="1" t="s">
        <v>1766</v>
      </c>
      <c r="D1767" s="3">
        <f>IFERROR(__xludf.DUMMYFUNCTION("SPLIT(A1767, ""|"")"),43125.0)</f>
        <v>43125</v>
      </c>
      <c r="E1767" s="2">
        <f>IFERROR(__xludf.DUMMYFUNCTION("""COMPUTED_VALUE"""),1333293.0)</f>
        <v>1333293</v>
      </c>
      <c r="F1767" s="2">
        <f>IFERROR(__xludf.DUMMYFUNCTION("""COMPUTED_VALUE"""),4163345.0)</f>
        <v>4163345</v>
      </c>
      <c r="G1767" s="2">
        <f>IFERROR(__xludf.DUMMYFUNCTION("""COMPUTED_VALUE"""),36.1231)</f>
        <v>36.1231</v>
      </c>
    </row>
    <row r="1768">
      <c r="A1768" s="1" t="s">
        <v>1767</v>
      </c>
      <c r="D1768" s="3">
        <f>IFERROR(__xludf.DUMMYFUNCTION("SPLIT(A1768, ""|"")"),43125.0)</f>
        <v>43125</v>
      </c>
      <c r="E1768" s="2">
        <f>IFERROR(__xludf.DUMMYFUNCTION("""COMPUTED_VALUE"""),1234923.0)</f>
        <v>1234923</v>
      </c>
      <c r="F1768" s="2">
        <f>IFERROR(__xludf.DUMMYFUNCTION("""COMPUTED_VALUE"""),4161906.0)</f>
        <v>4161906</v>
      </c>
      <c r="G1768" s="2">
        <f>IFERROR(__xludf.DUMMYFUNCTION("""COMPUTED_VALUE"""),11.6595)</f>
        <v>11.6595</v>
      </c>
    </row>
    <row r="1769">
      <c r="A1769" s="1" t="s">
        <v>1768</v>
      </c>
      <c r="D1769" s="3">
        <f>IFERROR(__xludf.DUMMYFUNCTION("SPLIT(A1769, ""|"")"),43125.0)</f>
        <v>43125</v>
      </c>
      <c r="E1769" s="2">
        <f>IFERROR(__xludf.DUMMYFUNCTION("""COMPUTED_VALUE"""),1450893.0)</f>
        <v>1450893</v>
      </c>
      <c r="F1769" s="2">
        <f>IFERROR(__xludf.DUMMYFUNCTION("""COMPUTED_VALUE"""),4161633.0)</f>
        <v>4161633</v>
      </c>
      <c r="G1769" s="2">
        <f>IFERROR(__xludf.DUMMYFUNCTION("""COMPUTED_VALUE"""),155.2157)</f>
        <v>155.2157</v>
      </c>
    </row>
    <row r="1770">
      <c r="A1770" s="1" t="s">
        <v>1769</v>
      </c>
      <c r="D1770" s="3">
        <f>IFERROR(__xludf.DUMMYFUNCTION("SPLIT(A1770, ""|"")"),43125.0)</f>
        <v>43125</v>
      </c>
      <c r="E1770" s="2">
        <f>IFERROR(__xludf.DUMMYFUNCTION("""COMPUTED_VALUE"""),1455873.0)</f>
        <v>1455873</v>
      </c>
      <c r="F1770" s="2">
        <f>IFERROR(__xludf.DUMMYFUNCTION("""COMPUTED_VALUE"""),4161388.0)</f>
        <v>4161388</v>
      </c>
      <c r="G1770" s="2">
        <f>IFERROR(__xludf.DUMMYFUNCTION("""COMPUTED_VALUE"""),71.5121)</f>
        <v>71.5121</v>
      </c>
    </row>
    <row r="1771">
      <c r="A1771" s="1" t="s">
        <v>1770</v>
      </c>
      <c r="D1771" s="3">
        <f>IFERROR(__xludf.DUMMYFUNCTION("SPLIT(A1771, ""|"")"),43381.0)</f>
        <v>43381</v>
      </c>
      <c r="E1771" s="2">
        <f>IFERROR(__xludf.DUMMYFUNCTION("""COMPUTED_VALUE"""),1236333.0)</f>
        <v>1236333</v>
      </c>
      <c r="F1771" s="2">
        <f>IFERROR(__xludf.DUMMYFUNCTION("""COMPUTED_VALUE"""),4828818.0)</f>
        <v>4828818</v>
      </c>
      <c r="G1771" s="2">
        <f>IFERROR(__xludf.DUMMYFUNCTION("""COMPUTED_VALUE"""),81.4851)</f>
        <v>81.4851</v>
      </c>
    </row>
    <row r="1772">
      <c r="A1772" s="1" t="s">
        <v>1771</v>
      </c>
      <c r="D1772" s="3">
        <f>IFERROR(__xludf.DUMMYFUNCTION("SPLIT(A1772, ""|"")"),43381.0)</f>
        <v>43381</v>
      </c>
      <c r="E1772" s="2">
        <f>IFERROR(__xludf.DUMMYFUNCTION("""COMPUTED_VALUE"""),1262733.0)</f>
        <v>1262733</v>
      </c>
      <c r="F1772" s="2">
        <f>IFERROR(__xludf.DUMMYFUNCTION("""COMPUTED_VALUE"""),4829785.0)</f>
        <v>4829785</v>
      </c>
      <c r="G1772" s="2">
        <f>IFERROR(__xludf.DUMMYFUNCTION("""COMPUTED_VALUE"""),146.3932)</f>
        <v>146.3932</v>
      </c>
    </row>
    <row r="1773">
      <c r="A1773" s="1" t="s">
        <v>1772</v>
      </c>
      <c r="D1773" s="3">
        <f>IFERROR(__xludf.DUMMYFUNCTION("SPLIT(A1773, ""|"")"),43381.0)</f>
        <v>43381</v>
      </c>
      <c r="E1773" s="2">
        <f>IFERROR(__xludf.DUMMYFUNCTION("""COMPUTED_VALUE"""),1682163.0)</f>
        <v>1682163</v>
      </c>
      <c r="F1773" s="2">
        <f>IFERROR(__xludf.DUMMYFUNCTION("""COMPUTED_VALUE"""),4828651.0)</f>
        <v>4828651</v>
      </c>
      <c r="G1773" s="2">
        <f>IFERROR(__xludf.DUMMYFUNCTION("""COMPUTED_VALUE"""),45.2969)</f>
        <v>45.2969</v>
      </c>
    </row>
    <row r="1774">
      <c r="A1774" s="1" t="s">
        <v>1773</v>
      </c>
      <c r="D1774" s="3">
        <f>IFERROR(__xludf.DUMMYFUNCTION("SPLIT(A1774, ""|"")"),43381.0)</f>
        <v>43381</v>
      </c>
      <c r="E1774" s="2">
        <f>IFERROR(__xludf.DUMMYFUNCTION("""COMPUTED_VALUE"""),1681953.0)</f>
        <v>1681953</v>
      </c>
      <c r="F1774" s="2">
        <f>IFERROR(__xludf.DUMMYFUNCTION("""COMPUTED_VALUE"""),4828444.0)</f>
        <v>4828444</v>
      </c>
      <c r="G1774" s="2">
        <f>IFERROR(__xludf.DUMMYFUNCTION("""COMPUTED_VALUE"""),38.2082)</f>
        <v>38.2082</v>
      </c>
    </row>
    <row r="1775">
      <c r="A1775" s="1" t="s">
        <v>1774</v>
      </c>
      <c r="D1775" s="3">
        <f>IFERROR(__xludf.DUMMYFUNCTION("SPLIT(A1775, ""|"")"),43381.0)</f>
        <v>43381</v>
      </c>
      <c r="E1775" s="2">
        <f>IFERROR(__xludf.DUMMYFUNCTION("""COMPUTED_VALUE"""),1238283.0)</f>
        <v>1238283</v>
      </c>
      <c r="F1775" s="2">
        <f>IFERROR(__xludf.DUMMYFUNCTION("""COMPUTED_VALUE"""),4830078.0)</f>
        <v>4830078</v>
      </c>
      <c r="G1775" s="2">
        <f>IFERROR(__xludf.DUMMYFUNCTION("""COMPUTED_VALUE"""),106.6914)</f>
        <v>106.6914</v>
      </c>
    </row>
    <row r="1776">
      <c r="A1776" s="1" t="s">
        <v>1775</v>
      </c>
      <c r="D1776" s="3">
        <f>IFERROR(__xludf.DUMMYFUNCTION("SPLIT(A1776, ""|"")"),43381.0)</f>
        <v>43381</v>
      </c>
      <c r="E1776" s="2">
        <f>IFERROR(__xludf.DUMMYFUNCTION("""COMPUTED_VALUE"""),1525533.0)</f>
        <v>1525533</v>
      </c>
      <c r="F1776" s="2">
        <f>IFERROR(__xludf.DUMMYFUNCTION("""COMPUTED_VALUE"""),4829223.0)</f>
        <v>4829223</v>
      </c>
      <c r="G1776" s="2">
        <f>IFERROR(__xludf.DUMMYFUNCTION("""COMPUTED_VALUE"""),30.0553)</f>
        <v>30.0553</v>
      </c>
    </row>
    <row r="1777">
      <c r="A1777" s="1" t="s">
        <v>1776</v>
      </c>
      <c r="D1777" s="3">
        <f>IFERROR(__xludf.DUMMYFUNCTION("SPLIT(A1777, ""|"")"),43381.0)</f>
        <v>43381</v>
      </c>
      <c r="E1777" s="2">
        <f>IFERROR(__xludf.DUMMYFUNCTION("""COMPUTED_VALUE"""),147243.0)</f>
        <v>147243</v>
      </c>
      <c r="F1777" s="2">
        <f>IFERROR(__xludf.DUMMYFUNCTION("""COMPUTED_VALUE"""),4827565.0)</f>
        <v>4827565</v>
      </c>
      <c r="G1777" s="2">
        <f>IFERROR(__xludf.DUMMYFUNCTION("""COMPUTED_VALUE"""),85.3916)</f>
        <v>85.3916</v>
      </c>
    </row>
    <row r="1778">
      <c r="A1778" s="1" t="s">
        <v>1777</v>
      </c>
      <c r="D1778" s="3">
        <f>IFERROR(__xludf.DUMMYFUNCTION("SPLIT(A1778, ""|"")"),43381.0)</f>
        <v>43381</v>
      </c>
      <c r="E1778" s="2">
        <f>IFERROR(__xludf.DUMMYFUNCTION("""COMPUTED_VALUE"""),1650513.0)</f>
        <v>1650513</v>
      </c>
      <c r="F1778" s="2">
        <f>IFERROR(__xludf.DUMMYFUNCTION("""COMPUTED_VALUE"""),4829970.0)</f>
        <v>4829970</v>
      </c>
      <c r="G1778" s="2">
        <f>IFERROR(__xludf.DUMMYFUNCTION("""COMPUTED_VALUE"""),43.7419)</f>
        <v>43.7419</v>
      </c>
    </row>
    <row r="1779">
      <c r="A1779" s="1" t="s">
        <v>1778</v>
      </c>
      <c r="D1779" s="3">
        <f>IFERROR(__xludf.DUMMYFUNCTION("SPLIT(A1779, ""|"")"),43381.0)</f>
        <v>43381</v>
      </c>
      <c r="E1779" s="2">
        <f>IFERROR(__xludf.DUMMYFUNCTION("""COMPUTED_VALUE"""),1682313.0)</f>
        <v>1682313</v>
      </c>
      <c r="F1779" s="2">
        <f>IFERROR(__xludf.DUMMYFUNCTION("""COMPUTED_VALUE"""),4829016.0)</f>
        <v>4829016</v>
      </c>
      <c r="G1779" s="2">
        <f>IFERROR(__xludf.DUMMYFUNCTION("""COMPUTED_VALUE"""),42.1021999999999)</f>
        <v>42.1022</v>
      </c>
    </row>
    <row r="1780">
      <c r="A1780" s="1" t="s">
        <v>1779</v>
      </c>
      <c r="D1780" s="3">
        <f>IFERROR(__xludf.DUMMYFUNCTION("SPLIT(A1780, ""|"")"),43126.0)</f>
        <v>43126</v>
      </c>
      <c r="E1780" s="2">
        <f>IFERROR(__xludf.DUMMYFUNCTION("""COMPUTED_VALUE"""),1513533.0)</f>
        <v>1513533</v>
      </c>
      <c r="F1780" s="2">
        <f>IFERROR(__xludf.DUMMYFUNCTION("""COMPUTED_VALUE"""),4163890.0)</f>
        <v>4163890</v>
      </c>
      <c r="G1780" s="2">
        <f>IFERROR(__xludf.DUMMYFUNCTION("""COMPUTED_VALUE"""),37.0502)</f>
        <v>37.0502</v>
      </c>
    </row>
    <row r="1781">
      <c r="A1781" s="1" t="s">
        <v>1780</v>
      </c>
      <c r="D1781" s="3">
        <f>IFERROR(__xludf.DUMMYFUNCTION("SPLIT(A1781, ""|"")"),43382.0)</f>
        <v>43382</v>
      </c>
      <c r="E1781" s="2">
        <f>IFERROR(__xludf.DUMMYFUNCTION("""COMPUTED_VALUE"""),1594203.0)</f>
        <v>1594203</v>
      </c>
      <c r="F1781" s="2">
        <f>IFERROR(__xludf.DUMMYFUNCTION("""COMPUTED_VALUE"""),4832430.0)</f>
        <v>4832430</v>
      </c>
      <c r="G1781" s="2">
        <f>IFERROR(__xludf.DUMMYFUNCTION("""COMPUTED_VALUE"""),114.3476)</f>
        <v>114.3476</v>
      </c>
    </row>
    <row r="1782">
      <c r="A1782" s="1" t="s">
        <v>1781</v>
      </c>
      <c r="D1782" s="3">
        <f>IFERROR(__xludf.DUMMYFUNCTION("SPLIT(A1782, ""|"")"),43382.0)</f>
        <v>43382</v>
      </c>
      <c r="E1782" s="2">
        <f>IFERROR(__xludf.DUMMYFUNCTION("""COMPUTED_VALUE"""),1626933.0)</f>
        <v>1626933</v>
      </c>
      <c r="F1782" s="2">
        <f>IFERROR(__xludf.DUMMYFUNCTION("""COMPUTED_VALUE"""),4832444.0)</f>
        <v>4832444</v>
      </c>
      <c r="G1782" s="2">
        <f>IFERROR(__xludf.DUMMYFUNCTION("""COMPUTED_VALUE"""),50.9115)</f>
        <v>50.9115</v>
      </c>
    </row>
    <row r="1783">
      <c r="A1783" s="1" t="s">
        <v>1782</v>
      </c>
      <c r="D1783" s="3">
        <f>IFERROR(__xludf.DUMMYFUNCTION("SPLIT(A1783, ""|"")"),43382.0)</f>
        <v>43382</v>
      </c>
      <c r="E1783" s="2">
        <f>IFERROR(__xludf.DUMMYFUNCTION("""COMPUTED_VALUE"""),1436763.0)</f>
        <v>1436763</v>
      </c>
      <c r="F1783" s="2">
        <f>IFERROR(__xludf.DUMMYFUNCTION("""COMPUTED_VALUE"""),4833142.0)</f>
        <v>4833142</v>
      </c>
      <c r="G1783" s="2">
        <f>IFERROR(__xludf.DUMMYFUNCTION("""COMPUTED_VALUE"""),115.939)</f>
        <v>115.939</v>
      </c>
    </row>
    <row r="1784">
      <c r="A1784" s="1" t="s">
        <v>1783</v>
      </c>
      <c r="D1784" s="3">
        <f>IFERROR(__xludf.DUMMYFUNCTION("SPLIT(A1784, ""|"")"),43382.0)</f>
        <v>43382</v>
      </c>
      <c r="E1784" s="2">
        <f>IFERROR(__xludf.DUMMYFUNCTION("""COMPUTED_VALUE"""),156393.0)</f>
        <v>156393</v>
      </c>
      <c r="F1784" s="2">
        <f>IFERROR(__xludf.DUMMYFUNCTION("""COMPUTED_VALUE"""),4831401.0)</f>
        <v>4831401</v>
      </c>
      <c r="G1784" s="2">
        <f>IFERROR(__xludf.DUMMYFUNCTION("""COMPUTED_VALUE"""),56.8057)</f>
        <v>56.8057</v>
      </c>
    </row>
    <row r="1785">
      <c r="A1785" s="1" t="s">
        <v>1784</v>
      </c>
      <c r="D1785" s="3">
        <f>IFERROR(__xludf.DUMMYFUNCTION("SPLIT(A1785, ""|"")"),43382.0)</f>
        <v>43382</v>
      </c>
      <c r="E1785" s="2">
        <f>IFERROR(__xludf.DUMMYFUNCTION("""COMPUTED_VALUE"""),1128333.0)</f>
        <v>1128333</v>
      </c>
      <c r="F1785" s="2">
        <f>IFERROR(__xludf.DUMMYFUNCTION("""COMPUTED_VALUE"""),4830942.0)</f>
        <v>4830942</v>
      </c>
      <c r="G1785" s="2">
        <f>IFERROR(__xludf.DUMMYFUNCTION("""COMPUTED_VALUE"""),77.3102)</f>
        <v>77.3102</v>
      </c>
    </row>
    <row r="1786">
      <c r="A1786" s="1" t="s">
        <v>1785</v>
      </c>
      <c r="D1786" s="3">
        <f>IFERROR(__xludf.DUMMYFUNCTION("SPLIT(A1786, ""|"")"),43382.0)</f>
        <v>43382</v>
      </c>
      <c r="E1786" s="2">
        <f>IFERROR(__xludf.DUMMYFUNCTION("""COMPUTED_VALUE"""),444303.0)</f>
        <v>444303</v>
      </c>
      <c r="F1786" s="2">
        <f>IFERROR(__xludf.DUMMYFUNCTION("""COMPUTED_VALUE"""),4831453.0)</f>
        <v>4831453</v>
      </c>
      <c r="G1786" s="2">
        <f>IFERROR(__xludf.DUMMYFUNCTION("""COMPUTED_VALUE"""),60.0845)</f>
        <v>60.0845</v>
      </c>
    </row>
    <row r="1787">
      <c r="A1787" s="1" t="s">
        <v>1786</v>
      </c>
      <c r="D1787" s="3">
        <f>IFERROR(__xludf.DUMMYFUNCTION("SPLIT(A1787, ""|"")"),43382.0)</f>
        <v>43382</v>
      </c>
      <c r="E1787" s="2">
        <f>IFERROR(__xludf.DUMMYFUNCTION("""COMPUTED_VALUE"""),1319343.0)</f>
        <v>1319343</v>
      </c>
      <c r="F1787" s="2">
        <f>IFERROR(__xludf.DUMMYFUNCTION("""COMPUTED_VALUE"""),4832463.0)</f>
        <v>4832463</v>
      </c>
      <c r="G1787" s="2">
        <f>IFERROR(__xludf.DUMMYFUNCTION("""COMPUTED_VALUE"""),40.5665)</f>
        <v>40.5665</v>
      </c>
    </row>
    <row r="1788">
      <c r="A1788" s="1" t="s">
        <v>1787</v>
      </c>
      <c r="D1788" s="3">
        <f>IFERROR(__xludf.DUMMYFUNCTION("SPLIT(A1788, ""|"")"),43382.0)</f>
        <v>43382</v>
      </c>
      <c r="E1788" s="2">
        <f>IFERROR(__xludf.DUMMYFUNCTION("""COMPUTED_VALUE"""),1611873.0)</f>
        <v>1611873</v>
      </c>
      <c r="F1788" s="2">
        <f>IFERROR(__xludf.DUMMYFUNCTION("""COMPUTED_VALUE"""),4831744.0)</f>
        <v>4831744</v>
      </c>
      <c r="G1788" s="2">
        <f>IFERROR(__xludf.DUMMYFUNCTION("""COMPUTED_VALUE"""),62.0417)</f>
        <v>62.0417</v>
      </c>
    </row>
    <row r="1789">
      <c r="A1789" s="1" t="s">
        <v>1788</v>
      </c>
      <c r="D1789" s="3">
        <f>IFERROR(__xludf.DUMMYFUNCTION("SPLIT(A1789, ""|"")"),43127.0)</f>
        <v>43127</v>
      </c>
      <c r="E1789" s="2">
        <f>IFERROR(__xludf.DUMMYFUNCTION("""COMPUTED_VALUE"""),1372023.0)</f>
        <v>1372023</v>
      </c>
      <c r="F1789" s="2">
        <f>IFERROR(__xludf.DUMMYFUNCTION("""COMPUTED_VALUE"""),4165666.0)</f>
        <v>4165666</v>
      </c>
      <c r="G1789" s="2">
        <f>IFERROR(__xludf.DUMMYFUNCTION("""COMPUTED_VALUE"""),49.8402)</f>
        <v>49.8402</v>
      </c>
    </row>
    <row r="1790">
      <c r="A1790" s="1" t="s">
        <v>1789</v>
      </c>
      <c r="D1790" s="3">
        <f>IFERROR(__xludf.DUMMYFUNCTION("SPLIT(A1790, ""|"")"),43127.0)</f>
        <v>43127</v>
      </c>
      <c r="E1790" s="2">
        <f>IFERROR(__xludf.DUMMYFUNCTION("""COMPUTED_VALUE"""),1514433.0)</f>
        <v>1514433</v>
      </c>
      <c r="F1790" s="2">
        <f>IFERROR(__xludf.DUMMYFUNCTION("""COMPUTED_VALUE"""),4166789.0)</f>
        <v>4166789</v>
      </c>
      <c r="G1790" s="2">
        <f>IFERROR(__xludf.DUMMYFUNCTION("""COMPUTED_VALUE"""),3.0)</f>
        <v>3</v>
      </c>
    </row>
    <row r="1791">
      <c r="A1791" s="1" t="s">
        <v>1790</v>
      </c>
      <c r="D1791" s="3">
        <f>IFERROR(__xludf.DUMMYFUNCTION("SPLIT(A1791, ""|"")"),43127.0)</f>
        <v>43127</v>
      </c>
      <c r="E1791" s="2">
        <f>IFERROR(__xludf.DUMMYFUNCTION("""COMPUTED_VALUE"""),1514463.0)</f>
        <v>1514463</v>
      </c>
      <c r="F1791" s="2">
        <f>IFERROR(__xludf.DUMMYFUNCTION("""COMPUTED_VALUE"""),4166834.0)</f>
        <v>4166834</v>
      </c>
      <c r="G1791" s="2">
        <f>IFERROR(__xludf.DUMMYFUNCTION("""COMPUTED_VALUE"""),75.6527)</f>
        <v>75.6527</v>
      </c>
    </row>
    <row r="1792">
      <c r="A1792" s="1" t="s">
        <v>1791</v>
      </c>
      <c r="D1792" s="3">
        <f>IFERROR(__xludf.DUMMYFUNCTION("SPLIT(A1792, ""|"")"),43127.0)</f>
        <v>43127</v>
      </c>
      <c r="E1792" s="2">
        <f>IFERROR(__xludf.DUMMYFUNCTION("""COMPUTED_VALUE"""),1271673.0)</f>
        <v>1271673</v>
      </c>
      <c r="F1792" s="2">
        <f>IFERROR(__xludf.DUMMYFUNCTION("""COMPUTED_VALUE"""),4167547.0)</f>
        <v>4167547</v>
      </c>
      <c r="G1792" s="2">
        <f>IFERROR(__xludf.DUMMYFUNCTION("""COMPUTED_VALUE"""),77.4555)</f>
        <v>77.4555</v>
      </c>
    </row>
    <row r="1793">
      <c r="A1793" s="1" t="s">
        <v>1792</v>
      </c>
      <c r="D1793" s="3">
        <f>IFERROR(__xludf.DUMMYFUNCTION("SPLIT(A1793, ""|"")"),43127.0)</f>
        <v>43127</v>
      </c>
      <c r="E1793" s="2">
        <f>IFERROR(__xludf.DUMMYFUNCTION("""COMPUTED_VALUE"""),1514643.0)</f>
        <v>1514643</v>
      </c>
      <c r="F1793" s="2">
        <f>IFERROR(__xludf.DUMMYFUNCTION("""COMPUTED_VALUE"""),4167379.0)</f>
        <v>4167379</v>
      </c>
      <c r="G1793" s="2">
        <f>IFERROR(__xludf.DUMMYFUNCTION("""COMPUTED_VALUE"""),35.0584)</f>
        <v>35.0584</v>
      </c>
    </row>
    <row r="1794">
      <c r="A1794" s="1" t="s">
        <v>1793</v>
      </c>
      <c r="D1794" s="3">
        <f>IFERROR(__xludf.DUMMYFUNCTION("SPLIT(A1794, ""|"")"),43383.0)</f>
        <v>43383</v>
      </c>
      <c r="E1794" s="2">
        <f>IFERROR(__xludf.DUMMYFUNCTION("""COMPUTED_VALUE"""),1684383.0)</f>
        <v>1684383</v>
      </c>
      <c r="F1794" s="2">
        <f>IFERROR(__xludf.DUMMYFUNCTION("""COMPUTED_VALUE"""),4836549.0)</f>
        <v>4836549</v>
      </c>
      <c r="G1794" s="2">
        <f>IFERROR(__xludf.DUMMYFUNCTION("""COMPUTED_VALUE"""),18.7135)</f>
        <v>18.7135</v>
      </c>
    </row>
    <row r="1795">
      <c r="A1795" s="1" t="s">
        <v>1794</v>
      </c>
      <c r="D1795" s="3">
        <f>IFERROR(__xludf.DUMMYFUNCTION("SPLIT(A1795, ""|"")"),43383.0)</f>
        <v>43383</v>
      </c>
      <c r="E1795" s="2">
        <f>IFERROR(__xludf.DUMMYFUNCTION("""COMPUTED_VALUE"""),484533.0)</f>
        <v>484533</v>
      </c>
      <c r="F1795" s="2">
        <f>IFERROR(__xludf.DUMMYFUNCTION("""COMPUTED_VALUE"""),4836091.0)</f>
        <v>4836091</v>
      </c>
      <c r="G1795" s="2">
        <f>IFERROR(__xludf.DUMMYFUNCTION("""COMPUTED_VALUE"""),11.0469)</f>
        <v>11.0469</v>
      </c>
    </row>
    <row r="1796">
      <c r="A1796" s="1" t="s">
        <v>1795</v>
      </c>
      <c r="D1796" s="3">
        <f>IFERROR(__xludf.DUMMYFUNCTION("SPLIT(A1796, ""|"")"),43383.0)</f>
        <v>43383</v>
      </c>
      <c r="E1796" s="2">
        <f>IFERROR(__xludf.DUMMYFUNCTION("""COMPUTED_VALUE"""),1683723.0)</f>
        <v>1683723</v>
      </c>
      <c r="F1796" s="2">
        <f>IFERROR(__xludf.DUMMYFUNCTION("""COMPUTED_VALUE"""),4834444.0)</f>
        <v>4834444</v>
      </c>
      <c r="G1796" s="2">
        <f>IFERROR(__xludf.DUMMYFUNCTION("""COMPUTED_VALUE"""),49.9284)</f>
        <v>49.9284</v>
      </c>
    </row>
    <row r="1797">
      <c r="A1797" s="1" t="s">
        <v>1796</v>
      </c>
      <c r="D1797" s="3">
        <f>IFERROR(__xludf.DUMMYFUNCTION("SPLIT(A1797, ""|"")"),43383.0)</f>
        <v>43383</v>
      </c>
      <c r="E1797" s="2">
        <f>IFERROR(__xludf.DUMMYFUNCTION("""COMPUTED_VALUE"""),1513473.0)</f>
        <v>1513473</v>
      </c>
      <c r="F1797" s="2">
        <f>IFERROR(__xludf.DUMMYFUNCTION("""COMPUTED_VALUE"""),4835439.0)</f>
        <v>4835439</v>
      </c>
      <c r="G1797" s="2">
        <f>IFERROR(__xludf.DUMMYFUNCTION("""COMPUTED_VALUE"""),79.7101)</f>
        <v>79.7101</v>
      </c>
    </row>
    <row r="1798">
      <c r="A1798" s="1" t="s">
        <v>1797</v>
      </c>
      <c r="D1798" s="3">
        <f>IFERROR(__xludf.DUMMYFUNCTION("SPLIT(A1798, ""|"")"),43383.0)</f>
        <v>43383</v>
      </c>
      <c r="E1798" s="2">
        <f>IFERROR(__xludf.DUMMYFUNCTION("""COMPUTED_VALUE"""),1237893.0)</f>
        <v>1237893</v>
      </c>
      <c r="F1798" s="2">
        <f>IFERROR(__xludf.DUMMYFUNCTION("""COMPUTED_VALUE"""),4835321.0)</f>
        <v>4835321</v>
      </c>
      <c r="G1798" s="2">
        <f>IFERROR(__xludf.DUMMYFUNCTION("""COMPUTED_VALUE"""),86.4847999999999)</f>
        <v>86.4848</v>
      </c>
    </row>
    <row r="1799">
      <c r="A1799" s="1" t="s">
        <v>1798</v>
      </c>
      <c r="D1799" s="3">
        <f>IFERROR(__xludf.DUMMYFUNCTION("SPLIT(A1799, ""|"")"),43128.0)</f>
        <v>43128</v>
      </c>
      <c r="E1799" s="2">
        <f>IFERROR(__xludf.DUMMYFUNCTION("""COMPUTED_VALUE"""),1515303.0)</f>
        <v>1515303</v>
      </c>
      <c r="F1799" s="2">
        <f>IFERROR(__xludf.DUMMYFUNCTION("""COMPUTED_VALUE"""),4169540.0)</f>
        <v>4169540</v>
      </c>
      <c r="G1799" s="2">
        <f>IFERROR(__xludf.DUMMYFUNCTION("""COMPUTED_VALUE"""),22.425)</f>
        <v>22.425</v>
      </c>
    </row>
    <row r="1800">
      <c r="A1800" s="1" t="s">
        <v>1799</v>
      </c>
      <c r="D1800" s="3">
        <f>IFERROR(__xludf.DUMMYFUNCTION("SPLIT(A1800, ""|"")"),43128.0)</f>
        <v>43128</v>
      </c>
      <c r="E1800" s="2">
        <f>IFERROR(__xludf.DUMMYFUNCTION("""COMPUTED_VALUE"""),1514883.0)</f>
        <v>1514883</v>
      </c>
      <c r="F1800" s="2">
        <f>IFERROR(__xludf.DUMMYFUNCTION("""COMPUTED_VALUE"""),4168185.0)</f>
        <v>4168185</v>
      </c>
      <c r="G1800" s="2">
        <f>IFERROR(__xludf.DUMMYFUNCTION("""COMPUTED_VALUE"""),36.784)</f>
        <v>36.784</v>
      </c>
    </row>
    <row r="1801">
      <c r="A1801" s="1" t="s">
        <v>1800</v>
      </c>
      <c r="D1801" s="3">
        <f>IFERROR(__xludf.DUMMYFUNCTION("SPLIT(A1801, ""|"")"),43128.0)</f>
        <v>43128</v>
      </c>
      <c r="E1801" s="2">
        <f>IFERROR(__xludf.DUMMYFUNCTION("""COMPUTED_VALUE"""),1478673.0)</f>
        <v>1478673</v>
      </c>
      <c r="F1801" s="2">
        <f>IFERROR(__xludf.DUMMYFUNCTION("""COMPUTED_VALUE"""),4169833.0)</f>
        <v>4169833</v>
      </c>
      <c r="G1801" s="2">
        <f>IFERROR(__xludf.DUMMYFUNCTION("""COMPUTED_VALUE"""),103.919699999999)</f>
        <v>103.9197</v>
      </c>
    </row>
    <row r="1802">
      <c r="A1802" s="1" t="s">
        <v>1801</v>
      </c>
      <c r="D1802" s="3">
        <f>IFERROR(__xludf.DUMMYFUNCTION("SPLIT(A1802, ""|"")"),43384.0)</f>
        <v>43384</v>
      </c>
      <c r="E1802" s="2">
        <f>IFERROR(__xludf.DUMMYFUNCTION("""COMPUTED_VALUE"""),1433553.0)</f>
        <v>1433553</v>
      </c>
      <c r="F1802" s="2">
        <f>IFERROR(__xludf.DUMMYFUNCTION("""COMPUTED_VALUE"""),4837599.0)</f>
        <v>4837599</v>
      </c>
      <c r="G1802" s="2">
        <f>IFERROR(__xludf.DUMMYFUNCTION("""COMPUTED_VALUE"""),111.4675)</f>
        <v>111.4675</v>
      </c>
    </row>
    <row r="1803">
      <c r="A1803" s="1" t="s">
        <v>1802</v>
      </c>
      <c r="D1803" s="3">
        <f>IFERROR(__xludf.DUMMYFUNCTION("SPLIT(A1803, ""|"")"),43384.0)</f>
        <v>43384</v>
      </c>
      <c r="E1803" s="2">
        <f>IFERROR(__xludf.DUMMYFUNCTION("""COMPUTED_VALUE"""),1207683.0)</f>
        <v>1207683</v>
      </c>
      <c r="F1803" s="2">
        <f>IFERROR(__xludf.DUMMYFUNCTION("""COMPUTED_VALUE"""),4838443.0)</f>
        <v>4838443</v>
      </c>
      <c r="G1803" s="2">
        <f>IFERROR(__xludf.DUMMYFUNCTION("""COMPUTED_VALUE"""),69.2426)</f>
        <v>69.2426</v>
      </c>
    </row>
    <row r="1804">
      <c r="A1804" s="1" t="s">
        <v>1803</v>
      </c>
      <c r="D1804" s="3">
        <f>IFERROR(__xludf.DUMMYFUNCTION("SPLIT(A1804, ""|"")"),43384.0)</f>
        <v>43384</v>
      </c>
      <c r="E1804" s="2">
        <f>IFERROR(__xludf.DUMMYFUNCTION("""COMPUTED_VALUE"""),1282833.0)</f>
        <v>1282833</v>
      </c>
      <c r="F1804" s="2">
        <f>IFERROR(__xludf.DUMMYFUNCTION("""COMPUTED_VALUE"""),4837367.0)</f>
        <v>4837367</v>
      </c>
      <c r="G1804" s="2">
        <f>IFERROR(__xludf.DUMMYFUNCTION("""COMPUTED_VALUE"""),83.6987)</f>
        <v>83.6987</v>
      </c>
    </row>
    <row r="1805">
      <c r="A1805" s="1" t="s">
        <v>1804</v>
      </c>
      <c r="D1805" s="3">
        <f>IFERROR(__xludf.DUMMYFUNCTION("SPLIT(A1805, ""|"")"),43384.0)</f>
        <v>43384</v>
      </c>
      <c r="E1805" s="2">
        <f>IFERROR(__xludf.DUMMYFUNCTION("""COMPUTED_VALUE"""),306303.0)</f>
        <v>306303</v>
      </c>
      <c r="F1805" s="2">
        <f>IFERROR(__xludf.DUMMYFUNCTION("""COMPUTED_VALUE"""),4839533.0)</f>
        <v>4839533</v>
      </c>
      <c r="G1805" s="2">
        <f>IFERROR(__xludf.DUMMYFUNCTION("""COMPUTED_VALUE"""),65.9433)</f>
        <v>65.9433</v>
      </c>
    </row>
    <row r="1806">
      <c r="A1806" s="1" t="s">
        <v>1805</v>
      </c>
      <c r="D1806" s="3">
        <f>IFERROR(__xludf.DUMMYFUNCTION("SPLIT(A1806, ""|"")"),43384.0)</f>
        <v>43384</v>
      </c>
      <c r="E1806" s="2">
        <f>IFERROR(__xludf.DUMMYFUNCTION("""COMPUTED_VALUE"""),1407333.0)</f>
        <v>1407333</v>
      </c>
      <c r="F1806" s="2">
        <f>IFERROR(__xludf.DUMMYFUNCTION("""COMPUTED_VALUE"""),4837052.0)</f>
        <v>4837052</v>
      </c>
      <c r="G1806" s="2">
        <f>IFERROR(__xludf.DUMMYFUNCTION("""COMPUTED_VALUE"""),97.2448)</f>
        <v>97.2448</v>
      </c>
    </row>
    <row r="1807">
      <c r="A1807" s="1" t="s">
        <v>1806</v>
      </c>
      <c r="D1807" s="3">
        <f>IFERROR(__xludf.DUMMYFUNCTION("SPLIT(A1807, ""|"")"),43384.0)</f>
        <v>43384</v>
      </c>
      <c r="E1807" s="2">
        <f>IFERROR(__xludf.DUMMYFUNCTION("""COMPUTED_VALUE"""),1332093.0)</f>
        <v>1332093</v>
      </c>
      <c r="F1807" s="2">
        <f>IFERROR(__xludf.DUMMYFUNCTION("""COMPUTED_VALUE"""),4839171.0)</f>
        <v>4839171</v>
      </c>
      <c r="G1807" s="2">
        <f>IFERROR(__xludf.DUMMYFUNCTION("""COMPUTED_VALUE"""),44.9862)</f>
        <v>44.9862</v>
      </c>
    </row>
    <row r="1808">
      <c r="A1808" s="1" t="s">
        <v>1807</v>
      </c>
      <c r="D1808" s="3">
        <f>IFERROR(__xludf.DUMMYFUNCTION("SPLIT(A1808, ""|"")"),43384.0)</f>
        <v>43384</v>
      </c>
      <c r="E1808" s="2">
        <f>IFERROR(__xludf.DUMMYFUNCTION("""COMPUTED_VALUE"""),1685133.0)</f>
        <v>1685133</v>
      </c>
      <c r="F1808" s="2">
        <f>IFERROR(__xludf.DUMMYFUNCTION("""COMPUTED_VALUE"""),4839488.0)</f>
        <v>4839488</v>
      </c>
      <c r="G1808" s="2">
        <f>IFERROR(__xludf.DUMMYFUNCTION("""COMPUTED_VALUE"""),62.3174)</f>
        <v>62.3174</v>
      </c>
    </row>
    <row r="1809">
      <c r="A1809" s="1" t="s">
        <v>1808</v>
      </c>
      <c r="D1809" s="3">
        <f>IFERROR(__xludf.DUMMYFUNCTION("SPLIT(A1809, ""|"")"),43384.0)</f>
        <v>43384</v>
      </c>
      <c r="E1809" s="2">
        <f>IFERROR(__xludf.DUMMYFUNCTION("""COMPUTED_VALUE"""),1519983.0)</f>
        <v>1519983</v>
      </c>
      <c r="F1809" s="2">
        <f>IFERROR(__xludf.DUMMYFUNCTION("""COMPUTED_VALUE"""),4837134.0)</f>
        <v>4837134</v>
      </c>
      <c r="G1809" s="2">
        <f>IFERROR(__xludf.DUMMYFUNCTION("""COMPUTED_VALUE"""),67.1509)</f>
        <v>67.1509</v>
      </c>
    </row>
    <row r="1810">
      <c r="A1810" s="1" t="s">
        <v>1809</v>
      </c>
      <c r="D1810" s="3">
        <f>IFERROR(__xludf.DUMMYFUNCTION("SPLIT(A1810, ""|"")"),43384.0)</f>
        <v>43384</v>
      </c>
      <c r="E1810" s="2">
        <f>IFERROR(__xludf.DUMMYFUNCTION("""COMPUTED_VALUE"""),1685163.0)</f>
        <v>1685163</v>
      </c>
      <c r="F1810" s="2">
        <f>IFERROR(__xludf.DUMMYFUNCTION("""COMPUTED_VALUE"""),4839542.0)</f>
        <v>4839542</v>
      </c>
      <c r="G1810" s="2">
        <f>IFERROR(__xludf.DUMMYFUNCTION("""COMPUTED_VALUE"""),12.6)</f>
        <v>12.6</v>
      </c>
    </row>
    <row r="1811">
      <c r="A1811" s="1" t="s">
        <v>1810</v>
      </c>
      <c r="D1811" s="3">
        <f>IFERROR(__xludf.DUMMYFUNCTION("SPLIT(A1811, ""|"")"),43384.0)</f>
        <v>43384</v>
      </c>
      <c r="E1811" s="2">
        <f>IFERROR(__xludf.DUMMYFUNCTION("""COMPUTED_VALUE"""),1207683.0)</f>
        <v>1207683</v>
      </c>
      <c r="F1811" s="2">
        <f>IFERROR(__xludf.DUMMYFUNCTION("""COMPUTED_VALUE"""),4838434.0)</f>
        <v>4838434</v>
      </c>
      <c r="G1811" s="2">
        <f>IFERROR(__xludf.DUMMYFUNCTION("""COMPUTED_VALUE"""),14.0833)</f>
        <v>14.0833</v>
      </c>
    </row>
    <row r="1812">
      <c r="A1812" s="1" t="s">
        <v>1811</v>
      </c>
      <c r="D1812" s="3">
        <f>IFERROR(__xludf.DUMMYFUNCTION("SPLIT(A1812, ""|"")"),43129.0)</f>
        <v>43129</v>
      </c>
      <c r="E1812" s="2">
        <f>IFERROR(__xludf.DUMMYFUNCTION("""COMPUTED_VALUE"""),1515963.0)</f>
        <v>1515963</v>
      </c>
      <c r="F1812" s="2">
        <f>IFERROR(__xludf.DUMMYFUNCTION("""COMPUTED_VALUE"""),4172099.0)</f>
        <v>4172099</v>
      </c>
      <c r="G1812" s="2">
        <f>IFERROR(__xludf.DUMMYFUNCTION("""COMPUTED_VALUE"""),10.3981)</f>
        <v>10.3981</v>
      </c>
    </row>
    <row r="1813">
      <c r="A1813" s="1" t="s">
        <v>1812</v>
      </c>
      <c r="D1813" s="3">
        <f>IFERROR(__xludf.DUMMYFUNCTION("SPLIT(A1813, ""|"")"),43129.0)</f>
        <v>43129</v>
      </c>
      <c r="E1813" s="2">
        <f>IFERROR(__xludf.DUMMYFUNCTION("""COMPUTED_VALUE"""),1426233.0)</f>
        <v>1426233</v>
      </c>
      <c r="F1813" s="2">
        <f>IFERROR(__xludf.DUMMYFUNCTION("""COMPUTED_VALUE"""),4172319.0)</f>
        <v>4172319</v>
      </c>
      <c r="G1813" s="2">
        <f>IFERROR(__xludf.DUMMYFUNCTION("""COMPUTED_VALUE"""),38.4916)</f>
        <v>38.4916</v>
      </c>
    </row>
    <row r="1814">
      <c r="A1814" s="1" t="s">
        <v>1813</v>
      </c>
      <c r="D1814" s="3">
        <f>IFERROR(__xludf.DUMMYFUNCTION("SPLIT(A1814, ""|"")"),43129.0)</f>
        <v>43129</v>
      </c>
      <c r="E1814" s="2">
        <f>IFERROR(__xludf.DUMMYFUNCTION("""COMPUTED_VALUE"""),1516263.0)</f>
        <v>1516263</v>
      </c>
      <c r="F1814" s="2">
        <f>IFERROR(__xludf.DUMMYFUNCTION("""COMPUTED_VALUE"""),4173317.0)</f>
        <v>4173317</v>
      </c>
      <c r="G1814" s="2">
        <f>IFERROR(__xludf.DUMMYFUNCTION("""COMPUTED_VALUE"""),36.5729)</f>
        <v>36.5729</v>
      </c>
    </row>
    <row r="1815">
      <c r="A1815" s="1" t="s">
        <v>1814</v>
      </c>
      <c r="D1815" s="3">
        <f>IFERROR(__xludf.DUMMYFUNCTION("SPLIT(A1815, ""|"")"),43129.0)</f>
        <v>43129</v>
      </c>
      <c r="E1815" s="2">
        <f>IFERROR(__xludf.DUMMYFUNCTION("""COMPUTED_VALUE"""),1350873.0)</f>
        <v>1350873</v>
      </c>
      <c r="F1815" s="2">
        <f>IFERROR(__xludf.DUMMYFUNCTION("""COMPUTED_VALUE"""),4173115.0)</f>
        <v>4173115</v>
      </c>
      <c r="G1815" s="2">
        <f>IFERROR(__xludf.DUMMYFUNCTION("""COMPUTED_VALUE"""),135.3328)</f>
        <v>135.3328</v>
      </c>
    </row>
    <row r="1816">
      <c r="A1816" s="1" t="s">
        <v>1815</v>
      </c>
      <c r="D1816" s="3">
        <f>IFERROR(__xludf.DUMMYFUNCTION("SPLIT(A1816, ""|"")"),43129.0)</f>
        <v>43129</v>
      </c>
      <c r="E1816" s="2">
        <f>IFERROR(__xludf.DUMMYFUNCTION("""COMPUTED_VALUE"""),257913.0)</f>
        <v>257913</v>
      </c>
      <c r="F1816" s="2">
        <f>IFERROR(__xludf.DUMMYFUNCTION("""COMPUTED_VALUE"""),4173349.0)</f>
        <v>4173349</v>
      </c>
      <c r="G1816" s="2">
        <f>IFERROR(__xludf.DUMMYFUNCTION("""COMPUTED_VALUE"""),167.7224)</f>
        <v>167.7224</v>
      </c>
    </row>
    <row r="1817">
      <c r="A1817" s="1" t="s">
        <v>1816</v>
      </c>
      <c r="D1817" s="3">
        <f>IFERROR(__xludf.DUMMYFUNCTION("SPLIT(A1817, ""|"")"),43129.0)</f>
        <v>43129</v>
      </c>
      <c r="E1817" s="2">
        <f>IFERROR(__xludf.DUMMYFUNCTION("""COMPUTED_VALUE"""),1515603.0)</f>
        <v>1515603</v>
      </c>
      <c r="F1817" s="2">
        <f>IFERROR(__xludf.DUMMYFUNCTION("""COMPUTED_VALUE"""),4170695.0)</f>
        <v>4170695</v>
      </c>
      <c r="G1817" s="2">
        <f>IFERROR(__xludf.DUMMYFUNCTION("""COMPUTED_VALUE"""),32.475)</f>
        <v>32.475</v>
      </c>
    </row>
    <row r="1818">
      <c r="A1818" s="1" t="s">
        <v>1817</v>
      </c>
      <c r="D1818" s="3">
        <f>IFERROR(__xludf.DUMMYFUNCTION("SPLIT(A1818, ""|"")"),43129.0)</f>
        <v>43129</v>
      </c>
      <c r="E1818" s="2">
        <f>IFERROR(__xludf.DUMMYFUNCTION("""COMPUTED_VALUE"""),1125063.0)</f>
        <v>1125063</v>
      </c>
      <c r="F1818" s="2">
        <f>IFERROR(__xludf.DUMMYFUNCTION("""COMPUTED_VALUE"""),4171872.0)</f>
        <v>4171872</v>
      </c>
      <c r="G1818" s="2">
        <f>IFERROR(__xludf.DUMMYFUNCTION("""COMPUTED_VALUE"""),107.2067)</f>
        <v>107.2067</v>
      </c>
    </row>
    <row r="1819">
      <c r="A1819" s="1" t="s">
        <v>1818</v>
      </c>
      <c r="D1819" s="3">
        <f>IFERROR(__xludf.DUMMYFUNCTION("SPLIT(A1819, ""|"")"),43129.0)</f>
        <v>43129</v>
      </c>
      <c r="E1819" s="2">
        <f>IFERROR(__xludf.DUMMYFUNCTION("""COMPUTED_VALUE"""),1096713.0)</f>
        <v>1096713</v>
      </c>
      <c r="F1819" s="2">
        <f>IFERROR(__xludf.DUMMYFUNCTION("""COMPUTED_VALUE"""),4172317.0)</f>
        <v>4172317</v>
      </c>
      <c r="G1819" s="2">
        <f>IFERROR(__xludf.DUMMYFUNCTION("""COMPUTED_VALUE"""),119.59)</f>
        <v>119.59</v>
      </c>
    </row>
    <row r="1820">
      <c r="A1820" s="1" t="s">
        <v>1819</v>
      </c>
      <c r="D1820" s="3">
        <f>IFERROR(__xludf.DUMMYFUNCTION("SPLIT(A1820, ""|"")"),43129.0)</f>
        <v>43129</v>
      </c>
      <c r="E1820" s="2">
        <f>IFERROR(__xludf.DUMMYFUNCTION("""COMPUTED_VALUE"""),1334313.0)</f>
        <v>1334313</v>
      </c>
      <c r="F1820" s="2">
        <f>IFERROR(__xludf.DUMMYFUNCTION("""COMPUTED_VALUE"""),4173382.0)</f>
        <v>4173382</v>
      </c>
      <c r="G1820" s="2">
        <f>IFERROR(__xludf.DUMMYFUNCTION("""COMPUTED_VALUE"""),50.7823)</f>
        <v>50.7823</v>
      </c>
    </row>
    <row r="1821">
      <c r="A1821" s="1" t="s">
        <v>1820</v>
      </c>
      <c r="D1821" s="3">
        <f>IFERROR(__xludf.DUMMYFUNCTION("SPLIT(A1821, ""|"")"),43129.0)</f>
        <v>43129</v>
      </c>
      <c r="E1821" s="2">
        <f>IFERROR(__xludf.DUMMYFUNCTION("""COMPUTED_VALUE"""),1185843.0)</f>
        <v>1185843</v>
      </c>
      <c r="F1821" s="2">
        <f>IFERROR(__xludf.DUMMYFUNCTION("""COMPUTED_VALUE"""),4172278.0)</f>
        <v>4172278</v>
      </c>
      <c r="G1821" s="2">
        <f>IFERROR(__xludf.DUMMYFUNCTION("""COMPUTED_VALUE"""),75.7659999999999)</f>
        <v>75.766</v>
      </c>
    </row>
    <row r="1822">
      <c r="A1822" s="1" t="s">
        <v>1821</v>
      </c>
      <c r="D1822" s="3">
        <f>IFERROR(__xludf.DUMMYFUNCTION("SPLIT(A1822, ""|"")"),43129.0)</f>
        <v>43129</v>
      </c>
      <c r="E1822" s="2">
        <f>IFERROR(__xludf.DUMMYFUNCTION("""COMPUTED_VALUE"""),1210233.0)</f>
        <v>1210233</v>
      </c>
      <c r="F1822" s="2">
        <f>IFERROR(__xludf.DUMMYFUNCTION("""COMPUTED_VALUE"""),4171695.0)</f>
        <v>4171695</v>
      </c>
      <c r="G1822" s="2">
        <f>IFERROR(__xludf.DUMMYFUNCTION("""COMPUTED_VALUE"""),62.0201)</f>
        <v>62.0201</v>
      </c>
    </row>
    <row r="1823">
      <c r="A1823" s="1" t="s">
        <v>1822</v>
      </c>
      <c r="D1823" s="3">
        <f>IFERROR(__xludf.DUMMYFUNCTION("SPLIT(A1823, ""|"")"),43129.0)</f>
        <v>43129</v>
      </c>
      <c r="E1823" s="2">
        <f>IFERROR(__xludf.DUMMYFUNCTION("""COMPUTED_VALUE"""),1516233.0)</f>
        <v>1516233</v>
      </c>
      <c r="F1823" s="2">
        <f>IFERROR(__xludf.DUMMYFUNCTION("""COMPUTED_VALUE"""),4173166.0)</f>
        <v>4173166</v>
      </c>
      <c r="G1823" s="2">
        <f>IFERROR(__xludf.DUMMYFUNCTION("""COMPUTED_VALUE"""),34.2254)</f>
        <v>34.2254</v>
      </c>
    </row>
    <row r="1824">
      <c r="A1824" s="1" t="s">
        <v>1823</v>
      </c>
      <c r="D1824" s="3">
        <f>IFERROR(__xludf.DUMMYFUNCTION("SPLIT(A1824, ""|"")"),43129.0)</f>
        <v>43129</v>
      </c>
      <c r="E1824" s="2">
        <f>IFERROR(__xludf.DUMMYFUNCTION("""COMPUTED_VALUE"""),1272693.0)</f>
        <v>1272693</v>
      </c>
      <c r="F1824" s="2">
        <f>IFERROR(__xludf.DUMMYFUNCTION("""COMPUTED_VALUE"""),4170850.0)</f>
        <v>4170850</v>
      </c>
      <c r="G1824" s="2">
        <f>IFERROR(__xludf.DUMMYFUNCTION("""COMPUTED_VALUE"""),119.78)</f>
        <v>119.78</v>
      </c>
    </row>
    <row r="1825">
      <c r="A1825" s="1" t="s">
        <v>1824</v>
      </c>
      <c r="D1825" s="3">
        <f>IFERROR(__xludf.DUMMYFUNCTION("SPLIT(A1825, ""|"")"),43129.0)</f>
        <v>43129</v>
      </c>
      <c r="E1825" s="2">
        <f>IFERROR(__xludf.DUMMYFUNCTION("""COMPUTED_VALUE"""),1495923.0)</f>
        <v>1495923</v>
      </c>
      <c r="F1825" s="2">
        <f>IFERROR(__xludf.DUMMYFUNCTION("""COMPUTED_VALUE"""),4172318.0)</f>
        <v>4172318</v>
      </c>
      <c r="G1825" s="2">
        <f>IFERROR(__xludf.DUMMYFUNCTION("""COMPUTED_VALUE"""),34.3275)</f>
        <v>34.3275</v>
      </c>
    </row>
    <row r="1826">
      <c r="A1826" s="1" t="s">
        <v>1825</v>
      </c>
      <c r="D1826" s="3">
        <f>IFERROR(__xludf.DUMMYFUNCTION("SPLIT(A1826, ""|"")"),43129.0)</f>
        <v>43129</v>
      </c>
      <c r="E1826" s="2">
        <f>IFERROR(__xludf.DUMMYFUNCTION("""COMPUTED_VALUE"""),1157373.0)</f>
        <v>1157373</v>
      </c>
      <c r="F1826" s="2">
        <f>IFERROR(__xludf.DUMMYFUNCTION("""COMPUTED_VALUE"""),4173430.0)</f>
        <v>4173430</v>
      </c>
      <c r="G1826" s="2">
        <f>IFERROR(__xludf.DUMMYFUNCTION("""COMPUTED_VALUE"""),64.2654)</f>
        <v>64.2654</v>
      </c>
    </row>
    <row r="1827">
      <c r="A1827" s="1" t="s">
        <v>1826</v>
      </c>
      <c r="D1827" s="3">
        <f>IFERROR(__xludf.DUMMYFUNCTION("SPLIT(A1827, ""|"")"),43129.0)</f>
        <v>43129</v>
      </c>
      <c r="E1827" s="2">
        <f>IFERROR(__xludf.DUMMYFUNCTION("""COMPUTED_VALUE"""),306753.0)</f>
        <v>306753</v>
      </c>
      <c r="F1827" s="2">
        <f>IFERROR(__xludf.DUMMYFUNCTION("""COMPUTED_VALUE"""),4172849.0)</f>
        <v>4172849</v>
      </c>
      <c r="G1827" s="2">
        <f>IFERROR(__xludf.DUMMYFUNCTION("""COMPUTED_VALUE"""),38.405)</f>
        <v>38.405</v>
      </c>
    </row>
    <row r="1828">
      <c r="A1828" s="1" t="s">
        <v>1827</v>
      </c>
      <c r="D1828" s="3">
        <f>IFERROR(__xludf.DUMMYFUNCTION("SPLIT(A1828, ""|"")"),43129.0)</f>
        <v>43129</v>
      </c>
      <c r="E1828" s="2">
        <f>IFERROR(__xludf.DUMMYFUNCTION("""COMPUTED_VALUE"""),1515993.0)</f>
        <v>1515993</v>
      </c>
      <c r="F1828" s="2">
        <f>IFERROR(__xludf.DUMMYFUNCTION("""COMPUTED_VALUE"""),4173418.0)</f>
        <v>4173418</v>
      </c>
      <c r="G1828" s="2">
        <f>IFERROR(__xludf.DUMMYFUNCTION("""COMPUTED_VALUE"""),111.5038)</f>
        <v>111.5038</v>
      </c>
    </row>
    <row r="1829">
      <c r="A1829" s="1" t="s">
        <v>1828</v>
      </c>
      <c r="D1829" s="3">
        <f>IFERROR(__xludf.DUMMYFUNCTION("SPLIT(A1829, ""|"")"),43385.0)</f>
        <v>43385</v>
      </c>
      <c r="E1829" s="2">
        <f>IFERROR(__xludf.DUMMYFUNCTION("""COMPUTED_VALUE"""),1677813.0)</f>
        <v>1677813</v>
      </c>
      <c r="F1829" s="2">
        <f>IFERROR(__xludf.DUMMYFUNCTION("""COMPUTED_VALUE"""),4840360.0)</f>
        <v>4840360</v>
      </c>
      <c r="G1829" s="2">
        <f>IFERROR(__xludf.DUMMYFUNCTION("""COMPUTED_VALUE"""),11.4331)</f>
        <v>11.4331</v>
      </c>
    </row>
    <row r="1830">
      <c r="A1830" s="1" t="s">
        <v>1829</v>
      </c>
      <c r="D1830" s="3">
        <f>IFERROR(__xludf.DUMMYFUNCTION("SPLIT(A1830, ""|"")"),43385.0)</f>
        <v>43385</v>
      </c>
      <c r="E1830" s="2">
        <f>IFERROR(__xludf.DUMMYFUNCTION("""COMPUTED_VALUE"""),1685493.0)</f>
        <v>1685493</v>
      </c>
      <c r="F1830" s="2">
        <f>IFERROR(__xludf.DUMMYFUNCTION("""COMPUTED_VALUE"""),4840700.0)</f>
        <v>4840700</v>
      </c>
      <c r="G1830" s="2">
        <f>IFERROR(__xludf.DUMMYFUNCTION("""COMPUTED_VALUE"""),32.3984)</f>
        <v>32.3984</v>
      </c>
    </row>
    <row r="1831">
      <c r="A1831" s="1" t="s">
        <v>1830</v>
      </c>
      <c r="D1831" s="3">
        <f>IFERROR(__xludf.DUMMYFUNCTION("SPLIT(A1831, ""|"")"),43130.0)</f>
        <v>43130</v>
      </c>
      <c r="E1831" s="2">
        <f>IFERROR(__xludf.DUMMYFUNCTION("""COMPUTED_VALUE"""),1081713.0)</f>
        <v>1081713</v>
      </c>
      <c r="F1831" s="2">
        <f>IFERROR(__xludf.DUMMYFUNCTION("""COMPUTED_VALUE"""),4175501.0)</f>
        <v>4175501</v>
      </c>
      <c r="G1831" s="2">
        <f>IFERROR(__xludf.DUMMYFUNCTION("""COMPUTED_VALUE"""),67.2304)</f>
        <v>67.2304</v>
      </c>
    </row>
    <row r="1832">
      <c r="A1832" s="1" t="s">
        <v>1831</v>
      </c>
      <c r="D1832" s="3">
        <f>IFERROR(__xludf.DUMMYFUNCTION("SPLIT(A1832, ""|"")"),43130.0)</f>
        <v>43130</v>
      </c>
      <c r="E1832" s="2">
        <f>IFERROR(__xludf.DUMMYFUNCTION("""COMPUTED_VALUE"""),1333413.0)</f>
        <v>1333413</v>
      </c>
      <c r="F1832" s="2">
        <f>IFERROR(__xludf.DUMMYFUNCTION("""COMPUTED_VALUE"""),4174145.0)</f>
        <v>4174145</v>
      </c>
      <c r="G1832" s="2">
        <f>IFERROR(__xludf.DUMMYFUNCTION("""COMPUTED_VALUE"""),83.3185)</f>
        <v>83.3185</v>
      </c>
    </row>
    <row r="1833">
      <c r="A1833" s="1" t="s">
        <v>1832</v>
      </c>
      <c r="D1833" s="3">
        <f>IFERROR(__xludf.DUMMYFUNCTION("SPLIT(A1833, ""|"")"),43386.0)</f>
        <v>43386</v>
      </c>
      <c r="E1833" s="2">
        <f>IFERROR(__xludf.DUMMYFUNCTION("""COMPUTED_VALUE"""),1686003.0)</f>
        <v>1686003</v>
      </c>
      <c r="F1833" s="2">
        <f>IFERROR(__xludf.DUMMYFUNCTION("""COMPUTED_VALUE"""),4842435.0)</f>
        <v>4842435</v>
      </c>
      <c r="G1833" s="2">
        <f>IFERROR(__xludf.DUMMYFUNCTION("""COMPUTED_VALUE"""),43.3124)</f>
        <v>43.3124</v>
      </c>
    </row>
    <row r="1834">
      <c r="A1834" s="1" t="s">
        <v>1833</v>
      </c>
      <c r="D1834" s="3">
        <f>IFERROR(__xludf.DUMMYFUNCTION("SPLIT(A1834, ""|"")"),43386.0)</f>
        <v>43386</v>
      </c>
      <c r="E1834" s="2">
        <f>IFERROR(__xludf.DUMMYFUNCTION("""COMPUTED_VALUE"""),1372173.0)</f>
        <v>1372173</v>
      </c>
      <c r="F1834" s="2">
        <f>IFERROR(__xludf.DUMMYFUNCTION("""COMPUTED_VALUE"""),4842174.0)</f>
        <v>4842174</v>
      </c>
      <c r="G1834" s="2">
        <f>IFERROR(__xludf.DUMMYFUNCTION("""COMPUTED_VALUE"""),47.8062)</f>
        <v>47.8062</v>
      </c>
    </row>
    <row r="1835">
      <c r="A1835" s="1" t="s">
        <v>1834</v>
      </c>
      <c r="D1835" s="3">
        <f>IFERROR(__xludf.DUMMYFUNCTION("SPLIT(A1835, ""|"")"),43386.0)</f>
        <v>43386</v>
      </c>
      <c r="E1835" s="2">
        <f>IFERROR(__xludf.DUMMYFUNCTION("""COMPUTED_VALUE"""),1389093.0)</f>
        <v>1389093</v>
      </c>
      <c r="F1835" s="2">
        <f>IFERROR(__xludf.DUMMYFUNCTION("""COMPUTED_VALUE"""),4843353.0)</f>
        <v>4843353</v>
      </c>
      <c r="G1835" s="2">
        <f>IFERROR(__xludf.DUMMYFUNCTION("""COMPUTED_VALUE"""),15.0738)</f>
        <v>15.0738</v>
      </c>
    </row>
    <row r="1836">
      <c r="A1836" s="1" t="s">
        <v>1835</v>
      </c>
      <c r="D1836" s="3">
        <f>IFERROR(__xludf.DUMMYFUNCTION("SPLIT(A1836, ""|"")"),43386.0)</f>
        <v>43386</v>
      </c>
      <c r="E1836" s="2">
        <f>IFERROR(__xludf.DUMMYFUNCTION("""COMPUTED_VALUE"""),1600803.0)</f>
        <v>1600803</v>
      </c>
      <c r="F1836" s="2">
        <f>IFERROR(__xludf.DUMMYFUNCTION("""COMPUTED_VALUE"""),4844156.0)</f>
        <v>4844156</v>
      </c>
      <c r="G1836" s="2">
        <f>IFERROR(__xludf.DUMMYFUNCTION("""COMPUTED_VALUE"""),18.4545)</f>
        <v>18.4545</v>
      </c>
    </row>
    <row r="1837">
      <c r="A1837" s="1" t="s">
        <v>1836</v>
      </c>
      <c r="D1837" s="3">
        <f>IFERROR(__xludf.DUMMYFUNCTION("SPLIT(A1837, ""|"")"),43131.0)</f>
        <v>43131</v>
      </c>
      <c r="E1837" s="2">
        <f>IFERROR(__xludf.DUMMYFUNCTION("""COMPUTED_VALUE"""),1202073.0)</f>
        <v>1202073</v>
      </c>
      <c r="F1837" s="2">
        <f>IFERROR(__xludf.DUMMYFUNCTION("""COMPUTED_VALUE"""),4179510.0)</f>
        <v>4179510</v>
      </c>
      <c r="G1837" s="2">
        <f>IFERROR(__xludf.DUMMYFUNCTION("""COMPUTED_VALUE"""),69.9147)</f>
        <v>69.9147</v>
      </c>
    </row>
    <row r="1838">
      <c r="A1838" s="1" t="s">
        <v>1837</v>
      </c>
      <c r="D1838" s="3">
        <f>IFERROR(__xludf.DUMMYFUNCTION("SPLIT(A1838, ""|"")"),43131.0)</f>
        <v>43131</v>
      </c>
      <c r="E1838" s="2">
        <f>IFERROR(__xludf.DUMMYFUNCTION("""COMPUTED_VALUE"""),1497273.0)</f>
        <v>1497273</v>
      </c>
      <c r="F1838" s="2">
        <f>IFERROR(__xludf.DUMMYFUNCTION("""COMPUTED_VALUE"""),4178058.0)</f>
        <v>4178058</v>
      </c>
      <c r="G1838" s="2">
        <f>IFERROR(__xludf.DUMMYFUNCTION("""COMPUTED_VALUE"""),44.46)</f>
        <v>44.46</v>
      </c>
    </row>
    <row r="1839">
      <c r="A1839" s="1" t="s">
        <v>1838</v>
      </c>
      <c r="D1839" s="3">
        <f>IFERROR(__xludf.DUMMYFUNCTION("SPLIT(A1839, ""|"")"),43131.0)</f>
        <v>43131</v>
      </c>
      <c r="E1839" s="2">
        <f>IFERROR(__xludf.DUMMYFUNCTION("""COMPUTED_VALUE"""),481893.0)</f>
        <v>481893</v>
      </c>
      <c r="F1839" s="2">
        <f>IFERROR(__xludf.DUMMYFUNCTION("""COMPUTED_VALUE"""),4177078.0)</f>
        <v>4177078</v>
      </c>
      <c r="G1839" s="2">
        <f>IFERROR(__xludf.DUMMYFUNCTION("""COMPUTED_VALUE"""),60.3367)</f>
        <v>60.3367</v>
      </c>
    </row>
    <row r="1840">
      <c r="A1840" s="1" t="s">
        <v>1839</v>
      </c>
      <c r="D1840" s="3">
        <f>IFERROR(__xludf.DUMMYFUNCTION("SPLIT(A1840, ""|"")"),43131.0)</f>
        <v>43131</v>
      </c>
      <c r="E1840" s="2">
        <f>IFERROR(__xludf.DUMMYFUNCTION("""COMPUTED_VALUE"""),1517613.0)</f>
        <v>1517613</v>
      </c>
      <c r="F1840" s="2">
        <f>IFERROR(__xludf.DUMMYFUNCTION("""COMPUTED_VALUE"""),4178539.0)</f>
        <v>4178539</v>
      </c>
      <c r="G1840" s="2">
        <f>IFERROR(__xludf.DUMMYFUNCTION("""COMPUTED_VALUE"""),90.4084)</f>
        <v>90.4084</v>
      </c>
    </row>
    <row r="1841">
      <c r="A1841" s="1" t="s">
        <v>1840</v>
      </c>
      <c r="D1841" s="3">
        <f>IFERROR(__xludf.DUMMYFUNCTION("SPLIT(A1841, ""|"")"),43131.0)</f>
        <v>43131</v>
      </c>
      <c r="E1841" s="2">
        <f>IFERROR(__xludf.DUMMYFUNCTION("""COMPUTED_VALUE"""),1341843.0)</f>
        <v>1341843</v>
      </c>
      <c r="F1841" s="2">
        <f>IFERROR(__xludf.DUMMYFUNCTION("""COMPUTED_VALUE"""),4178381.0)</f>
        <v>4178381</v>
      </c>
      <c r="G1841" s="2">
        <f>IFERROR(__xludf.DUMMYFUNCTION("""COMPUTED_VALUE"""),77.1556)</f>
        <v>77.1556</v>
      </c>
    </row>
    <row r="1842">
      <c r="A1842" s="1" t="s">
        <v>1841</v>
      </c>
      <c r="D1842" s="3">
        <f>IFERROR(__xludf.DUMMYFUNCTION("SPLIT(A1842, ""|"")"),43131.0)</f>
        <v>43131</v>
      </c>
      <c r="E1842" s="2">
        <f>IFERROR(__xludf.DUMMYFUNCTION("""COMPUTED_VALUE"""),89313.0)</f>
        <v>89313</v>
      </c>
      <c r="F1842" s="2">
        <f>IFERROR(__xludf.DUMMYFUNCTION("""COMPUTED_VALUE"""),4178606.0)</f>
        <v>4178606</v>
      </c>
      <c r="G1842" s="2">
        <f>IFERROR(__xludf.DUMMYFUNCTION("""COMPUTED_VALUE"""),42.9862)</f>
        <v>42.9862</v>
      </c>
    </row>
    <row r="1843">
      <c r="A1843" s="1" t="s">
        <v>1842</v>
      </c>
      <c r="D1843" s="3">
        <f>IFERROR(__xludf.DUMMYFUNCTION("SPLIT(A1843, ""|"")"),43131.0)</f>
        <v>43131</v>
      </c>
      <c r="E1843" s="2">
        <f>IFERROR(__xludf.DUMMYFUNCTION("""COMPUTED_VALUE"""),1517673.0)</f>
        <v>1517673</v>
      </c>
      <c r="F1843" s="2">
        <f>IFERROR(__xludf.DUMMYFUNCTION("""COMPUTED_VALUE"""),4178899.0)</f>
        <v>4178899</v>
      </c>
      <c r="G1843" s="2">
        <f>IFERROR(__xludf.DUMMYFUNCTION("""COMPUTED_VALUE"""),60.2455)</f>
        <v>60.2455</v>
      </c>
    </row>
    <row r="1844">
      <c r="A1844" s="1" t="s">
        <v>1843</v>
      </c>
      <c r="D1844" s="3">
        <f>IFERROR(__xludf.DUMMYFUNCTION("SPLIT(A1844, ""|"")"),43131.0)</f>
        <v>43131</v>
      </c>
      <c r="E1844" s="2">
        <f>IFERROR(__xludf.DUMMYFUNCTION("""COMPUTED_VALUE"""),1439733.0)</f>
        <v>1439733</v>
      </c>
      <c r="F1844" s="2">
        <f>IFERROR(__xludf.DUMMYFUNCTION("""COMPUTED_VALUE"""),4179675.0)</f>
        <v>4179675</v>
      </c>
      <c r="G1844" s="2">
        <f>IFERROR(__xludf.DUMMYFUNCTION("""COMPUTED_VALUE"""),67.6024)</f>
        <v>67.6024</v>
      </c>
    </row>
    <row r="1845">
      <c r="A1845" s="1" t="s">
        <v>1844</v>
      </c>
      <c r="D1845" s="3">
        <f>IFERROR(__xludf.DUMMYFUNCTION("SPLIT(A1845, ""|"")"),43131.0)</f>
        <v>43131</v>
      </c>
      <c r="E1845" s="2">
        <f>IFERROR(__xludf.DUMMYFUNCTION("""COMPUTED_VALUE"""),1327233.0)</f>
        <v>1327233</v>
      </c>
      <c r="F1845" s="2">
        <f>IFERROR(__xludf.DUMMYFUNCTION("""COMPUTED_VALUE"""),4177289.0)</f>
        <v>4177289</v>
      </c>
      <c r="G1845" s="2">
        <f>IFERROR(__xludf.DUMMYFUNCTION("""COMPUTED_VALUE"""),41.962)</f>
        <v>41.962</v>
      </c>
    </row>
    <row r="1846">
      <c r="A1846" s="1" t="s">
        <v>1845</v>
      </c>
      <c r="D1846" s="3">
        <f>IFERROR(__xludf.DUMMYFUNCTION("SPLIT(A1846, ""|"")"),43387.0)</f>
        <v>43387</v>
      </c>
      <c r="E1846" s="2">
        <f>IFERROR(__xludf.DUMMYFUNCTION("""COMPUTED_VALUE"""),358443.0)</f>
        <v>358443</v>
      </c>
      <c r="F1846" s="2">
        <f>IFERROR(__xludf.DUMMYFUNCTION("""COMPUTED_VALUE"""),4847473.0)</f>
        <v>4847473</v>
      </c>
      <c r="G1846" s="2">
        <f>IFERROR(__xludf.DUMMYFUNCTION("""COMPUTED_VALUE"""),140.5464)</f>
        <v>140.5464</v>
      </c>
    </row>
    <row r="1847">
      <c r="A1847" s="1" t="s">
        <v>1846</v>
      </c>
      <c r="D1847" s="3">
        <f>IFERROR(__xludf.DUMMYFUNCTION("SPLIT(A1847, ""|"")"),43387.0)</f>
        <v>43387</v>
      </c>
      <c r="E1847" s="2">
        <f>IFERROR(__xludf.DUMMYFUNCTION("""COMPUTED_VALUE"""),1633593.0)</f>
        <v>1633593</v>
      </c>
      <c r="F1847" s="2">
        <f>IFERROR(__xludf.DUMMYFUNCTION("""COMPUTED_VALUE"""),4844290.0)</f>
        <v>4844290</v>
      </c>
      <c r="G1847" s="2">
        <f>IFERROR(__xludf.DUMMYFUNCTION("""COMPUTED_VALUE"""),30.1679)</f>
        <v>30.1679</v>
      </c>
    </row>
    <row r="1848">
      <c r="A1848" s="1" t="s">
        <v>1847</v>
      </c>
      <c r="D1848" s="3">
        <f>IFERROR(__xludf.DUMMYFUNCTION("SPLIT(A1848, ""|"")"),43387.0)</f>
        <v>43387</v>
      </c>
      <c r="E1848" s="2">
        <f>IFERROR(__xludf.DUMMYFUNCTION("""COMPUTED_VALUE"""),1165353.0)</f>
        <v>1165353</v>
      </c>
      <c r="F1848" s="2">
        <f>IFERROR(__xludf.DUMMYFUNCTION("""COMPUTED_VALUE"""),4846716.0)</f>
        <v>4846716</v>
      </c>
      <c r="G1848" s="2">
        <f>IFERROR(__xludf.DUMMYFUNCTION("""COMPUTED_VALUE"""),106.056)</f>
        <v>106.056</v>
      </c>
    </row>
    <row r="1849">
      <c r="A1849" s="1" t="s">
        <v>1848</v>
      </c>
      <c r="D1849" s="3">
        <f>IFERROR(__xludf.DUMMYFUNCTION("SPLIT(A1849, ""|"")"),43387.0)</f>
        <v>43387</v>
      </c>
      <c r="E1849" s="2">
        <f>IFERROR(__xludf.DUMMYFUNCTION("""COMPUTED_VALUE"""),91623.0)</f>
        <v>91623</v>
      </c>
      <c r="F1849" s="2">
        <f>IFERROR(__xludf.DUMMYFUNCTION("""COMPUTED_VALUE"""),4844439.0)</f>
        <v>4844439</v>
      </c>
      <c r="G1849" s="2">
        <f>IFERROR(__xludf.DUMMYFUNCTION("""COMPUTED_VALUE"""),38.2583)</f>
        <v>38.2583</v>
      </c>
    </row>
    <row r="1850">
      <c r="A1850" s="1" t="s">
        <v>1849</v>
      </c>
      <c r="D1850" s="3">
        <f>IFERROR(__xludf.DUMMYFUNCTION("SPLIT(A1850, ""|"")"),43387.0)</f>
        <v>43387</v>
      </c>
      <c r="E1850" s="2">
        <f>IFERROR(__xludf.DUMMYFUNCTION("""COMPUTED_VALUE"""),1684983.0)</f>
        <v>1684983</v>
      </c>
      <c r="F1850" s="2">
        <f>IFERROR(__xludf.DUMMYFUNCTION("""COMPUTED_VALUE"""),4845713.0)</f>
        <v>4845713</v>
      </c>
      <c r="G1850" s="2">
        <f>IFERROR(__xludf.DUMMYFUNCTION("""COMPUTED_VALUE"""),42.6035)</f>
        <v>42.6035</v>
      </c>
    </row>
    <row r="1851">
      <c r="A1851" s="1" t="s">
        <v>1850</v>
      </c>
      <c r="D1851" s="3">
        <f>IFERROR(__xludf.DUMMYFUNCTION("SPLIT(A1851, ""|"")"),43387.0)</f>
        <v>43387</v>
      </c>
      <c r="E1851" s="2">
        <f>IFERROR(__xludf.DUMMYFUNCTION("""COMPUTED_VALUE"""),1686393.0)</f>
        <v>1686393</v>
      </c>
      <c r="F1851" s="2">
        <f>IFERROR(__xludf.DUMMYFUNCTION("""COMPUTED_VALUE"""),4845313.0)</f>
        <v>4845313</v>
      </c>
      <c r="G1851" s="2">
        <f>IFERROR(__xludf.DUMMYFUNCTION("""COMPUTED_VALUE"""),23.7213)</f>
        <v>23.7213</v>
      </c>
    </row>
    <row r="1852">
      <c r="A1852" s="1" t="s">
        <v>1851</v>
      </c>
      <c r="D1852" s="3">
        <f>IFERROR(__xludf.DUMMYFUNCTION("SPLIT(A1852, ""|"")"),43387.0)</f>
        <v>43387</v>
      </c>
      <c r="E1852" s="2">
        <f>IFERROR(__xludf.DUMMYFUNCTION("""COMPUTED_VALUE"""),1620813.0)</f>
        <v>1620813</v>
      </c>
      <c r="F1852" s="2">
        <f>IFERROR(__xludf.DUMMYFUNCTION("""COMPUTED_VALUE"""),4846279.0)</f>
        <v>4846279</v>
      </c>
      <c r="G1852" s="2">
        <f>IFERROR(__xludf.DUMMYFUNCTION("""COMPUTED_VALUE"""),38.2891)</f>
        <v>38.2891</v>
      </c>
    </row>
    <row r="1853">
      <c r="A1853" s="1" t="s">
        <v>1852</v>
      </c>
      <c r="D1853" s="3">
        <f>IFERROR(__xludf.DUMMYFUNCTION("SPLIT(A1853, ""|"")"),43387.0)</f>
        <v>43387</v>
      </c>
      <c r="E1853" s="2">
        <f>IFERROR(__xludf.DUMMYFUNCTION("""COMPUTED_VALUE"""),1478673.0)</f>
        <v>1478673</v>
      </c>
      <c r="F1853" s="2">
        <f>IFERROR(__xludf.DUMMYFUNCTION("""COMPUTED_VALUE"""),4847389.0)</f>
        <v>4847389</v>
      </c>
      <c r="G1853" s="2">
        <f>IFERROR(__xludf.DUMMYFUNCTION("""COMPUTED_VALUE"""),70.125)</f>
        <v>70.125</v>
      </c>
    </row>
    <row r="1854">
      <c r="A1854" s="1" t="s">
        <v>1853</v>
      </c>
      <c r="D1854" s="3">
        <f>IFERROR(__xludf.DUMMYFUNCTION("SPLIT(A1854, ""|"")"),43132.0)</f>
        <v>43132</v>
      </c>
      <c r="E1854" s="2">
        <f>IFERROR(__xludf.DUMMYFUNCTION("""COMPUTED_VALUE"""),426423.0)</f>
        <v>426423</v>
      </c>
      <c r="F1854" s="2">
        <f>IFERROR(__xludf.DUMMYFUNCTION("""COMPUTED_VALUE"""),4181331.0)</f>
        <v>4181331</v>
      </c>
      <c r="G1854" s="2">
        <f>IFERROR(__xludf.DUMMYFUNCTION("""COMPUTED_VALUE"""),69.9595)</f>
        <v>69.9595</v>
      </c>
    </row>
    <row r="1855">
      <c r="A1855" s="1" t="s">
        <v>1854</v>
      </c>
      <c r="D1855" s="3">
        <f>IFERROR(__xludf.DUMMYFUNCTION("SPLIT(A1855, ""|"")"),43132.0)</f>
        <v>43132</v>
      </c>
      <c r="E1855" s="2">
        <f>IFERROR(__xludf.DUMMYFUNCTION("""COMPUTED_VALUE"""),1223523.0)</f>
        <v>1223523</v>
      </c>
      <c r="F1855" s="2">
        <f>IFERROR(__xludf.DUMMYFUNCTION("""COMPUTED_VALUE"""),4180950.0)</f>
        <v>4180950</v>
      </c>
      <c r="G1855" s="2">
        <f>IFERROR(__xludf.DUMMYFUNCTION("""COMPUTED_VALUE"""),218.833299999999)</f>
        <v>218.8333</v>
      </c>
    </row>
    <row r="1856">
      <c r="A1856" s="1" t="s">
        <v>1855</v>
      </c>
      <c r="D1856" s="3">
        <f>IFERROR(__xludf.DUMMYFUNCTION("SPLIT(A1856, ""|"")"),43132.0)</f>
        <v>43132</v>
      </c>
      <c r="E1856" s="2">
        <f>IFERROR(__xludf.DUMMYFUNCTION("""COMPUTED_VALUE"""),1518483.0)</f>
        <v>1518483</v>
      </c>
      <c r="F1856" s="2">
        <f>IFERROR(__xludf.DUMMYFUNCTION("""COMPUTED_VALUE"""),4181899.0)</f>
        <v>4181899</v>
      </c>
      <c r="G1856" s="2">
        <f>IFERROR(__xludf.DUMMYFUNCTION("""COMPUTED_VALUE"""),72.4516)</f>
        <v>72.4516</v>
      </c>
    </row>
    <row r="1857">
      <c r="A1857" s="1" t="s">
        <v>1856</v>
      </c>
      <c r="D1857" s="3">
        <f>IFERROR(__xludf.DUMMYFUNCTION("SPLIT(A1857, ""|"")"),43132.0)</f>
        <v>43132</v>
      </c>
      <c r="E1857" s="2">
        <f>IFERROR(__xludf.DUMMYFUNCTION("""COMPUTED_VALUE"""),1489683.0)</f>
        <v>1489683</v>
      </c>
      <c r="F1857" s="2">
        <f>IFERROR(__xludf.DUMMYFUNCTION("""COMPUTED_VALUE"""),4182690.0)</f>
        <v>4182690</v>
      </c>
      <c r="G1857" s="2">
        <f>IFERROR(__xludf.DUMMYFUNCTION("""COMPUTED_VALUE"""),88.874)</f>
        <v>88.874</v>
      </c>
    </row>
    <row r="1858">
      <c r="A1858" s="1" t="s">
        <v>1857</v>
      </c>
      <c r="D1858" s="3">
        <f>IFERROR(__xludf.DUMMYFUNCTION("SPLIT(A1858, ""|"")"),43132.0)</f>
        <v>43132</v>
      </c>
      <c r="E1858" s="2">
        <f>IFERROR(__xludf.DUMMYFUNCTION("""COMPUTED_VALUE"""),1492143.0)</f>
        <v>1492143</v>
      </c>
      <c r="F1858" s="2">
        <f>IFERROR(__xludf.DUMMYFUNCTION("""COMPUTED_VALUE"""),4182377.0)</f>
        <v>4182377</v>
      </c>
      <c r="G1858" s="2">
        <f>IFERROR(__xludf.DUMMYFUNCTION("""COMPUTED_VALUE"""),157.173099999999)</f>
        <v>157.1731</v>
      </c>
    </row>
    <row r="1859">
      <c r="A1859" s="1" t="s">
        <v>1858</v>
      </c>
      <c r="D1859" s="3">
        <f>IFERROR(__xludf.DUMMYFUNCTION("SPLIT(A1859, ""|"")"),43132.0)</f>
        <v>43132</v>
      </c>
      <c r="E1859" s="2">
        <f>IFERROR(__xludf.DUMMYFUNCTION("""COMPUTED_VALUE"""),1518603.0)</f>
        <v>1518603</v>
      </c>
      <c r="F1859" s="2">
        <f>IFERROR(__xludf.DUMMYFUNCTION("""COMPUTED_VALUE"""),4182380.0)</f>
        <v>4182380</v>
      </c>
      <c r="G1859" s="2">
        <f>IFERROR(__xludf.DUMMYFUNCTION("""COMPUTED_VALUE"""),41.65)</f>
        <v>41.65</v>
      </c>
    </row>
    <row r="1860">
      <c r="A1860" s="1" t="s">
        <v>1859</v>
      </c>
      <c r="D1860" s="3">
        <f>IFERROR(__xludf.DUMMYFUNCTION("SPLIT(A1860, ""|"")"),43132.0)</f>
        <v>43132</v>
      </c>
      <c r="E1860" s="2">
        <f>IFERROR(__xludf.DUMMYFUNCTION("""COMPUTED_VALUE"""),1038093.0)</f>
        <v>1038093</v>
      </c>
      <c r="F1860" s="2">
        <f>IFERROR(__xludf.DUMMYFUNCTION("""COMPUTED_VALUE"""),4181977.0)</f>
        <v>4181977</v>
      </c>
      <c r="G1860" s="2">
        <f>IFERROR(__xludf.DUMMYFUNCTION("""COMPUTED_VALUE"""),48.196)</f>
        <v>48.196</v>
      </c>
    </row>
    <row r="1861">
      <c r="A1861" s="1" t="s">
        <v>1860</v>
      </c>
      <c r="D1861" s="3">
        <f>IFERROR(__xludf.DUMMYFUNCTION("SPLIT(A1861, ""|"")"),43132.0)</f>
        <v>43132</v>
      </c>
      <c r="E1861" s="2">
        <f>IFERROR(__xludf.DUMMYFUNCTION("""COMPUTED_VALUE"""),1329663.0)</f>
        <v>1329663</v>
      </c>
      <c r="F1861" s="2">
        <f>IFERROR(__xludf.DUMMYFUNCTION("""COMPUTED_VALUE"""),4180839.0)</f>
        <v>4180839</v>
      </c>
      <c r="G1861" s="2">
        <f>IFERROR(__xludf.DUMMYFUNCTION("""COMPUTED_VALUE"""),61.7684)</f>
        <v>61.7684</v>
      </c>
    </row>
    <row r="1862">
      <c r="A1862" s="1" t="s">
        <v>1861</v>
      </c>
      <c r="D1862" s="3">
        <f>IFERROR(__xludf.DUMMYFUNCTION("SPLIT(A1862, ""|"")"),43132.0)</f>
        <v>43132</v>
      </c>
      <c r="E1862" s="2">
        <f>IFERROR(__xludf.DUMMYFUNCTION("""COMPUTED_VALUE"""),1518033.0)</f>
        <v>1518033</v>
      </c>
      <c r="F1862" s="2">
        <f>IFERROR(__xludf.DUMMYFUNCTION("""COMPUTED_VALUE"""),4180238.0)</f>
        <v>4180238</v>
      </c>
      <c r="G1862" s="2">
        <f>IFERROR(__xludf.DUMMYFUNCTION("""COMPUTED_VALUE"""),13.2666)</f>
        <v>13.2666</v>
      </c>
    </row>
    <row r="1863">
      <c r="A1863" s="1" t="s">
        <v>1862</v>
      </c>
      <c r="D1863" s="3">
        <f>IFERROR(__xludf.DUMMYFUNCTION("SPLIT(A1863, ""|"")"),43132.0)</f>
        <v>43132</v>
      </c>
      <c r="E1863" s="2">
        <f>IFERROR(__xludf.DUMMYFUNCTION("""COMPUTED_VALUE"""),1292943.0)</f>
        <v>1292943</v>
      </c>
      <c r="F1863" s="2">
        <f>IFERROR(__xludf.DUMMYFUNCTION("""COMPUTED_VALUE"""),4182527.0)</f>
        <v>4182527</v>
      </c>
      <c r="G1863" s="2">
        <f>IFERROR(__xludf.DUMMYFUNCTION("""COMPUTED_VALUE"""),78.3442)</f>
        <v>78.3442</v>
      </c>
    </row>
    <row r="1864">
      <c r="A1864" s="1" t="s">
        <v>1863</v>
      </c>
      <c r="D1864" s="3">
        <f>IFERROR(__xludf.DUMMYFUNCTION("SPLIT(A1864, ""|"")"),43132.0)</f>
        <v>43132</v>
      </c>
      <c r="E1864" s="2">
        <f>IFERROR(__xludf.DUMMYFUNCTION("""COMPUTED_VALUE"""),210783.0)</f>
        <v>210783</v>
      </c>
      <c r="F1864" s="2">
        <f>IFERROR(__xludf.DUMMYFUNCTION("""COMPUTED_VALUE"""),4181261.0)</f>
        <v>4181261</v>
      </c>
      <c r="G1864" s="2">
        <f>IFERROR(__xludf.DUMMYFUNCTION("""COMPUTED_VALUE"""),14.7583)</f>
        <v>14.7583</v>
      </c>
    </row>
    <row r="1865">
      <c r="A1865" s="1" t="s">
        <v>1864</v>
      </c>
      <c r="D1865" s="3">
        <f>IFERROR(__xludf.DUMMYFUNCTION("SPLIT(A1865, ""|"")"),43132.0)</f>
        <v>43132</v>
      </c>
      <c r="E1865" s="2">
        <f>IFERROR(__xludf.DUMMYFUNCTION("""COMPUTED_VALUE"""),1518723.0)</f>
        <v>1518723</v>
      </c>
      <c r="F1865" s="2">
        <f>IFERROR(__xludf.DUMMYFUNCTION("""COMPUTED_VALUE"""),4182873.0)</f>
        <v>4182873</v>
      </c>
      <c r="G1865" s="2">
        <f>IFERROR(__xludf.DUMMYFUNCTION("""COMPUTED_VALUE"""),56.3275)</f>
        <v>56.3275</v>
      </c>
    </row>
    <row r="1866">
      <c r="A1866" s="1" t="s">
        <v>1865</v>
      </c>
      <c r="D1866" s="3">
        <f>IFERROR(__xludf.DUMMYFUNCTION("SPLIT(A1866, ""|"")"),43388.0)</f>
        <v>43388</v>
      </c>
      <c r="E1866" s="2">
        <f>IFERROR(__xludf.DUMMYFUNCTION("""COMPUTED_VALUE"""),1547133.0)</f>
        <v>1547133</v>
      </c>
      <c r="F1866" s="2">
        <f>IFERROR(__xludf.DUMMYFUNCTION("""COMPUTED_VALUE"""),4850766.0)</f>
        <v>4850766</v>
      </c>
      <c r="G1866" s="2">
        <f>IFERROR(__xludf.DUMMYFUNCTION("""COMPUTED_VALUE"""),88.2593)</f>
        <v>88.2593</v>
      </c>
    </row>
    <row r="1867">
      <c r="A1867" s="1" t="s">
        <v>1866</v>
      </c>
      <c r="D1867" s="3">
        <f>IFERROR(__xludf.DUMMYFUNCTION("SPLIT(A1867, ""|"")"),43388.0)</f>
        <v>43388</v>
      </c>
      <c r="E1867" s="2">
        <f>IFERROR(__xludf.DUMMYFUNCTION("""COMPUTED_VALUE"""),1687713.0)</f>
        <v>1687713</v>
      </c>
      <c r="F1867" s="2">
        <f>IFERROR(__xludf.DUMMYFUNCTION("""COMPUTED_VALUE"""),4848979.0)</f>
        <v>4848979</v>
      </c>
      <c r="G1867" s="2">
        <f>IFERROR(__xludf.DUMMYFUNCTION("""COMPUTED_VALUE"""),21.1209)</f>
        <v>21.1209</v>
      </c>
    </row>
    <row r="1868">
      <c r="A1868" s="1" t="s">
        <v>1867</v>
      </c>
      <c r="D1868" s="3">
        <f>IFERROR(__xludf.DUMMYFUNCTION("SPLIT(A1868, ""|"")"),43388.0)</f>
        <v>43388</v>
      </c>
      <c r="E1868" s="2">
        <f>IFERROR(__xludf.DUMMYFUNCTION("""COMPUTED_VALUE"""),1010553.0)</f>
        <v>1010553</v>
      </c>
      <c r="F1868" s="2">
        <f>IFERROR(__xludf.DUMMYFUNCTION("""COMPUTED_VALUE"""),4849655.0)</f>
        <v>4849655</v>
      </c>
      <c r="G1868" s="2">
        <f>IFERROR(__xludf.DUMMYFUNCTION("""COMPUTED_VALUE"""),72.8552)</f>
        <v>72.8552</v>
      </c>
    </row>
    <row r="1869">
      <c r="A1869" s="1" t="s">
        <v>1868</v>
      </c>
      <c r="D1869" s="3">
        <f>IFERROR(__xludf.DUMMYFUNCTION("SPLIT(A1869, ""|"")"),43388.0)</f>
        <v>43388</v>
      </c>
      <c r="E1869" s="2">
        <f>IFERROR(__xludf.DUMMYFUNCTION("""COMPUTED_VALUE"""),1077423.0)</f>
        <v>1077423</v>
      </c>
      <c r="F1869" s="2">
        <f>IFERROR(__xludf.DUMMYFUNCTION("""COMPUTED_VALUE"""),4850056.0)</f>
        <v>4850056</v>
      </c>
      <c r="G1869" s="2">
        <f>IFERROR(__xludf.DUMMYFUNCTION("""COMPUTED_VALUE"""),150.5793)</f>
        <v>150.5793</v>
      </c>
    </row>
    <row r="1870">
      <c r="A1870" s="1" t="s">
        <v>1869</v>
      </c>
      <c r="D1870" s="3">
        <f>IFERROR(__xludf.DUMMYFUNCTION("SPLIT(A1870, ""|"")"),43133.0)</f>
        <v>43133</v>
      </c>
      <c r="E1870" s="2">
        <f>IFERROR(__xludf.DUMMYFUNCTION("""COMPUTED_VALUE"""),1510953.0)</f>
        <v>1510953</v>
      </c>
      <c r="F1870" s="2">
        <f>IFERROR(__xludf.DUMMYFUNCTION("""COMPUTED_VALUE"""),4184985.0)</f>
        <v>4184985</v>
      </c>
      <c r="G1870" s="2">
        <f>IFERROR(__xludf.DUMMYFUNCTION("""COMPUTED_VALUE"""),69.1341)</f>
        <v>69.1341</v>
      </c>
    </row>
    <row r="1871">
      <c r="A1871" s="1" t="s">
        <v>1870</v>
      </c>
      <c r="D1871" s="3">
        <f>IFERROR(__xludf.DUMMYFUNCTION("SPLIT(A1871, ""|"")"),43133.0)</f>
        <v>43133</v>
      </c>
      <c r="E1871" s="2">
        <f>IFERROR(__xludf.DUMMYFUNCTION("""COMPUTED_VALUE"""),1518903.0)</f>
        <v>1518903</v>
      </c>
      <c r="F1871" s="2">
        <f>IFERROR(__xludf.DUMMYFUNCTION("""COMPUTED_VALUE"""),4183570.0)</f>
        <v>4183570</v>
      </c>
      <c r="G1871" s="2">
        <f>IFERROR(__xludf.DUMMYFUNCTION("""COMPUTED_VALUE"""),27.575)</f>
        <v>27.575</v>
      </c>
    </row>
    <row r="1872">
      <c r="A1872" s="1" t="s">
        <v>1871</v>
      </c>
      <c r="D1872" s="3">
        <f>IFERROR(__xludf.DUMMYFUNCTION("SPLIT(A1872, ""|"")"),43133.0)</f>
        <v>43133</v>
      </c>
      <c r="E1872" s="2">
        <f>IFERROR(__xludf.DUMMYFUNCTION("""COMPUTED_VALUE"""),1334643.0)</f>
        <v>1334643</v>
      </c>
      <c r="F1872" s="2">
        <f>IFERROR(__xludf.DUMMYFUNCTION("""COMPUTED_VALUE"""),4184554.0)</f>
        <v>4184554</v>
      </c>
      <c r="G1872" s="2">
        <f>IFERROR(__xludf.DUMMYFUNCTION("""COMPUTED_VALUE"""),84.9138)</f>
        <v>84.9138</v>
      </c>
    </row>
    <row r="1873">
      <c r="A1873" s="1" t="s">
        <v>1872</v>
      </c>
      <c r="D1873" s="3">
        <f>IFERROR(__xludf.DUMMYFUNCTION("SPLIT(A1873, ""|"")"),43133.0)</f>
        <v>43133</v>
      </c>
      <c r="E1873" s="2">
        <f>IFERROR(__xludf.DUMMYFUNCTION("""COMPUTED_VALUE"""),1284513.0)</f>
        <v>1284513</v>
      </c>
      <c r="F1873" s="2">
        <f>IFERROR(__xludf.DUMMYFUNCTION("""COMPUTED_VALUE"""),4183781.0)</f>
        <v>4183781</v>
      </c>
      <c r="G1873" s="2">
        <f>IFERROR(__xludf.DUMMYFUNCTION("""COMPUTED_VALUE"""),195.8536)</f>
        <v>195.8536</v>
      </c>
    </row>
    <row r="1874">
      <c r="A1874" s="1" t="s">
        <v>1873</v>
      </c>
      <c r="D1874" s="3">
        <f>IFERROR(__xludf.DUMMYFUNCTION("SPLIT(A1874, ""|"")"),43133.0)</f>
        <v>43133</v>
      </c>
      <c r="E1874" s="2">
        <f>IFERROR(__xludf.DUMMYFUNCTION("""COMPUTED_VALUE"""),1519083.0)</f>
        <v>1519083</v>
      </c>
      <c r="F1874" s="2">
        <f>IFERROR(__xludf.DUMMYFUNCTION("""COMPUTED_VALUE"""),4184288.0)</f>
        <v>4184288</v>
      </c>
      <c r="G1874" s="2">
        <f>IFERROR(__xludf.DUMMYFUNCTION("""COMPUTED_VALUE"""),114.5267)</f>
        <v>114.5267</v>
      </c>
    </row>
    <row r="1875">
      <c r="A1875" s="1" t="s">
        <v>1874</v>
      </c>
      <c r="D1875" s="3">
        <f>IFERROR(__xludf.DUMMYFUNCTION("SPLIT(A1875, ""|"")"),43389.0)</f>
        <v>43389</v>
      </c>
      <c r="E1875" s="2">
        <f>IFERROR(__xludf.DUMMYFUNCTION("""COMPUTED_VALUE"""),1543983.0)</f>
        <v>1543983</v>
      </c>
      <c r="F1875" s="2">
        <f>IFERROR(__xludf.DUMMYFUNCTION("""COMPUTED_VALUE"""),4851795.0)</f>
        <v>4851795</v>
      </c>
      <c r="G1875" s="2">
        <f>IFERROR(__xludf.DUMMYFUNCTION("""COMPUTED_VALUE"""),32.587)</f>
        <v>32.587</v>
      </c>
    </row>
    <row r="1876">
      <c r="A1876" s="1" t="s">
        <v>1875</v>
      </c>
      <c r="D1876" s="3">
        <f>IFERROR(__xludf.DUMMYFUNCTION("SPLIT(A1876, ""|"")"),43389.0)</f>
        <v>43389</v>
      </c>
      <c r="E1876" s="2">
        <f>IFERROR(__xludf.DUMMYFUNCTION("""COMPUTED_VALUE"""),1689003.0)</f>
        <v>1689003</v>
      </c>
      <c r="F1876" s="2">
        <f>IFERROR(__xludf.DUMMYFUNCTION("""COMPUTED_VALUE"""),4854100.0)</f>
        <v>4854100</v>
      </c>
      <c r="G1876" s="2">
        <f>IFERROR(__xludf.DUMMYFUNCTION("""COMPUTED_VALUE"""),72.9169)</f>
        <v>72.9169</v>
      </c>
    </row>
    <row r="1877">
      <c r="A1877" s="1" t="s">
        <v>1876</v>
      </c>
      <c r="D1877" s="3">
        <f>IFERROR(__xludf.DUMMYFUNCTION("SPLIT(A1877, ""|"")"),43389.0)</f>
        <v>43389</v>
      </c>
      <c r="E1877" s="2">
        <f>IFERROR(__xludf.DUMMYFUNCTION("""COMPUTED_VALUE"""),1688973.0)</f>
        <v>1688973</v>
      </c>
      <c r="F1877" s="2">
        <f>IFERROR(__xludf.DUMMYFUNCTION("""COMPUTED_VALUE"""),4853986.0)</f>
        <v>4853986</v>
      </c>
      <c r="G1877" s="2">
        <f>IFERROR(__xludf.DUMMYFUNCTION("""COMPUTED_VALUE"""),136.6325)</f>
        <v>136.6325</v>
      </c>
    </row>
    <row r="1878">
      <c r="A1878" s="1" t="s">
        <v>1877</v>
      </c>
      <c r="D1878" s="3">
        <f>IFERROR(__xludf.DUMMYFUNCTION("SPLIT(A1878, ""|"")"),43134.0)</f>
        <v>43134</v>
      </c>
      <c r="E1878" s="2">
        <f>IFERROR(__xludf.DUMMYFUNCTION("""COMPUTED_VALUE"""),1519503.0)</f>
        <v>1519503</v>
      </c>
      <c r="F1878" s="2">
        <f>IFERROR(__xludf.DUMMYFUNCTION("""COMPUTED_VALUE"""),4185651.0)</f>
        <v>4185651</v>
      </c>
      <c r="G1878" s="2">
        <f>IFERROR(__xludf.DUMMYFUNCTION("""COMPUTED_VALUE"""),39.2285)</f>
        <v>39.2285</v>
      </c>
    </row>
    <row r="1879">
      <c r="A1879" s="1" t="s">
        <v>1878</v>
      </c>
      <c r="D1879" s="3">
        <f>IFERROR(__xludf.DUMMYFUNCTION("SPLIT(A1879, ""|"")"),43134.0)</f>
        <v>43134</v>
      </c>
      <c r="E1879" s="2">
        <f>IFERROR(__xludf.DUMMYFUNCTION("""COMPUTED_VALUE"""),1519713.0)</f>
        <v>1519713</v>
      </c>
      <c r="F1879" s="2">
        <f>IFERROR(__xludf.DUMMYFUNCTION("""COMPUTED_VALUE"""),4186277.0)</f>
        <v>4186277</v>
      </c>
      <c r="G1879" s="2">
        <f>IFERROR(__xludf.DUMMYFUNCTION("""COMPUTED_VALUE"""),49.775)</f>
        <v>49.775</v>
      </c>
    </row>
    <row r="1880">
      <c r="A1880" s="1" t="s">
        <v>1879</v>
      </c>
      <c r="D1880" s="3">
        <f>IFERROR(__xludf.DUMMYFUNCTION("SPLIT(A1880, ""|"")"),43134.0)</f>
        <v>43134</v>
      </c>
      <c r="E1880" s="2">
        <f>IFERROR(__xludf.DUMMYFUNCTION("""COMPUTED_VALUE"""),1351143.0)</f>
        <v>1351143</v>
      </c>
      <c r="F1880" s="2">
        <f>IFERROR(__xludf.DUMMYFUNCTION("""COMPUTED_VALUE"""),4185786.0)</f>
        <v>4185786</v>
      </c>
      <c r="G1880" s="2">
        <f>IFERROR(__xludf.DUMMYFUNCTION("""COMPUTED_VALUE"""),47.8368999999999)</f>
        <v>47.8369</v>
      </c>
    </row>
    <row r="1881">
      <c r="A1881" s="1" t="s">
        <v>1880</v>
      </c>
      <c r="D1881" s="3">
        <f>IFERROR(__xludf.DUMMYFUNCTION("SPLIT(A1881, ""|"")"),43390.0)</f>
        <v>43390</v>
      </c>
      <c r="E1881" s="2">
        <f>IFERROR(__xludf.DUMMYFUNCTION("""COMPUTED_VALUE"""),1687653.0)</f>
        <v>1687653</v>
      </c>
      <c r="F1881" s="2">
        <f>IFERROR(__xludf.DUMMYFUNCTION("""COMPUTED_VALUE"""),4856839.0)</f>
        <v>4856839</v>
      </c>
      <c r="G1881" s="2">
        <f>IFERROR(__xludf.DUMMYFUNCTION("""COMPUTED_VALUE"""),97.4006)</f>
        <v>97.4006</v>
      </c>
    </row>
    <row r="1882">
      <c r="A1882" s="1" t="s">
        <v>1881</v>
      </c>
      <c r="D1882" s="3">
        <f>IFERROR(__xludf.DUMMYFUNCTION("SPLIT(A1882, ""|"")"),43390.0)</f>
        <v>43390</v>
      </c>
      <c r="E1882" s="2">
        <f>IFERROR(__xludf.DUMMYFUNCTION("""COMPUTED_VALUE"""),1286103.0)</f>
        <v>1286103</v>
      </c>
      <c r="F1882" s="2">
        <f>IFERROR(__xludf.DUMMYFUNCTION("""COMPUTED_VALUE"""),4854469.0)</f>
        <v>4854469</v>
      </c>
      <c r="G1882" s="2">
        <f>IFERROR(__xludf.DUMMYFUNCTION("""COMPUTED_VALUE"""),130.5412)</f>
        <v>130.5412</v>
      </c>
    </row>
    <row r="1883">
      <c r="A1883" s="1" t="s">
        <v>1882</v>
      </c>
      <c r="D1883" s="3">
        <f>IFERROR(__xludf.DUMMYFUNCTION("SPLIT(A1883, ""|"")"),43390.0)</f>
        <v>43390</v>
      </c>
      <c r="E1883" s="2">
        <f>IFERROR(__xludf.DUMMYFUNCTION("""COMPUTED_VALUE"""),1442013.0)</f>
        <v>1442013</v>
      </c>
      <c r="F1883" s="2">
        <f>IFERROR(__xludf.DUMMYFUNCTION("""COMPUTED_VALUE"""),4856770.0)</f>
        <v>4856770</v>
      </c>
      <c r="G1883" s="2">
        <f>IFERROR(__xludf.DUMMYFUNCTION("""COMPUTED_VALUE"""),95.2423)</f>
        <v>95.2423</v>
      </c>
    </row>
    <row r="1884">
      <c r="A1884" s="1" t="s">
        <v>1883</v>
      </c>
      <c r="D1884" s="3">
        <f>IFERROR(__xludf.DUMMYFUNCTION("SPLIT(A1884, ""|"")"),43390.0)</f>
        <v>43390</v>
      </c>
      <c r="E1884" s="2">
        <f>IFERROR(__xludf.DUMMYFUNCTION("""COMPUTED_VALUE"""),1544253.0)</f>
        <v>1544253</v>
      </c>
      <c r="F1884" s="2">
        <f>IFERROR(__xludf.DUMMYFUNCTION("""COMPUTED_VALUE"""),4857051.0)</f>
        <v>4857051</v>
      </c>
      <c r="G1884" s="2">
        <f>IFERROR(__xludf.DUMMYFUNCTION("""COMPUTED_VALUE"""),55.0552)</f>
        <v>55.0552</v>
      </c>
    </row>
    <row r="1885">
      <c r="A1885" s="1" t="s">
        <v>1884</v>
      </c>
      <c r="D1885" s="3">
        <f>IFERROR(__xludf.DUMMYFUNCTION("SPLIT(A1885, ""|"")"),43390.0)</f>
        <v>43390</v>
      </c>
      <c r="E1885" s="2">
        <f>IFERROR(__xludf.DUMMYFUNCTION("""COMPUTED_VALUE"""),1689333.0)</f>
        <v>1689333</v>
      </c>
      <c r="F1885" s="2">
        <f>IFERROR(__xludf.DUMMYFUNCTION("""COMPUTED_VALUE"""),4855272.0)</f>
        <v>4855272</v>
      </c>
      <c r="G1885" s="2">
        <f>IFERROR(__xludf.DUMMYFUNCTION("""COMPUTED_VALUE"""),21.2417)</f>
        <v>21.2417</v>
      </c>
    </row>
    <row r="1886">
      <c r="A1886" s="1" t="s">
        <v>1885</v>
      </c>
      <c r="D1886" s="3">
        <f>IFERROR(__xludf.DUMMYFUNCTION("SPLIT(A1886, ""|"")"),43135.0)</f>
        <v>43135</v>
      </c>
      <c r="E1886" s="2">
        <f>IFERROR(__xludf.DUMMYFUNCTION("""COMPUTED_VALUE"""),1520613.0)</f>
        <v>1520613</v>
      </c>
      <c r="F1886" s="2">
        <f>IFERROR(__xludf.DUMMYFUNCTION("""COMPUTED_VALUE"""),4189664.0)</f>
        <v>4189664</v>
      </c>
      <c r="G1886" s="2">
        <f>IFERROR(__xludf.DUMMYFUNCTION("""COMPUTED_VALUE"""),86.4753)</f>
        <v>86.4753</v>
      </c>
    </row>
    <row r="1887">
      <c r="A1887" s="1" t="s">
        <v>1886</v>
      </c>
      <c r="D1887" s="3">
        <f>IFERROR(__xludf.DUMMYFUNCTION("SPLIT(A1887, ""|"")"),43135.0)</f>
        <v>43135</v>
      </c>
      <c r="E1887" s="2">
        <f>IFERROR(__xludf.DUMMYFUNCTION("""COMPUTED_VALUE"""),1046973.0)</f>
        <v>1046973</v>
      </c>
      <c r="F1887" s="2">
        <f>IFERROR(__xludf.DUMMYFUNCTION("""COMPUTED_VALUE"""),4191446.0)</f>
        <v>4191446</v>
      </c>
      <c r="G1887" s="2">
        <f>IFERROR(__xludf.DUMMYFUNCTION("""COMPUTED_VALUE"""),8.1314)</f>
        <v>8.1314</v>
      </c>
    </row>
    <row r="1888">
      <c r="A1888" s="1" t="s">
        <v>1887</v>
      </c>
      <c r="D1888" s="3">
        <f>IFERROR(__xludf.DUMMYFUNCTION("SPLIT(A1888, ""|"")"),43135.0)</f>
        <v>43135</v>
      </c>
      <c r="E1888" s="2">
        <f>IFERROR(__xludf.DUMMYFUNCTION("""COMPUTED_VALUE"""),1437663.0)</f>
        <v>1437663</v>
      </c>
      <c r="F1888" s="2">
        <f>IFERROR(__xludf.DUMMYFUNCTION("""COMPUTED_VALUE"""),4189190.0)</f>
        <v>4189190</v>
      </c>
      <c r="G1888" s="2">
        <f>IFERROR(__xludf.DUMMYFUNCTION("""COMPUTED_VALUE"""),137.4325)</f>
        <v>137.4325</v>
      </c>
    </row>
    <row r="1889">
      <c r="A1889" s="1" t="s">
        <v>1888</v>
      </c>
      <c r="D1889" s="3">
        <f>IFERROR(__xludf.DUMMYFUNCTION("SPLIT(A1889, ""|"")"),43135.0)</f>
        <v>43135</v>
      </c>
      <c r="E1889" s="2">
        <f>IFERROR(__xludf.DUMMYFUNCTION("""COMPUTED_VALUE"""),1520733.0)</f>
        <v>1520733</v>
      </c>
      <c r="F1889" s="2">
        <f>IFERROR(__xludf.DUMMYFUNCTION("""COMPUTED_VALUE"""),4190002.0)</f>
        <v>4190002</v>
      </c>
      <c r="G1889" s="2">
        <f>IFERROR(__xludf.DUMMYFUNCTION("""COMPUTED_VALUE"""),22.9167)</f>
        <v>22.9167</v>
      </c>
    </row>
    <row r="1890">
      <c r="A1890" s="1" t="s">
        <v>1889</v>
      </c>
      <c r="D1890" s="3">
        <f>IFERROR(__xludf.DUMMYFUNCTION("SPLIT(A1890, ""|"")"),43135.0)</f>
        <v>43135</v>
      </c>
      <c r="E1890" s="2">
        <f>IFERROR(__xludf.DUMMYFUNCTION("""COMPUTED_VALUE"""),1505163.0)</f>
        <v>1505163</v>
      </c>
      <c r="F1890" s="2">
        <f>IFERROR(__xludf.DUMMYFUNCTION("""COMPUTED_VALUE"""),4189904.0)</f>
        <v>4189904</v>
      </c>
      <c r="G1890" s="2">
        <f>IFERROR(__xludf.DUMMYFUNCTION("""COMPUTED_VALUE"""),56.0135)</f>
        <v>56.0135</v>
      </c>
    </row>
    <row r="1891">
      <c r="A1891" s="1" t="s">
        <v>1890</v>
      </c>
      <c r="D1891" s="3">
        <f>IFERROR(__xludf.DUMMYFUNCTION("SPLIT(A1891, ""|"")"),43391.0)</f>
        <v>43391</v>
      </c>
      <c r="E1891" s="2">
        <f>IFERROR(__xludf.DUMMYFUNCTION("""COMPUTED_VALUE"""),1673853.0)</f>
        <v>1673853</v>
      </c>
      <c r="F1891" s="2">
        <f>IFERROR(__xludf.DUMMYFUNCTION("""COMPUTED_VALUE"""),4857757.0)</f>
        <v>4857757</v>
      </c>
      <c r="G1891" s="2">
        <f>IFERROR(__xludf.DUMMYFUNCTION("""COMPUTED_VALUE"""),119.9746)</f>
        <v>119.9746</v>
      </c>
    </row>
    <row r="1892">
      <c r="A1892" s="1" t="s">
        <v>1891</v>
      </c>
      <c r="D1892" s="3">
        <f>IFERROR(__xludf.DUMMYFUNCTION("SPLIT(A1892, ""|"")"),43136.0)</f>
        <v>43136</v>
      </c>
      <c r="E1892" s="2">
        <f>IFERROR(__xludf.DUMMYFUNCTION("""COMPUTED_VALUE"""),1521753.0)</f>
        <v>1521753</v>
      </c>
      <c r="F1892" s="2">
        <f>IFERROR(__xludf.DUMMYFUNCTION("""COMPUTED_VALUE"""),4194896.0)</f>
        <v>4194896</v>
      </c>
      <c r="G1892" s="2">
        <f>IFERROR(__xludf.DUMMYFUNCTION("""COMPUTED_VALUE"""),69.5)</f>
        <v>69.5</v>
      </c>
    </row>
    <row r="1893">
      <c r="A1893" s="1" t="s">
        <v>1892</v>
      </c>
      <c r="D1893" s="3">
        <f>IFERROR(__xludf.DUMMYFUNCTION("SPLIT(A1893, ""|"")"),43136.0)</f>
        <v>43136</v>
      </c>
      <c r="E1893" s="2">
        <f>IFERROR(__xludf.DUMMYFUNCTION("""COMPUTED_VALUE"""),1397703.0)</f>
        <v>1397703</v>
      </c>
      <c r="F1893" s="2">
        <f>IFERROR(__xludf.DUMMYFUNCTION("""COMPUTED_VALUE"""),4194280.0)</f>
        <v>4194280</v>
      </c>
      <c r="G1893" s="2">
        <f>IFERROR(__xludf.DUMMYFUNCTION("""COMPUTED_VALUE"""),50.5167)</f>
        <v>50.5167</v>
      </c>
    </row>
    <row r="1894">
      <c r="A1894" s="1" t="s">
        <v>1893</v>
      </c>
      <c r="D1894" s="3">
        <f>IFERROR(__xludf.DUMMYFUNCTION("SPLIT(A1894, ""|"")"),43136.0)</f>
        <v>43136</v>
      </c>
      <c r="E1894" s="2">
        <f>IFERROR(__xludf.DUMMYFUNCTION("""COMPUTED_VALUE"""),1521963.0)</f>
        <v>1521963</v>
      </c>
      <c r="F1894" s="2">
        <f>IFERROR(__xludf.DUMMYFUNCTION("""COMPUTED_VALUE"""),4194903.0)</f>
        <v>4194903</v>
      </c>
      <c r="G1894" s="2">
        <f>IFERROR(__xludf.DUMMYFUNCTION("""COMPUTED_VALUE"""),9.9526)</f>
        <v>9.9526</v>
      </c>
    </row>
    <row r="1895">
      <c r="A1895" s="1" t="s">
        <v>1894</v>
      </c>
      <c r="D1895" s="3">
        <f>IFERROR(__xludf.DUMMYFUNCTION("SPLIT(A1895, ""|"")"),43136.0)</f>
        <v>43136</v>
      </c>
      <c r="E1895" s="2">
        <f>IFERROR(__xludf.DUMMYFUNCTION("""COMPUTED_VALUE"""),1275813.0)</f>
        <v>1275813</v>
      </c>
      <c r="F1895" s="2">
        <f>IFERROR(__xludf.DUMMYFUNCTION("""COMPUTED_VALUE"""),4192247.0)</f>
        <v>4192247</v>
      </c>
      <c r="G1895" s="2">
        <f>IFERROR(__xludf.DUMMYFUNCTION("""COMPUTED_VALUE"""),103.786799999999)</f>
        <v>103.7868</v>
      </c>
    </row>
    <row r="1896">
      <c r="A1896" s="1" t="s">
        <v>1895</v>
      </c>
      <c r="D1896" s="3">
        <f>IFERROR(__xludf.DUMMYFUNCTION("SPLIT(A1896, ""|"")"),43136.0)</f>
        <v>43136</v>
      </c>
      <c r="E1896" s="2">
        <f>IFERROR(__xludf.DUMMYFUNCTION("""COMPUTED_VALUE"""),1521693.0)</f>
        <v>1521693</v>
      </c>
      <c r="F1896" s="2">
        <f>IFERROR(__xludf.DUMMYFUNCTION("""COMPUTED_VALUE"""),4193849.0)</f>
        <v>4193849</v>
      </c>
      <c r="G1896" s="2">
        <f>IFERROR(__xludf.DUMMYFUNCTION("""COMPUTED_VALUE"""),18.8698)</f>
        <v>18.8698</v>
      </c>
    </row>
    <row r="1897">
      <c r="A1897" s="1" t="s">
        <v>1896</v>
      </c>
      <c r="D1897" s="3">
        <f>IFERROR(__xludf.DUMMYFUNCTION("SPLIT(A1897, ""|"")"),43136.0)</f>
        <v>43136</v>
      </c>
      <c r="E1897" s="2">
        <f>IFERROR(__xludf.DUMMYFUNCTION("""COMPUTED_VALUE"""),1521093.0)</f>
        <v>1521093</v>
      </c>
      <c r="F1897" s="2">
        <f>IFERROR(__xludf.DUMMYFUNCTION("""COMPUTED_VALUE"""),4191638.0)</f>
        <v>4191638</v>
      </c>
      <c r="G1897" s="2">
        <f>IFERROR(__xludf.DUMMYFUNCTION("""COMPUTED_VALUE"""),92.5)</f>
        <v>92.5</v>
      </c>
    </row>
    <row r="1898">
      <c r="A1898" s="1" t="s">
        <v>1897</v>
      </c>
      <c r="D1898" s="3">
        <f>IFERROR(__xludf.DUMMYFUNCTION("SPLIT(A1898, ""|"")"),43392.0)</f>
        <v>43392</v>
      </c>
      <c r="E1898" s="2">
        <f>IFERROR(__xludf.DUMMYFUNCTION("""COMPUTED_VALUE"""),1690593.0)</f>
        <v>1690593</v>
      </c>
      <c r="F1898" s="2">
        <f>IFERROR(__xludf.DUMMYFUNCTION("""COMPUTED_VALUE"""),4859758.0)</f>
        <v>4859758</v>
      </c>
      <c r="G1898" s="2">
        <f>IFERROR(__xludf.DUMMYFUNCTION("""COMPUTED_VALUE"""),13.7989)</f>
        <v>13.7989</v>
      </c>
    </row>
    <row r="1899">
      <c r="A1899" s="1" t="s">
        <v>1898</v>
      </c>
      <c r="D1899" s="3">
        <f>IFERROR(__xludf.DUMMYFUNCTION("SPLIT(A1899, ""|"")"),43392.0)</f>
        <v>43392</v>
      </c>
      <c r="E1899" s="2">
        <f>IFERROR(__xludf.DUMMYFUNCTION("""COMPUTED_VALUE"""),1690803.0)</f>
        <v>1690803</v>
      </c>
      <c r="F1899" s="2">
        <f>IFERROR(__xludf.DUMMYFUNCTION("""COMPUTED_VALUE"""),4860537.0)</f>
        <v>4860537</v>
      </c>
      <c r="G1899" s="2">
        <f>IFERROR(__xludf.DUMMYFUNCTION("""COMPUTED_VALUE"""),21.9583)</f>
        <v>21.9583</v>
      </c>
    </row>
    <row r="1900">
      <c r="A1900" s="1" t="s">
        <v>1899</v>
      </c>
      <c r="D1900" s="3">
        <f>IFERROR(__xludf.DUMMYFUNCTION("SPLIT(A1900, ""|"")"),43392.0)</f>
        <v>43392</v>
      </c>
      <c r="E1900" s="2">
        <f>IFERROR(__xludf.DUMMYFUNCTION("""COMPUTED_VALUE"""),1691013.0)</f>
        <v>1691013</v>
      </c>
      <c r="F1900" s="2">
        <f>IFERROR(__xludf.DUMMYFUNCTION("""COMPUTED_VALUE"""),4861293.0)</f>
        <v>4861293</v>
      </c>
      <c r="G1900" s="2">
        <f>IFERROR(__xludf.DUMMYFUNCTION("""COMPUTED_VALUE"""),26.7732)</f>
        <v>26.7732</v>
      </c>
    </row>
    <row r="1901">
      <c r="A1901" s="1" t="s">
        <v>1900</v>
      </c>
      <c r="D1901" s="3">
        <f>IFERROR(__xludf.DUMMYFUNCTION("SPLIT(A1901, ""|"")"),43392.0)</f>
        <v>43392</v>
      </c>
      <c r="E1901" s="2">
        <f>IFERROR(__xludf.DUMMYFUNCTION("""COMPUTED_VALUE"""),1691103.0)</f>
        <v>1691103</v>
      </c>
      <c r="F1901" s="2">
        <f>IFERROR(__xludf.DUMMYFUNCTION("""COMPUTED_VALUE"""),4861674.0)</f>
        <v>4861674</v>
      </c>
      <c r="G1901" s="2">
        <f>IFERROR(__xludf.DUMMYFUNCTION("""COMPUTED_VALUE"""),28.082)</f>
        <v>28.082</v>
      </c>
    </row>
    <row r="1902">
      <c r="A1902" s="1" t="s">
        <v>1901</v>
      </c>
      <c r="D1902" s="3">
        <f>IFERROR(__xludf.DUMMYFUNCTION("SPLIT(A1902, ""|"")"),43392.0)</f>
        <v>43392</v>
      </c>
      <c r="E1902" s="2">
        <f>IFERROR(__xludf.DUMMYFUNCTION("""COMPUTED_VALUE"""),1139103.0)</f>
        <v>1139103</v>
      </c>
      <c r="F1902" s="2">
        <f>IFERROR(__xludf.DUMMYFUNCTION("""COMPUTED_VALUE"""),4860015.0)</f>
        <v>4860015</v>
      </c>
      <c r="G1902" s="2">
        <f>IFERROR(__xludf.DUMMYFUNCTION("""COMPUTED_VALUE"""),70.5579)</f>
        <v>70.5579</v>
      </c>
    </row>
    <row r="1903">
      <c r="A1903" s="1" t="s">
        <v>1902</v>
      </c>
      <c r="D1903" s="3">
        <f>IFERROR(__xludf.DUMMYFUNCTION("SPLIT(A1903, ""|"")"),43137.0)</f>
        <v>43137</v>
      </c>
      <c r="E1903" s="2">
        <f>IFERROR(__xludf.DUMMYFUNCTION("""COMPUTED_VALUE"""),278733.0)</f>
        <v>278733</v>
      </c>
      <c r="F1903" s="2">
        <f>IFERROR(__xludf.DUMMYFUNCTION("""COMPUTED_VALUE"""),4195909.0)</f>
        <v>4195909</v>
      </c>
      <c r="G1903" s="2">
        <f>IFERROR(__xludf.DUMMYFUNCTION("""COMPUTED_VALUE"""),71.5166)</f>
        <v>71.5166</v>
      </c>
    </row>
    <row r="1904">
      <c r="A1904" s="1" t="s">
        <v>1903</v>
      </c>
      <c r="D1904" s="3">
        <f>IFERROR(__xludf.DUMMYFUNCTION("SPLIT(A1904, ""|"")"),43137.0)</f>
        <v>43137</v>
      </c>
      <c r="E1904" s="2">
        <f>IFERROR(__xludf.DUMMYFUNCTION("""COMPUTED_VALUE"""),1234593.0)</f>
        <v>1234593</v>
      </c>
      <c r="F1904" s="2">
        <f>IFERROR(__xludf.DUMMYFUNCTION("""COMPUTED_VALUE"""),4195585.0)</f>
        <v>4195585</v>
      </c>
      <c r="G1904" s="2">
        <f>IFERROR(__xludf.DUMMYFUNCTION("""COMPUTED_VALUE"""),68.9931)</f>
        <v>68.9931</v>
      </c>
    </row>
    <row r="1905">
      <c r="A1905" s="1" t="s">
        <v>1904</v>
      </c>
      <c r="D1905" s="3">
        <f>IFERROR(__xludf.DUMMYFUNCTION("SPLIT(A1905, ""|"")"),43137.0)</f>
        <v>43137</v>
      </c>
      <c r="E1905" s="2">
        <f>IFERROR(__xludf.DUMMYFUNCTION("""COMPUTED_VALUE"""),1381413.0)</f>
        <v>1381413</v>
      </c>
      <c r="F1905" s="2">
        <f>IFERROR(__xludf.DUMMYFUNCTION("""COMPUTED_VALUE"""),4195721.0)</f>
        <v>4195721</v>
      </c>
      <c r="G1905" s="2">
        <f>IFERROR(__xludf.DUMMYFUNCTION("""COMPUTED_VALUE"""),71.8805)</f>
        <v>71.8805</v>
      </c>
    </row>
    <row r="1906">
      <c r="A1906" s="1" t="s">
        <v>1905</v>
      </c>
      <c r="D1906" s="3">
        <f>IFERROR(__xludf.DUMMYFUNCTION("SPLIT(A1906, ""|"")"),43137.0)</f>
        <v>43137</v>
      </c>
      <c r="E1906" s="2">
        <f>IFERROR(__xludf.DUMMYFUNCTION("""COMPUTED_VALUE"""),1382673.0)</f>
        <v>1382673</v>
      </c>
      <c r="F1906" s="2">
        <f>IFERROR(__xludf.DUMMYFUNCTION("""COMPUTED_VALUE"""),4196787.0)</f>
        <v>4196787</v>
      </c>
      <c r="G1906" s="2">
        <f>IFERROR(__xludf.DUMMYFUNCTION("""COMPUTED_VALUE"""),36.679)</f>
        <v>36.679</v>
      </c>
    </row>
    <row r="1907">
      <c r="A1907" s="1" t="s">
        <v>1906</v>
      </c>
      <c r="D1907" s="3">
        <f>IFERROR(__xludf.DUMMYFUNCTION("SPLIT(A1907, ""|"")"),43137.0)</f>
        <v>43137</v>
      </c>
      <c r="E1907" s="2">
        <f>IFERROR(__xludf.DUMMYFUNCTION("""COMPUTED_VALUE"""),1319343.0)</f>
        <v>1319343</v>
      </c>
      <c r="F1907" s="2">
        <f>IFERROR(__xludf.DUMMYFUNCTION("""COMPUTED_VALUE"""),4196160.0)</f>
        <v>4196160</v>
      </c>
      <c r="G1907" s="2">
        <f>IFERROR(__xludf.DUMMYFUNCTION("""COMPUTED_VALUE"""),46.9120999999999)</f>
        <v>46.9121</v>
      </c>
    </row>
    <row r="1908">
      <c r="A1908" s="1" t="s">
        <v>1907</v>
      </c>
      <c r="D1908" s="3">
        <f>IFERROR(__xludf.DUMMYFUNCTION("SPLIT(A1908, ""|"")"),43137.0)</f>
        <v>43137</v>
      </c>
      <c r="E1908" s="2">
        <f>IFERROR(__xludf.DUMMYFUNCTION("""COMPUTED_VALUE"""),485253.0)</f>
        <v>485253</v>
      </c>
      <c r="F1908" s="2">
        <f>IFERROR(__xludf.DUMMYFUNCTION("""COMPUTED_VALUE"""),4197765.0)</f>
        <v>4197765</v>
      </c>
      <c r="G1908" s="2">
        <f>IFERROR(__xludf.DUMMYFUNCTION("""COMPUTED_VALUE"""),92.2557)</f>
        <v>92.2557</v>
      </c>
    </row>
    <row r="1909">
      <c r="A1909" s="1" t="s">
        <v>1908</v>
      </c>
      <c r="D1909" s="3">
        <f>IFERROR(__xludf.DUMMYFUNCTION("SPLIT(A1909, ""|"")"),43393.0)</f>
        <v>43393</v>
      </c>
      <c r="E1909" s="2">
        <f>IFERROR(__xludf.DUMMYFUNCTION("""COMPUTED_VALUE"""),1223673.0)</f>
        <v>1223673</v>
      </c>
      <c r="F1909" s="2">
        <f>IFERROR(__xludf.DUMMYFUNCTION("""COMPUTED_VALUE"""),4864041.0)</f>
        <v>4864041</v>
      </c>
      <c r="G1909" s="2">
        <f>IFERROR(__xludf.DUMMYFUNCTION("""COMPUTED_VALUE"""),132.5757)</f>
        <v>132.5757</v>
      </c>
    </row>
    <row r="1910">
      <c r="A1910" s="1" t="s">
        <v>1909</v>
      </c>
      <c r="D1910" s="3">
        <f>IFERROR(__xludf.DUMMYFUNCTION("SPLIT(A1910, ""|"")"),43393.0)</f>
        <v>43393</v>
      </c>
      <c r="E1910" s="2">
        <f>IFERROR(__xludf.DUMMYFUNCTION("""COMPUTED_VALUE"""),1691163.0)</f>
        <v>1691163</v>
      </c>
      <c r="F1910" s="2">
        <f>IFERROR(__xludf.DUMMYFUNCTION("""COMPUTED_VALUE"""),4861901.0)</f>
        <v>4861901</v>
      </c>
      <c r="G1910" s="2">
        <f>IFERROR(__xludf.DUMMYFUNCTION("""COMPUTED_VALUE"""),62.4167)</f>
        <v>62.4167</v>
      </c>
    </row>
    <row r="1911">
      <c r="A1911" s="1" t="s">
        <v>1910</v>
      </c>
      <c r="D1911" s="3">
        <f>IFERROR(__xludf.DUMMYFUNCTION("SPLIT(A1911, ""|"")"),43393.0)</f>
        <v>43393</v>
      </c>
      <c r="E1911" s="2">
        <f>IFERROR(__xludf.DUMMYFUNCTION("""COMPUTED_VALUE"""),1691823.0)</f>
        <v>1691823</v>
      </c>
      <c r="F1911" s="2">
        <f>IFERROR(__xludf.DUMMYFUNCTION("""COMPUTED_VALUE"""),4864121.0)</f>
        <v>4864121</v>
      </c>
      <c r="G1911" s="2">
        <f>IFERROR(__xludf.DUMMYFUNCTION("""COMPUTED_VALUE"""),9.0256)</f>
        <v>9.0256</v>
      </c>
    </row>
    <row r="1912">
      <c r="A1912" s="1" t="s">
        <v>1911</v>
      </c>
      <c r="D1912" s="3">
        <f>IFERROR(__xludf.DUMMYFUNCTION("SPLIT(A1912, ""|"")"),43393.0)</f>
        <v>43393</v>
      </c>
      <c r="E1912" s="2">
        <f>IFERROR(__xludf.DUMMYFUNCTION("""COMPUTED_VALUE"""),1341843.0)</f>
        <v>1341843</v>
      </c>
      <c r="F1912" s="2">
        <f>IFERROR(__xludf.DUMMYFUNCTION("""COMPUTED_VALUE"""),4863243.0)</f>
        <v>4863243</v>
      </c>
      <c r="G1912" s="2">
        <f>IFERROR(__xludf.DUMMYFUNCTION("""COMPUTED_VALUE"""),133.2374)</f>
        <v>133.2374</v>
      </c>
    </row>
    <row r="1913">
      <c r="A1913" s="1" t="s">
        <v>1912</v>
      </c>
      <c r="D1913" s="3">
        <f>IFERROR(__xludf.DUMMYFUNCTION("SPLIT(A1913, ""|"")"),43393.0)</f>
        <v>43393</v>
      </c>
      <c r="E1913" s="2">
        <f>IFERROR(__xludf.DUMMYFUNCTION("""COMPUTED_VALUE"""),1254663.0)</f>
        <v>1254663</v>
      </c>
      <c r="F1913" s="2">
        <f>IFERROR(__xludf.DUMMYFUNCTION("""COMPUTED_VALUE"""),4863541.0)</f>
        <v>4863541</v>
      </c>
      <c r="G1913" s="2">
        <f>IFERROR(__xludf.DUMMYFUNCTION("""COMPUTED_VALUE"""),60.7481)</f>
        <v>60.7481</v>
      </c>
    </row>
    <row r="1914">
      <c r="A1914" s="1" t="s">
        <v>1913</v>
      </c>
      <c r="D1914" s="3">
        <f>IFERROR(__xludf.DUMMYFUNCTION("SPLIT(A1914, ""|"")"),43393.0)</f>
        <v>43393</v>
      </c>
      <c r="E1914" s="2">
        <f>IFERROR(__xludf.DUMMYFUNCTION("""COMPUTED_VALUE"""),1299153.0)</f>
        <v>1299153</v>
      </c>
      <c r="F1914" s="2">
        <f>IFERROR(__xludf.DUMMYFUNCTION("""COMPUTED_VALUE"""),4863565.0)</f>
        <v>4863565</v>
      </c>
      <c r="G1914" s="2">
        <f>IFERROR(__xludf.DUMMYFUNCTION("""COMPUTED_VALUE"""),98.2768)</f>
        <v>98.2768</v>
      </c>
    </row>
    <row r="1915">
      <c r="A1915" s="1" t="s">
        <v>1914</v>
      </c>
      <c r="D1915" s="3">
        <f>IFERROR(__xludf.DUMMYFUNCTION("SPLIT(A1915, ""|"")"),43393.0)</f>
        <v>43393</v>
      </c>
      <c r="E1915" s="2">
        <f>IFERROR(__xludf.DUMMYFUNCTION("""COMPUTED_VALUE"""),1209573.0)</f>
        <v>1209573</v>
      </c>
      <c r="F1915" s="2">
        <f>IFERROR(__xludf.DUMMYFUNCTION("""COMPUTED_VALUE"""),4862379.0)</f>
        <v>4862379</v>
      </c>
      <c r="G1915" s="2">
        <f>IFERROR(__xludf.DUMMYFUNCTION("""COMPUTED_VALUE"""),22.7948)</f>
        <v>22.7948</v>
      </c>
    </row>
    <row r="1916">
      <c r="A1916" s="1" t="s">
        <v>1915</v>
      </c>
      <c r="D1916" s="3">
        <f>IFERROR(__xludf.DUMMYFUNCTION("SPLIT(A1916, ""|"")"),43138.0)</f>
        <v>43138</v>
      </c>
      <c r="E1916" s="2">
        <f>IFERROR(__xludf.DUMMYFUNCTION("""COMPUTED_VALUE"""),1384563.0)</f>
        <v>1384563</v>
      </c>
      <c r="F1916" s="2">
        <f>IFERROR(__xludf.DUMMYFUNCTION("""COMPUTED_VALUE"""),4198653.0)</f>
        <v>4198653</v>
      </c>
      <c r="G1916" s="2">
        <f>IFERROR(__xludf.DUMMYFUNCTION("""COMPUTED_VALUE"""),82.5625)</f>
        <v>82.5625</v>
      </c>
    </row>
    <row r="1917">
      <c r="A1917" s="1" t="s">
        <v>1916</v>
      </c>
      <c r="D1917" s="3">
        <f>IFERROR(__xludf.DUMMYFUNCTION("SPLIT(A1917, ""|"")"),43138.0)</f>
        <v>43138</v>
      </c>
      <c r="E1917" s="2">
        <f>IFERROR(__xludf.DUMMYFUNCTION("""COMPUTED_VALUE"""),1184643.0)</f>
        <v>1184643</v>
      </c>
      <c r="F1917" s="2">
        <f>IFERROR(__xludf.DUMMYFUNCTION("""COMPUTED_VALUE"""),4200329.0)</f>
        <v>4200329</v>
      </c>
      <c r="G1917" s="2">
        <f>IFERROR(__xludf.DUMMYFUNCTION("""COMPUTED_VALUE"""),455.2836)</f>
        <v>455.2836</v>
      </c>
    </row>
    <row r="1918">
      <c r="A1918" s="1" t="s">
        <v>1917</v>
      </c>
      <c r="D1918" s="3">
        <f>IFERROR(__xludf.DUMMYFUNCTION("SPLIT(A1918, ""|"")"),43138.0)</f>
        <v>43138</v>
      </c>
      <c r="E1918" s="2">
        <f>IFERROR(__xludf.DUMMYFUNCTION("""COMPUTED_VALUE"""),1138083.0)</f>
        <v>1138083</v>
      </c>
      <c r="F1918" s="2">
        <f>IFERROR(__xludf.DUMMYFUNCTION("""COMPUTED_VALUE"""),4200367.0)</f>
        <v>4200367</v>
      </c>
      <c r="G1918" s="2">
        <f>IFERROR(__xludf.DUMMYFUNCTION("""COMPUTED_VALUE"""),143.7558)</f>
        <v>143.7558</v>
      </c>
    </row>
    <row r="1919">
      <c r="A1919" s="1" t="s">
        <v>1918</v>
      </c>
      <c r="D1919" s="3">
        <f>IFERROR(__xludf.DUMMYFUNCTION("SPLIT(A1919, ""|"")"),43138.0)</f>
        <v>43138</v>
      </c>
      <c r="E1919" s="2">
        <f>IFERROR(__xludf.DUMMYFUNCTION("""COMPUTED_VALUE"""),1522173.0)</f>
        <v>1522173</v>
      </c>
      <c r="F1919" s="2">
        <f>IFERROR(__xludf.DUMMYFUNCTION("""COMPUTED_VALUE"""),4199559.0)</f>
        <v>4199559</v>
      </c>
      <c r="G1919" s="2">
        <f>IFERROR(__xludf.DUMMYFUNCTION("""COMPUTED_VALUE"""),60.585)</f>
        <v>60.585</v>
      </c>
    </row>
    <row r="1920">
      <c r="A1920" s="1" t="s">
        <v>1919</v>
      </c>
      <c r="D1920" s="3">
        <f>IFERROR(__xludf.DUMMYFUNCTION("SPLIT(A1920, ""|"")"),43138.0)</f>
        <v>43138</v>
      </c>
      <c r="E1920" s="2">
        <f>IFERROR(__xludf.DUMMYFUNCTION("""COMPUTED_VALUE"""),1256073.0)</f>
        <v>1256073</v>
      </c>
      <c r="F1920" s="2">
        <f>IFERROR(__xludf.DUMMYFUNCTION("""COMPUTED_VALUE"""),4198788.0)</f>
        <v>4198788</v>
      </c>
      <c r="G1920" s="2">
        <f>IFERROR(__xludf.DUMMYFUNCTION("""COMPUTED_VALUE"""),72.2021)</f>
        <v>72.2021</v>
      </c>
    </row>
    <row r="1921">
      <c r="A1921" s="1" t="s">
        <v>1920</v>
      </c>
      <c r="D1921" s="3">
        <f>IFERROR(__xludf.DUMMYFUNCTION("SPLIT(A1921, ""|"")"),43138.0)</f>
        <v>43138</v>
      </c>
      <c r="E1921" s="2">
        <f>IFERROR(__xludf.DUMMYFUNCTION("""COMPUTED_VALUE"""),1220583.0)</f>
        <v>1220583</v>
      </c>
      <c r="F1921" s="2">
        <f>IFERROR(__xludf.DUMMYFUNCTION("""COMPUTED_VALUE"""),4200229.0)</f>
        <v>4200229</v>
      </c>
      <c r="G1921" s="2">
        <f>IFERROR(__xludf.DUMMYFUNCTION("""COMPUTED_VALUE"""),67.0127)</f>
        <v>67.0127</v>
      </c>
    </row>
    <row r="1922">
      <c r="A1922" s="1" t="s">
        <v>1921</v>
      </c>
      <c r="D1922" s="3">
        <f>IFERROR(__xludf.DUMMYFUNCTION("SPLIT(A1922, ""|"")"),43138.0)</f>
        <v>43138</v>
      </c>
      <c r="E1922" s="2">
        <f>IFERROR(__xludf.DUMMYFUNCTION("""COMPUTED_VALUE"""),1478673.0)</f>
        <v>1478673</v>
      </c>
      <c r="F1922" s="2">
        <f>IFERROR(__xludf.DUMMYFUNCTION("""COMPUTED_VALUE"""),4200371.0)</f>
        <v>4200371</v>
      </c>
      <c r="G1922" s="2">
        <f>IFERROR(__xludf.DUMMYFUNCTION("""COMPUTED_VALUE"""),41.0203)</f>
        <v>41.0203</v>
      </c>
    </row>
    <row r="1923">
      <c r="A1923" s="1" t="s">
        <v>1922</v>
      </c>
      <c r="D1923" s="3">
        <f>IFERROR(__xludf.DUMMYFUNCTION("SPLIT(A1923, ""|"")"),43394.0)</f>
        <v>43394</v>
      </c>
      <c r="E1923" s="2">
        <f>IFERROR(__xludf.DUMMYFUNCTION("""COMPUTED_VALUE"""),1692243.0)</f>
        <v>1692243</v>
      </c>
      <c r="F1923" s="2">
        <f>IFERROR(__xludf.DUMMYFUNCTION("""COMPUTED_VALUE"""),4865659.0)</f>
        <v>4865659</v>
      </c>
      <c r="G1923" s="2">
        <f>IFERROR(__xludf.DUMMYFUNCTION("""COMPUTED_VALUE"""),61.9559)</f>
        <v>61.9559</v>
      </c>
    </row>
    <row r="1924">
      <c r="A1924" s="1" t="s">
        <v>1923</v>
      </c>
      <c r="D1924" s="3">
        <f>IFERROR(__xludf.DUMMYFUNCTION("SPLIT(A1924, ""|"")"),43394.0)</f>
        <v>43394</v>
      </c>
      <c r="E1924" s="2">
        <f>IFERROR(__xludf.DUMMYFUNCTION("""COMPUTED_VALUE"""),1594203.0)</f>
        <v>1594203</v>
      </c>
      <c r="F1924" s="2">
        <f>IFERROR(__xludf.DUMMYFUNCTION("""COMPUTED_VALUE"""),4864264.0)</f>
        <v>4864264</v>
      </c>
      <c r="G1924" s="2">
        <f>IFERROR(__xludf.DUMMYFUNCTION("""COMPUTED_VALUE"""),145.221799999999)</f>
        <v>145.2218</v>
      </c>
    </row>
    <row r="1925">
      <c r="A1925" s="1" t="s">
        <v>1924</v>
      </c>
      <c r="D1925" s="3">
        <f>IFERROR(__xludf.DUMMYFUNCTION("SPLIT(A1925, ""|"")"),43394.0)</f>
        <v>43394</v>
      </c>
      <c r="E1925" s="2">
        <f>IFERROR(__xludf.DUMMYFUNCTION("""COMPUTED_VALUE"""),1063383.0)</f>
        <v>1063383</v>
      </c>
      <c r="F1925" s="2">
        <f>IFERROR(__xludf.DUMMYFUNCTION("""COMPUTED_VALUE"""),4867309.0)</f>
        <v>4867309</v>
      </c>
      <c r="G1925" s="2">
        <f>IFERROR(__xludf.DUMMYFUNCTION("""COMPUTED_VALUE"""),43.6881999999999)</f>
        <v>43.6882</v>
      </c>
    </row>
    <row r="1926">
      <c r="A1926" s="1" t="s">
        <v>1925</v>
      </c>
      <c r="D1926" s="3">
        <f>IFERROR(__xludf.DUMMYFUNCTION("SPLIT(A1926, ""|"")"),43394.0)</f>
        <v>43394</v>
      </c>
      <c r="E1926" s="2">
        <f>IFERROR(__xludf.DUMMYFUNCTION("""COMPUTED_VALUE"""),1692033.0)</f>
        <v>1692033</v>
      </c>
      <c r="F1926" s="2">
        <f>IFERROR(__xludf.DUMMYFUNCTION("""COMPUTED_VALUE"""),4864828.0)</f>
        <v>4864828</v>
      </c>
      <c r="G1926" s="2">
        <f>IFERROR(__xludf.DUMMYFUNCTION("""COMPUTED_VALUE"""),84.2208)</f>
        <v>84.2208</v>
      </c>
    </row>
    <row r="1927">
      <c r="A1927" s="1" t="s">
        <v>1926</v>
      </c>
      <c r="D1927" s="3">
        <f>IFERROR(__xludf.DUMMYFUNCTION("SPLIT(A1927, ""|"")"),43394.0)</f>
        <v>43394</v>
      </c>
      <c r="E1927" s="2">
        <f>IFERROR(__xludf.DUMMYFUNCTION("""COMPUTED_VALUE"""),1692153.0)</f>
        <v>1692153</v>
      </c>
      <c r="F1927" s="2">
        <f>IFERROR(__xludf.DUMMYFUNCTION("""COMPUTED_VALUE"""),4865263.0)</f>
        <v>4865263</v>
      </c>
      <c r="G1927" s="2">
        <f>IFERROR(__xludf.DUMMYFUNCTION("""COMPUTED_VALUE"""),41.0695)</f>
        <v>41.0695</v>
      </c>
    </row>
    <row r="1928">
      <c r="A1928" s="1" t="s">
        <v>1927</v>
      </c>
      <c r="D1928" s="3">
        <f>IFERROR(__xludf.DUMMYFUNCTION("SPLIT(A1928, ""|"")"),43394.0)</f>
        <v>43394</v>
      </c>
      <c r="E1928" s="2">
        <f>IFERROR(__xludf.DUMMYFUNCTION("""COMPUTED_VALUE"""),1645953.0)</f>
        <v>1645953</v>
      </c>
      <c r="F1928" s="2">
        <f>IFERROR(__xludf.DUMMYFUNCTION("""COMPUTED_VALUE"""),4865537.0)</f>
        <v>4865537</v>
      </c>
      <c r="G1928" s="2">
        <f>IFERROR(__xludf.DUMMYFUNCTION("""COMPUTED_VALUE"""),121.8139)</f>
        <v>121.8139</v>
      </c>
    </row>
    <row r="1929">
      <c r="A1929" s="1" t="s">
        <v>1928</v>
      </c>
      <c r="D1929" s="3">
        <f>IFERROR(__xludf.DUMMYFUNCTION("SPLIT(A1929, ""|"")"),43394.0)</f>
        <v>43394</v>
      </c>
      <c r="E1929" s="2">
        <f>IFERROR(__xludf.DUMMYFUNCTION("""COMPUTED_VALUE"""),1435293.0)</f>
        <v>1435293</v>
      </c>
      <c r="F1929" s="2">
        <f>IFERROR(__xludf.DUMMYFUNCTION("""COMPUTED_VALUE"""),4867171.0)</f>
        <v>4867171</v>
      </c>
      <c r="G1929" s="2">
        <f>IFERROR(__xludf.DUMMYFUNCTION("""COMPUTED_VALUE"""),73.9191)</f>
        <v>73.9191</v>
      </c>
    </row>
    <row r="1930">
      <c r="A1930" s="1" t="s">
        <v>1929</v>
      </c>
      <c r="D1930" s="3">
        <f>IFERROR(__xludf.DUMMYFUNCTION("SPLIT(A1930, ""|"")"),43394.0)</f>
        <v>43394</v>
      </c>
      <c r="E1930" s="2">
        <f>IFERROR(__xludf.DUMMYFUNCTION("""COMPUTED_VALUE"""),1692093.0)</f>
        <v>1692093</v>
      </c>
      <c r="F1930" s="2">
        <f>IFERROR(__xludf.DUMMYFUNCTION("""COMPUTED_VALUE"""),4865068.0)</f>
        <v>4865068</v>
      </c>
      <c r="G1930" s="2">
        <f>IFERROR(__xludf.DUMMYFUNCTION("""COMPUTED_VALUE"""),65.582)</f>
        <v>65.582</v>
      </c>
    </row>
    <row r="1931">
      <c r="A1931" s="1" t="s">
        <v>1930</v>
      </c>
      <c r="D1931" s="3">
        <f>IFERROR(__xludf.DUMMYFUNCTION("SPLIT(A1931, ""|"")"),43139.0)</f>
        <v>43139</v>
      </c>
      <c r="E1931" s="2">
        <f>IFERROR(__xludf.DUMMYFUNCTION("""COMPUTED_VALUE"""),1457763.0)</f>
        <v>1457763</v>
      </c>
      <c r="F1931" s="2">
        <f>IFERROR(__xludf.DUMMYFUNCTION("""COMPUTED_VALUE"""),4203126.0)</f>
        <v>4203126</v>
      </c>
      <c r="G1931" s="2">
        <f>IFERROR(__xludf.DUMMYFUNCTION("""COMPUTED_VALUE"""),115.625)</f>
        <v>115.625</v>
      </c>
    </row>
    <row r="1932">
      <c r="A1932" s="1" t="s">
        <v>1931</v>
      </c>
      <c r="D1932" s="3">
        <f>IFERROR(__xludf.DUMMYFUNCTION("SPLIT(A1932, ""|"")"),43139.0)</f>
        <v>43139</v>
      </c>
      <c r="E1932" s="2">
        <f>IFERROR(__xludf.DUMMYFUNCTION("""COMPUTED_VALUE"""),1030023.0)</f>
        <v>1030023</v>
      </c>
      <c r="F1932" s="2">
        <f>IFERROR(__xludf.DUMMYFUNCTION("""COMPUTED_VALUE"""),4202139.0)</f>
        <v>4202139</v>
      </c>
      <c r="G1932" s="2">
        <f>IFERROR(__xludf.DUMMYFUNCTION("""COMPUTED_VALUE"""),89.8822)</f>
        <v>89.8822</v>
      </c>
    </row>
    <row r="1933">
      <c r="A1933" s="1" t="s">
        <v>1932</v>
      </c>
      <c r="D1933" s="3">
        <f>IFERROR(__xludf.DUMMYFUNCTION("SPLIT(A1933, ""|"")"),43139.0)</f>
        <v>43139</v>
      </c>
      <c r="E1933" s="2">
        <f>IFERROR(__xludf.DUMMYFUNCTION("""COMPUTED_VALUE"""),1523943.0)</f>
        <v>1523943</v>
      </c>
      <c r="F1933" s="2">
        <f>IFERROR(__xludf.DUMMYFUNCTION("""COMPUTED_VALUE"""),4202533.0)</f>
        <v>4202533</v>
      </c>
      <c r="G1933" s="2">
        <f>IFERROR(__xludf.DUMMYFUNCTION("""COMPUTED_VALUE"""),22.1059)</f>
        <v>22.1059</v>
      </c>
    </row>
    <row r="1934">
      <c r="A1934" s="1" t="s">
        <v>1933</v>
      </c>
      <c r="D1934" s="3">
        <f>IFERROR(__xludf.DUMMYFUNCTION("SPLIT(A1934, ""|"")"),43139.0)</f>
        <v>43139</v>
      </c>
      <c r="E1934" s="2">
        <f>IFERROR(__xludf.DUMMYFUNCTION("""COMPUTED_VALUE"""),358443.0)</f>
        <v>358443</v>
      </c>
      <c r="F1934" s="2">
        <f>IFERROR(__xludf.DUMMYFUNCTION("""COMPUTED_VALUE"""),4202982.0)</f>
        <v>4202982</v>
      </c>
      <c r="G1934" s="2">
        <f>IFERROR(__xludf.DUMMYFUNCTION("""COMPUTED_VALUE"""),103.2188)</f>
        <v>103.2188</v>
      </c>
    </row>
    <row r="1935">
      <c r="A1935" s="1" t="s">
        <v>1934</v>
      </c>
      <c r="D1935" s="3">
        <f>IFERROR(__xludf.DUMMYFUNCTION("SPLIT(A1935, ""|"")"),43139.0)</f>
        <v>43139</v>
      </c>
      <c r="E1935" s="2">
        <f>IFERROR(__xludf.DUMMYFUNCTION("""COMPUTED_VALUE"""),1458843.0)</f>
        <v>1458843</v>
      </c>
      <c r="F1935" s="2">
        <f>IFERROR(__xludf.DUMMYFUNCTION("""COMPUTED_VALUE"""),4201867.0)</f>
        <v>4201867</v>
      </c>
      <c r="G1935" s="2">
        <f>IFERROR(__xludf.DUMMYFUNCTION("""COMPUTED_VALUE"""),13.0)</f>
        <v>13</v>
      </c>
    </row>
    <row r="1936">
      <c r="A1936" s="1" t="s">
        <v>1935</v>
      </c>
      <c r="D1936" s="3">
        <f>IFERROR(__xludf.DUMMYFUNCTION("SPLIT(A1936, ""|"")"),43395.0)</f>
        <v>43395</v>
      </c>
      <c r="E1936" s="2">
        <f>IFERROR(__xludf.DUMMYFUNCTION("""COMPUTED_VALUE"""),1693023.0)</f>
        <v>1693023</v>
      </c>
      <c r="F1936" s="2">
        <f>IFERROR(__xludf.DUMMYFUNCTION("""COMPUTED_VALUE"""),4869049.0)</f>
        <v>4869049</v>
      </c>
      <c r="G1936" s="2">
        <f>IFERROR(__xludf.DUMMYFUNCTION("""COMPUTED_VALUE"""),69.0728)</f>
        <v>69.0728</v>
      </c>
    </row>
    <row r="1937">
      <c r="A1937" s="1" t="s">
        <v>1936</v>
      </c>
      <c r="D1937" s="3">
        <f>IFERROR(__xludf.DUMMYFUNCTION("SPLIT(A1937, ""|"")"),43395.0)</f>
        <v>43395</v>
      </c>
      <c r="E1937" s="2">
        <f>IFERROR(__xludf.DUMMYFUNCTION("""COMPUTED_VALUE"""),1690563.0)</f>
        <v>1690563</v>
      </c>
      <c r="F1937" s="2">
        <f>IFERROR(__xludf.DUMMYFUNCTION("""COMPUTED_VALUE"""),4869919.0)</f>
        <v>4869919</v>
      </c>
      <c r="G1937" s="2">
        <f>IFERROR(__xludf.DUMMYFUNCTION("""COMPUTED_VALUE"""),11.175)</f>
        <v>11.175</v>
      </c>
    </row>
    <row r="1938">
      <c r="A1938" s="1" t="s">
        <v>1937</v>
      </c>
      <c r="D1938" s="3">
        <f>IFERROR(__xludf.DUMMYFUNCTION("SPLIT(A1938, ""|"")"),43395.0)</f>
        <v>43395</v>
      </c>
      <c r="E1938" s="2">
        <f>IFERROR(__xludf.DUMMYFUNCTION("""COMPUTED_VALUE"""),1693233.0)</f>
        <v>1693233</v>
      </c>
      <c r="F1938" s="2">
        <f>IFERROR(__xludf.DUMMYFUNCTION("""COMPUTED_VALUE"""),4869805.0)</f>
        <v>4869805</v>
      </c>
      <c r="G1938" s="2">
        <f>IFERROR(__xludf.DUMMYFUNCTION("""COMPUTED_VALUE"""),35.5352)</f>
        <v>35.5352</v>
      </c>
    </row>
    <row r="1939">
      <c r="A1939" s="1" t="s">
        <v>1938</v>
      </c>
      <c r="D1939" s="3">
        <f>IFERROR(__xludf.DUMMYFUNCTION("SPLIT(A1939, ""|"")"),43395.0)</f>
        <v>43395</v>
      </c>
      <c r="E1939" s="2">
        <f>IFERROR(__xludf.DUMMYFUNCTION("""COMPUTED_VALUE"""),1635813.0)</f>
        <v>1635813</v>
      </c>
      <c r="F1939" s="2">
        <f>IFERROR(__xludf.DUMMYFUNCTION("""COMPUTED_VALUE"""),4869130.0)</f>
        <v>4869130</v>
      </c>
      <c r="G1939" s="2">
        <f>IFERROR(__xludf.DUMMYFUNCTION("""COMPUTED_VALUE"""),89.9658)</f>
        <v>89.9658</v>
      </c>
    </row>
    <row r="1940">
      <c r="A1940" s="1" t="s">
        <v>1939</v>
      </c>
      <c r="D1940" s="3">
        <f>IFERROR(__xludf.DUMMYFUNCTION("SPLIT(A1940, ""|"")"),43395.0)</f>
        <v>43395</v>
      </c>
      <c r="E1940" s="2">
        <f>IFERROR(__xludf.DUMMYFUNCTION("""COMPUTED_VALUE"""),1457763.0)</f>
        <v>1457763</v>
      </c>
      <c r="F1940" s="2">
        <f>IFERROR(__xludf.DUMMYFUNCTION("""COMPUTED_VALUE"""),4868242.0)</f>
        <v>4868242</v>
      </c>
      <c r="G1940" s="2">
        <f>IFERROR(__xludf.DUMMYFUNCTION("""COMPUTED_VALUE"""),83.625)</f>
        <v>83.625</v>
      </c>
    </row>
    <row r="1941">
      <c r="A1941" s="1" t="s">
        <v>1940</v>
      </c>
      <c r="D1941" s="3">
        <f>IFERROR(__xludf.DUMMYFUNCTION("SPLIT(A1941, ""|"")"),43395.0)</f>
        <v>43395</v>
      </c>
      <c r="E1941" s="2">
        <f>IFERROR(__xludf.DUMMYFUNCTION("""COMPUTED_VALUE"""),1588233.0)</f>
        <v>1588233</v>
      </c>
      <c r="F1941" s="2">
        <f>IFERROR(__xludf.DUMMYFUNCTION("""COMPUTED_VALUE"""),4869903.0)</f>
        <v>4869903</v>
      </c>
      <c r="G1941" s="2">
        <f>IFERROR(__xludf.DUMMYFUNCTION("""COMPUTED_VALUE"""),100.9622)</f>
        <v>100.9622</v>
      </c>
    </row>
    <row r="1942">
      <c r="A1942" s="1" t="s">
        <v>1941</v>
      </c>
      <c r="D1942" s="3">
        <f>IFERROR(__xludf.DUMMYFUNCTION("SPLIT(A1942, ""|"")"),43395.0)</f>
        <v>43395</v>
      </c>
      <c r="E1942" s="2">
        <f>IFERROR(__xludf.DUMMYFUNCTION("""COMPUTED_VALUE"""),217743.0)</f>
        <v>217743</v>
      </c>
      <c r="F1942" s="2">
        <f>IFERROR(__xludf.DUMMYFUNCTION("""COMPUTED_VALUE"""),4868444.0)</f>
        <v>4868444</v>
      </c>
      <c r="G1942" s="2">
        <f>IFERROR(__xludf.DUMMYFUNCTION("""COMPUTED_VALUE"""),80.1831)</f>
        <v>80.1831</v>
      </c>
    </row>
    <row r="1943">
      <c r="A1943" s="1" t="s">
        <v>1942</v>
      </c>
      <c r="D1943" s="3">
        <f>IFERROR(__xludf.DUMMYFUNCTION("SPLIT(A1943, ""|"")"),43395.0)</f>
        <v>43395</v>
      </c>
      <c r="E1943" s="2">
        <f>IFERROR(__xludf.DUMMYFUNCTION("""COMPUTED_VALUE"""),306303.0)</f>
        <v>306303</v>
      </c>
      <c r="F1943" s="2">
        <f>IFERROR(__xludf.DUMMYFUNCTION("""COMPUTED_VALUE"""),4870326.0)</f>
        <v>4870326</v>
      </c>
      <c r="G1943" s="2">
        <f>IFERROR(__xludf.DUMMYFUNCTION("""COMPUTED_VALUE"""),82.324)</f>
        <v>82.324</v>
      </c>
    </row>
    <row r="1944">
      <c r="A1944" s="1" t="s">
        <v>1943</v>
      </c>
      <c r="D1944" s="3">
        <f>IFERROR(__xludf.DUMMYFUNCTION("SPLIT(A1944, ""|"")"),43395.0)</f>
        <v>43395</v>
      </c>
      <c r="E1944" s="2">
        <f>IFERROR(__xludf.DUMMYFUNCTION("""COMPUTED_VALUE"""),414963.0)</f>
        <v>414963</v>
      </c>
      <c r="F1944" s="2">
        <f>IFERROR(__xludf.DUMMYFUNCTION("""COMPUTED_VALUE"""),4867993.0)</f>
        <v>4867993</v>
      </c>
      <c r="G1944" s="2">
        <f>IFERROR(__xludf.DUMMYFUNCTION("""COMPUTED_VALUE"""),80.5424)</f>
        <v>80.5424</v>
      </c>
    </row>
    <row r="1945">
      <c r="A1945" s="1" t="s">
        <v>1944</v>
      </c>
      <c r="D1945" s="3">
        <f>IFERROR(__xludf.DUMMYFUNCTION("SPLIT(A1945, ""|"")"),43395.0)</f>
        <v>43395</v>
      </c>
      <c r="E1945" s="2">
        <f>IFERROR(__xludf.DUMMYFUNCTION("""COMPUTED_VALUE"""),1030023.0)</f>
        <v>1030023</v>
      </c>
      <c r="F1945" s="2">
        <f>IFERROR(__xludf.DUMMYFUNCTION("""COMPUTED_VALUE"""),4869995.0)</f>
        <v>4869995</v>
      </c>
      <c r="G1945" s="2">
        <f>IFERROR(__xludf.DUMMYFUNCTION("""COMPUTED_VALUE"""),114.3666)</f>
        <v>114.3666</v>
      </c>
    </row>
    <row r="1946">
      <c r="A1946" s="1" t="s">
        <v>1945</v>
      </c>
      <c r="D1946" s="3">
        <f>IFERROR(__xludf.DUMMYFUNCTION("SPLIT(A1946, ""|"")"),43395.0)</f>
        <v>43395</v>
      </c>
      <c r="E1946" s="2">
        <f>IFERROR(__xludf.DUMMYFUNCTION("""COMPUTED_VALUE"""),1058073.0)</f>
        <v>1058073</v>
      </c>
      <c r="F1946" s="2">
        <f>IFERROR(__xludf.DUMMYFUNCTION("""COMPUTED_VALUE"""),4869041.0)</f>
        <v>4869041</v>
      </c>
      <c r="G1946" s="2">
        <f>IFERROR(__xludf.DUMMYFUNCTION("""COMPUTED_VALUE"""),72.4951)</f>
        <v>72.4951</v>
      </c>
    </row>
    <row r="1947">
      <c r="A1947" s="1" t="s">
        <v>1946</v>
      </c>
      <c r="D1947" s="3">
        <f>IFERROR(__xludf.DUMMYFUNCTION("SPLIT(A1947, ""|"")"),43395.0)</f>
        <v>43395</v>
      </c>
      <c r="E1947" s="2">
        <f>IFERROR(__xludf.DUMMYFUNCTION("""COMPUTED_VALUE"""),1611333.0)</f>
        <v>1611333</v>
      </c>
      <c r="F1947" s="2">
        <f>IFERROR(__xludf.DUMMYFUNCTION("""COMPUTED_VALUE"""),4868089.0)</f>
        <v>4868089</v>
      </c>
      <c r="G1947" s="2">
        <f>IFERROR(__xludf.DUMMYFUNCTION("""COMPUTED_VALUE"""),20.1875)</f>
        <v>20.1875</v>
      </c>
    </row>
    <row r="1948">
      <c r="A1948" s="1" t="s">
        <v>1947</v>
      </c>
      <c r="D1948" s="3">
        <f>IFERROR(__xludf.DUMMYFUNCTION("SPLIT(A1948, ""|"")"),43395.0)</f>
        <v>43395</v>
      </c>
      <c r="E1948" s="2">
        <f>IFERROR(__xludf.DUMMYFUNCTION("""COMPUTED_VALUE"""),1434813.0)</f>
        <v>1434813</v>
      </c>
      <c r="F1948" s="2">
        <f>IFERROR(__xludf.DUMMYFUNCTION("""COMPUTED_VALUE"""),4868847.0)</f>
        <v>4868847</v>
      </c>
      <c r="G1948" s="2">
        <f>IFERROR(__xludf.DUMMYFUNCTION("""COMPUTED_VALUE"""),258.49)</f>
        <v>258.49</v>
      </c>
    </row>
    <row r="1949">
      <c r="A1949" s="1" t="s">
        <v>1948</v>
      </c>
      <c r="D1949" s="3">
        <f>IFERROR(__xludf.DUMMYFUNCTION("SPLIT(A1949, ""|"")"),43395.0)</f>
        <v>43395</v>
      </c>
      <c r="E1949" s="2">
        <f>IFERROR(__xludf.DUMMYFUNCTION("""COMPUTED_VALUE"""),1692993.0)</f>
        <v>1692993</v>
      </c>
      <c r="F1949" s="2">
        <f>IFERROR(__xludf.DUMMYFUNCTION("""COMPUTED_VALUE"""),4869090.0)</f>
        <v>4869090</v>
      </c>
      <c r="G1949" s="2">
        <f>IFERROR(__xludf.DUMMYFUNCTION("""COMPUTED_VALUE"""),70.5292)</f>
        <v>70.5292</v>
      </c>
    </row>
    <row r="1950">
      <c r="A1950" s="1" t="s">
        <v>1949</v>
      </c>
      <c r="D1950" s="3">
        <f>IFERROR(__xludf.DUMMYFUNCTION("SPLIT(A1950, ""|"")"),43140.0)</f>
        <v>43140</v>
      </c>
      <c r="E1950" s="2">
        <f>IFERROR(__xludf.DUMMYFUNCTION("""COMPUTED_VALUE"""),1435473.0)</f>
        <v>1435473</v>
      </c>
      <c r="F1950" s="2">
        <f>IFERROR(__xludf.DUMMYFUNCTION("""COMPUTED_VALUE"""),4203765.0)</f>
        <v>4203765</v>
      </c>
      <c r="G1950" s="2">
        <f>IFERROR(__xludf.DUMMYFUNCTION("""COMPUTED_VALUE"""),82.275)</f>
        <v>82.275</v>
      </c>
    </row>
    <row r="1951">
      <c r="A1951" s="1" t="s">
        <v>1950</v>
      </c>
      <c r="D1951" s="3">
        <f>IFERROR(__xludf.DUMMYFUNCTION("SPLIT(A1951, ""|"")"),43140.0)</f>
        <v>43140</v>
      </c>
      <c r="E1951" s="2">
        <f>IFERROR(__xludf.DUMMYFUNCTION("""COMPUTED_VALUE"""),1516323.0)</f>
        <v>1516323</v>
      </c>
      <c r="F1951" s="2">
        <f>IFERROR(__xludf.DUMMYFUNCTION("""COMPUTED_VALUE"""),4204774.0)</f>
        <v>4204774</v>
      </c>
      <c r="G1951" s="2">
        <f>IFERROR(__xludf.DUMMYFUNCTION("""COMPUTED_VALUE"""),74.0718)</f>
        <v>74.0718</v>
      </c>
    </row>
    <row r="1952">
      <c r="A1952" s="1" t="s">
        <v>1951</v>
      </c>
      <c r="D1952" s="3">
        <f>IFERROR(__xludf.DUMMYFUNCTION("SPLIT(A1952, ""|"")"),43140.0)</f>
        <v>43140</v>
      </c>
      <c r="E1952" s="2">
        <f>IFERROR(__xludf.DUMMYFUNCTION("""COMPUTED_VALUE"""),1524393.0)</f>
        <v>1524393</v>
      </c>
      <c r="F1952" s="2">
        <f>IFERROR(__xludf.DUMMYFUNCTION("""COMPUTED_VALUE"""),4204196.0)</f>
        <v>4204196</v>
      </c>
      <c r="G1952" s="2">
        <f>IFERROR(__xludf.DUMMYFUNCTION("""COMPUTED_VALUE"""),64.4)</f>
        <v>64.4</v>
      </c>
    </row>
    <row r="1953">
      <c r="A1953" s="1" t="s">
        <v>1952</v>
      </c>
      <c r="D1953" s="3">
        <f>IFERROR(__xludf.DUMMYFUNCTION("SPLIT(A1953, ""|"")"),43140.0)</f>
        <v>43140</v>
      </c>
      <c r="E1953" s="2">
        <f>IFERROR(__xludf.DUMMYFUNCTION("""COMPUTED_VALUE"""),1019493.0)</f>
        <v>1019493</v>
      </c>
      <c r="F1953" s="2">
        <f>IFERROR(__xludf.DUMMYFUNCTION("""COMPUTED_VALUE"""),4204399.0)</f>
        <v>4204399</v>
      </c>
      <c r="G1953" s="2">
        <f>IFERROR(__xludf.DUMMYFUNCTION("""COMPUTED_VALUE"""),118.7594)</f>
        <v>118.7594</v>
      </c>
    </row>
    <row r="1954">
      <c r="A1954" s="1" t="s">
        <v>1953</v>
      </c>
      <c r="D1954" s="3">
        <f>IFERROR(__xludf.DUMMYFUNCTION("SPLIT(A1954, ""|"")"),43396.0)</f>
        <v>43396</v>
      </c>
      <c r="E1954" s="2">
        <f>IFERROR(__xludf.DUMMYFUNCTION("""COMPUTED_VALUE"""),1612653.0)</f>
        <v>1612653</v>
      </c>
      <c r="F1954" s="2">
        <f>IFERROR(__xludf.DUMMYFUNCTION("""COMPUTED_VALUE"""),4872995.0)</f>
        <v>4872995</v>
      </c>
      <c r="G1954" s="2">
        <f>IFERROR(__xludf.DUMMYFUNCTION("""COMPUTED_VALUE"""),50.0407)</f>
        <v>50.0407</v>
      </c>
    </row>
    <row r="1955">
      <c r="A1955" s="1" t="s">
        <v>1954</v>
      </c>
      <c r="D1955" s="3">
        <f>IFERROR(__xludf.DUMMYFUNCTION("SPLIT(A1955, ""|"")"),43396.0)</f>
        <v>43396</v>
      </c>
      <c r="E1955" s="2">
        <f>IFERROR(__xludf.DUMMYFUNCTION("""COMPUTED_VALUE"""),1612473.0)</f>
        <v>1612473</v>
      </c>
      <c r="F1955" s="2">
        <f>IFERROR(__xludf.DUMMYFUNCTION("""COMPUTED_VALUE"""),4874534.0)</f>
        <v>4874534</v>
      </c>
      <c r="G1955" s="2">
        <f>IFERROR(__xludf.DUMMYFUNCTION("""COMPUTED_VALUE"""),26.8875)</f>
        <v>26.8875</v>
      </c>
    </row>
    <row r="1956">
      <c r="A1956" s="1" t="s">
        <v>1955</v>
      </c>
      <c r="D1956" s="3">
        <f>IFERROR(__xludf.DUMMYFUNCTION("SPLIT(A1956, ""|"")"),43141.0)</f>
        <v>43141</v>
      </c>
      <c r="E1956" s="2">
        <f>IFERROR(__xludf.DUMMYFUNCTION("""COMPUTED_VALUE"""),217743.0)</f>
        <v>217743</v>
      </c>
      <c r="F1956" s="2">
        <f>IFERROR(__xludf.DUMMYFUNCTION("""COMPUTED_VALUE"""),4207076.0)</f>
        <v>4207076</v>
      </c>
      <c r="G1956" s="2">
        <f>IFERROR(__xludf.DUMMYFUNCTION("""COMPUTED_VALUE"""),75.8437999999999)</f>
        <v>75.8438</v>
      </c>
    </row>
    <row r="1957">
      <c r="A1957" s="1" t="s">
        <v>1956</v>
      </c>
      <c r="D1957" s="3">
        <f>IFERROR(__xludf.DUMMYFUNCTION("SPLIT(A1957, ""|"")"),43141.0)</f>
        <v>43141</v>
      </c>
      <c r="E1957" s="2">
        <f>IFERROR(__xludf.DUMMYFUNCTION("""COMPUTED_VALUE"""),1524873.0)</f>
        <v>1524873</v>
      </c>
      <c r="F1957" s="2">
        <f>IFERROR(__xludf.DUMMYFUNCTION("""COMPUTED_VALUE"""),4206136.0)</f>
        <v>4206136</v>
      </c>
      <c r="G1957" s="2">
        <f>IFERROR(__xludf.DUMMYFUNCTION("""COMPUTED_VALUE"""),68.7437)</f>
        <v>68.7437</v>
      </c>
    </row>
    <row r="1958">
      <c r="A1958" s="1" t="s">
        <v>1957</v>
      </c>
      <c r="D1958" s="3">
        <f>IFERROR(__xludf.DUMMYFUNCTION("SPLIT(A1958, ""|"")"),43141.0)</f>
        <v>43141</v>
      </c>
      <c r="E1958" s="2">
        <f>IFERROR(__xludf.DUMMYFUNCTION("""COMPUTED_VALUE"""),1463253.0)</f>
        <v>1463253</v>
      </c>
      <c r="F1958" s="2">
        <f>IFERROR(__xludf.DUMMYFUNCTION("""COMPUTED_VALUE"""),4206861.0)</f>
        <v>4206861</v>
      </c>
      <c r="G1958" s="2">
        <f>IFERROR(__xludf.DUMMYFUNCTION("""COMPUTED_VALUE"""),10.8333)</f>
        <v>10.8333</v>
      </c>
    </row>
    <row r="1959">
      <c r="A1959" s="1" t="s">
        <v>1958</v>
      </c>
      <c r="D1959" s="3">
        <f>IFERROR(__xludf.DUMMYFUNCTION("SPLIT(A1959, ""|"")"),43141.0)</f>
        <v>43141</v>
      </c>
      <c r="E1959" s="2">
        <f>IFERROR(__xludf.DUMMYFUNCTION("""COMPUTED_VALUE"""),1426383.0)</f>
        <v>1426383</v>
      </c>
      <c r="F1959" s="2">
        <f>IFERROR(__xludf.DUMMYFUNCTION("""COMPUTED_VALUE"""),4206331.0)</f>
        <v>4206331</v>
      </c>
      <c r="G1959" s="2">
        <f>IFERROR(__xludf.DUMMYFUNCTION("""COMPUTED_VALUE"""),112.845799999999)</f>
        <v>112.8458</v>
      </c>
    </row>
    <row r="1960">
      <c r="A1960" s="1" t="s">
        <v>1959</v>
      </c>
      <c r="D1960" s="3">
        <f>IFERROR(__xludf.DUMMYFUNCTION("SPLIT(A1960, ""|"")"),43141.0)</f>
        <v>43141</v>
      </c>
      <c r="E1960" s="2">
        <f>IFERROR(__xludf.DUMMYFUNCTION("""COMPUTED_VALUE"""),1426383.0)</f>
        <v>1426383</v>
      </c>
      <c r="F1960" s="2">
        <f>IFERROR(__xludf.DUMMYFUNCTION("""COMPUTED_VALUE"""),4206342.0)</f>
        <v>4206342</v>
      </c>
      <c r="G1960" s="2">
        <f>IFERROR(__xludf.DUMMYFUNCTION("""COMPUTED_VALUE"""),99.3918999999999)</f>
        <v>99.3919</v>
      </c>
    </row>
    <row r="1961">
      <c r="A1961" s="1" t="s">
        <v>1960</v>
      </c>
      <c r="D1961" s="3">
        <f>IFERROR(__xludf.DUMMYFUNCTION("SPLIT(A1961, ""|"")"),43141.0)</f>
        <v>43141</v>
      </c>
      <c r="E1961" s="2">
        <f>IFERROR(__xludf.DUMMYFUNCTION("""COMPUTED_VALUE"""),1288833.0)</f>
        <v>1288833</v>
      </c>
      <c r="F1961" s="2">
        <f>IFERROR(__xludf.DUMMYFUNCTION("""COMPUTED_VALUE"""),4206901.0)</f>
        <v>4206901</v>
      </c>
      <c r="G1961" s="2">
        <f>IFERROR(__xludf.DUMMYFUNCTION("""COMPUTED_VALUE"""),13.3021)</f>
        <v>13.3021</v>
      </c>
    </row>
    <row r="1962">
      <c r="A1962" s="1" t="s">
        <v>1961</v>
      </c>
      <c r="D1962" s="3">
        <f>IFERROR(__xludf.DUMMYFUNCTION("SPLIT(A1962, ""|"")"),43141.0)</f>
        <v>43141</v>
      </c>
      <c r="E1962" s="2">
        <f>IFERROR(__xludf.DUMMYFUNCTION("""COMPUTED_VALUE"""),1520883.0)</f>
        <v>1520883</v>
      </c>
      <c r="F1962" s="2">
        <f>IFERROR(__xludf.DUMMYFUNCTION("""COMPUTED_VALUE"""),4206413.0)</f>
        <v>4206413</v>
      </c>
      <c r="G1962" s="2">
        <f>IFERROR(__xludf.DUMMYFUNCTION("""COMPUTED_VALUE"""),68.6537)</f>
        <v>68.6537</v>
      </c>
    </row>
    <row r="1963">
      <c r="A1963" s="1" t="s">
        <v>1962</v>
      </c>
      <c r="D1963" s="3">
        <f>IFERROR(__xludf.DUMMYFUNCTION("SPLIT(A1963, ""|"")"),43141.0)</f>
        <v>43141</v>
      </c>
      <c r="E1963" s="2">
        <f>IFERROR(__xludf.DUMMYFUNCTION("""COMPUTED_VALUE"""),17043.0)</f>
        <v>17043</v>
      </c>
      <c r="F1963" s="2">
        <f>IFERROR(__xludf.DUMMYFUNCTION("""COMPUTED_VALUE"""),4206847.0)</f>
        <v>4206847</v>
      </c>
      <c r="G1963" s="2">
        <f>IFERROR(__xludf.DUMMYFUNCTION("""COMPUTED_VALUE"""),34.2943)</f>
        <v>34.2943</v>
      </c>
    </row>
    <row r="1964">
      <c r="A1964" s="1" t="s">
        <v>1963</v>
      </c>
      <c r="D1964" s="3">
        <f>IFERROR(__xludf.DUMMYFUNCTION("SPLIT(A1964, ""|"")"),43397.0)</f>
        <v>43397</v>
      </c>
      <c r="E1964" s="2">
        <f>IFERROR(__xludf.DUMMYFUNCTION("""COMPUTED_VALUE"""),1489683.0)</f>
        <v>1489683</v>
      </c>
      <c r="F1964" s="2">
        <f>IFERROR(__xludf.DUMMYFUNCTION("""COMPUTED_VALUE"""),4878459.0)</f>
        <v>4878459</v>
      </c>
      <c r="G1964" s="2">
        <f>IFERROR(__xludf.DUMMYFUNCTION("""COMPUTED_VALUE"""),85.2004)</f>
        <v>85.2004</v>
      </c>
    </row>
    <row r="1965">
      <c r="A1965" s="1" t="s">
        <v>1964</v>
      </c>
      <c r="D1965" s="3">
        <f>IFERROR(__xludf.DUMMYFUNCTION("SPLIT(A1965, ""|"")"),43397.0)</f>
        <v>43397</v>
      </c>
      <c r="E1965" s="2">
        <f>IFERROR(__xludf.DUMMYFUNCTION("""COMPUTED_VALUE"""),1324833.0)</f>
        <v>1324833</v>
      </c>
      <c r="F1965" s="2">
        <f>IFERROR(__xludf.DUMMYFUNCTION("""COMPUTED_VALUE"""),4882458.0)</f>
        <v>4882458</v>
      </c>
      <c r="G1965" s="2">
        <f>IFERROR(__xludf.DUMMYFUNCTION("""COMPUTED_VALUE"""),31.5076)</f>
        <v>31.5076</v>
      </c>
    </row>
    <row r="1966">
      <c r="A1966" s="1" t="s">
        <v>1965</v>
      </c>
      <c r="D1966" s="3">
        <f>IFERROR(__xludf.DUMMYFUNCTION("SPLIT(A1966, ""|"")"),43397.0)</f>
        <v>43397</v>
      </c>
      <c r="E1966" s="2">
        <f>IFERROR(__xludf.DUMMYFUNCTION("""COMPUTED_VALUE"""),317883.0)</f>
        <v>317883</v>
      </c>
      <c r="F1966" s="2">
        <f>IFERROR(__xludf.DUMMYFUNCTION("""COMPUTED_VALUE"""),4882497.0)</f>
        <v>4882497</v>
      </c>
      <c r="G1966" s="2">
        <f>IFERROR(__xludf.DUMMYFUNCTION("""COMPUTED_VALUE"""),18.0358)</f>
        <v>18.0358</v>
      </c>
    </row>
    <row r="1967">
      <c r="A1967" s="1" t="s">
        <v>1966</v>
      </c>
      <c r="D1967" s="3">
        <f>IFERROR(__xludf.DUMMYFUNCTION("SPLIT(A1967, ""|"")"),43397.0)</f>
        <v>43397</v>
      </c>
      <c r="E1967" s="2">
        <f>IFERROR(__xludf.DUMMYFUNCTION("""COMPUTED_VALUE"""),1696383.0)</f>
        <v>1696383</v>
      </c>
      <c r="F1967" s="2">
        <f>IFERROR(__xludf.DUMMYFUNCTION("""COMPUTED_VALUE"""),4882807.0)</f>
        <v>4882807</v>
      </c>
      <c r="G1967" s="2">
        <f>IFERROR(__xludf.DUMMYFUNCTION("""COMPUTED_VALUE"""),54.7987)</f>
        <v>54.7987</v>
      </c>
    </row>
    <row r="1968">
      <c r="A1968" s="1" t="s">
        <v>1967</v>
      </c>
      <c r="D1968" s="3">
        <f>IFERROR(__xludf.DUMMYFUNCTION("SPLIT(A1968, ""|"")"),43397.0)</f>
        <v>43397</v>
      </c>
      <c r="E1968" s="2">
        <f>IFERROR(__xludf.DUMMYFUNCTION("""COMPUTED_VALUE"""),1694823.0)</f>
        <v>1694823</v>
      </c>
      <c r="F1968" s="2">
        <f>IFERROR(__xludf.DUMMYFUNCTION("""COMPUTED_VALUE"""),4882533.0)</f>
        <v>4882533</v>
      </c>
      <c r="G1968" s="2">
        <f>IFERROR(__xludf.DUMMYFUNCTION("""COMPUTED_VALUE"""),11.282)</f>
        <v>11.282</v>
      </c>
    </row>
    <row r="1969">
      <c r="A1969" s="1" t="s">
        <v>1968</v>
      </c>
      <c r="D1969" s="3">
        <f>IFERROR(__xludf.DUMMYFUNCTION("SPLIT(A1969, ""|"")"),43397.0)</f>
        <v>43397</v>
      </c>
      <c r="E1969" s="2">
        <f>IFERROR(__xludf.DUMMYFUNCTION("""COMPUTED_VALUE"""),1695903.0)</f>
        <v>1695903</v>
      </c>
      <c r="F1969" s="2">
        <f>IFERROR(__xludf.DUMMYFUNCTION("""COMPUTED_VALUE"""),4880949.0)</f>
        <v>4880949</v>
      </c>
      <c r="G1969" s="2">
        <f>IFERROR(__xludf.DUMMYFUNCTION("""COMPUTED_VALUE"""),92.2019)</f>
        <v>92.2019</v>
      </c>
    </row>
    <row r="1970">
      <c r="A1970" s="1" t="s">
        <v>1969</v>
      </c>
      <c r="D1970" s="3">
        <f>IFERROR(__xludf.DUMMYFUNCTION("SPLIT(A1970, ""|"")"),43397.0)</f>
        <v>43397</v>
      </c>
      <c r="E1970" s="2">
        <f>IFERROR(__xludf.DUMMYFUNCTION("""COMPUTED_VALUE"""),120693.0)</f>
        <v>120693</v>
      </c>
      <c r="F1970" s="2">
        <f>IFERROR(__xludf.DUMMYFUNCTION("""COMPUTED_VALUE"""),4883814.0)</f>
        <v>4883814</v>
      </c>
      <c r="G1970" s="2">
        <f>IFERROR(__xludf.DUMMYFUNCTION("""COMPUTED_VALUE"""),18.9479)</f>
        <v>18.9479</v>
      </c>
    </row>
    <row r="1971">
      <c r="A1971" s="1" t="s">
        <v>1970</v>
      </c>
      <c r="D1971" s="3">
        <f>IFERROR(__xludf.DUMMYFUNCTION("SPLIT(A1971, ""|"")"),43397.0)</f>
        <v>43397</v>
      </c>
      <c r="E1971" s="2">
        <f>IFERROR(__xludf.DUMMYFUNCTION("""COMPUTED_VALUE"""),1692513.0)</f>
        <v>1692513</v>
      </c>
      <c r="F1971" s="2">
        <f>IFERROR(__xludf.DUMMYFUNCTION("""COMPUTED_VALUE"""),4878640.0)</f>
        <v>4878640</v>
      </c>
      <c r="G1971" s="2">
        <f>IFERROR(__xludf.DUMMYFUNCTION("""COMPUTED_VALUE"""),64.4983999999999)</f>
        <v>64.4984</v>
      </c>
    </row>
    <row r="1972">
      <c r="A1972" s="1" t="s">
        <v>1971</v>
      </c>
      <c r="D1972" s="3">
        <f>IFERROR(__xludf.DUMMYFUNCTION("SPLIT(A1972, ""|"")"),43142.0)</f>
        <v>43142</v>
      </c>
      <c r="E1972" s="2">
        <f>IFERROR(__xludf.DUMMYFUNCTION("""COMPUTED_VALUE"""),1525383.0)</f>
        <v>1525383</v>
      </c>
      <c r="F1972" s="2">
        <f>IFERROR(__xludf.DUMMYFUNCTION("""COMPUTED_VALUE"""),4207906.0)</f>
        <v>4207906</v>
      </c>
      <c r="G1972" s="2">
        <f>IFERROR(__xludf.DUMMYFUNCTION("""COMPUTED_VALUE"""),133.3333)</f>
        <v>133.3333</v>
      </c>
    </row>
    <row r="1973">
      <c r="A1973" s="1" t="s">
        <v>1972</v>
      </c>
      <c r="D1973" s="3">
        <f>IFERROR(__xludf.DUMMYFUNCTION("SPLIT(A1973, ""|"")"),43142.0)</f>
        <v>43142</v>
      </c>
      <c r="E1973" s="2">
        <f>IFERROR(__xludf.DUMMYFUNCTION("""COMPUTED_VALUE"""),1407573.0)</f>
        <v>1407573</v>
      </c>
      <c r="F1973" s="2">
        <f>IFERROR(__xludf.DUMMYFUNCTION("""COMPUTED_VALUE"""),4209022.0)</f>
        <v>4209022</v>
      </c>
      <c r="G1973" s="2">
        <f>IFERROR(__xludf.DUMMYFUNCTION("""COMPUTED_VALUE"""),77.7712)</f>
        <v>77.7712</v>
      </c>
    </row>
    <row r="1974">
      <c r="A1974" s="1" t="s">
        <v>1973</v>
      </c>
      <c r="D1974" s="3">
        <f>IFERROR(__xludf.DUMMYFUNCTION("SPLIT(A1974, ""|"")"),43142.0)</f>
        <v>43142</v>
      </c>
      <c r="E1974" s="2">
        <f>IFERROR(__xludf.DUMMYFUNCTION("""COMPUTED_VALUE"""),1455903.0)</f>
        <v>1455903</v>
      </c>
      <c r="F1974" s="2">
        <f>IFERROR(__xludf.DUMMYFUNCTION("""COMPUTED_VALUE"""),4208495.0)</f>
        <v>4208495</v>
      </c>
      <c r="G1974" s="2">
        <f>IFERROR(__xludf.DUMMYFUNCTION("""COMPUTED_VALUE"""),61.4654)</f>
        <v>61.4654</v>
      </c>
    </row>
    <row r="1975">
      <c r="A1975" s="1" t="s">
        <v>1974</v>
      </c>
      <c r="D1975" s="3">
        <f>IFERROR(__xludf.DUMMYFUNCTION("SPLIT(A1975, ""|"")"),43142.0)</f>
        <v>43142</v>
      </c>
      <c r="E1975" s="2">
        <f>IFERROR(__xludf.DUMMYFUNCTION("""COMPUTED_VALUE"""),1038093.0)</f>
        <v>1038093</v>
      </c>
      <c r="F1975" s="2">
        <f>IFERROR(__xludf.DUMMYFUNCTION("""COMPUTED_VALUE"""),4209847.0)</f>
        <v>4209847</v>
      </c>
      <c r="G1975" s="2">
        <f>IFERROR(__xludf.DUMMYFUNCTION("""COMPUTED_VALUE"""),46.8811999999999)</f>
        <v>46.8812</v>
      </c>
    </row>
    <row r="1976">
      <c r="A1976" s="1" t="s">
        <v>1975</v>
      </c>
      <c r="D1976" s="3">
        <f>IFERROR(__xludf.DUMMYFUNCTION("SPLIT(A1976, ""|"")"),43142.0)</f>
        <v>43142</v>
      </c>
      <c r="E1976" s="2">
        <f>IFERROR(__xludf.DUMMYFUNCTION("""COMPUTED_VALUE"""),231783.0)</f>
        <v>231783</v>
      </c>
      <c r="F1976" s="2">
        <f>IFERROR(__xludf.DUMMYFUNCTION("""COMPUTED_VALUE"""),4209580.0)</f>
        <v>4209580</v>
      </c>
      <c r="G1976" s="2">
        <f>IFERROR(__xludf.DUMMYFUNCTION("""COMPUTED_VALUE"""),126.014)</f>
        <v>126.014</v>
      </c>
    </row>
    <row r="1977">
      <c r="A1977" s="1" t="s">
        <v>1976</v>
      </c>
      <c r="D1977" s="3">
        <f>IFERROR(__xludf.DUMMYFUNCTION("SPLIT(A1977, ""|"")"),43142.0)</f>
        <v>43142</v>
      </c>
      <c r="E1977" s="2">
        <f>IFERROR(__xludf.DUMMYFUNCTION("""COMPUTED_VALUE"""),1526073.0)</f>
        <v>1526073</v>
      </c>
      <c r="F1977" s="2">
        <f>IFERROR(__xludf.DUMMYFUNCTION("""COMPUTED_VALUE"""),4210506.0)</f>
        <v>4210506</v>
      </c>
      <c r="G1977" s="2">
        <f>IFERROR(__xludf.DUMMYFUNCTION("""COMPUTED_VALUE"""),45.0)</f>
        <v>45</v>
      </c>
    </row>
    <row r="1978">
      <c r="A1978" s="1" t="s">
        <v>1977</v>
      </c>
      <c r="D1978" s="3">
        <f>IFERROR(__xludf.DUMMYFUNCTION("SPLIT(A1978, ""|"")"),43142.0)</f>
        <v>43142</v>
      </c>
      <c r="E1978" s="2">
        <f>IFERROR(__xludf.DUMMYFUNCTION("""COMPUTED_VALUE"""),1526163.0)</f>
        <v>1526163</v>
      </c>
      <c r="F1978" s="2">
        <f>IFERROR(__xludf.DUMMYFUNCTION("""COMPUTED_VALUE"""),4210955.0)</f>
        <v>4210955</v>
      </c>
      <c r="G1978" s="2">
        <f>IFERROR(__xludf.DUMMYFUNCTION("""COMPUTED_VALUE"""),30.0554999999999)</f>
        <v>30.0555</v>
      </c>
    </row>
    <row r="1979">
      <c r="A1979" s="1" t="s">
        <v>1978</v>
      </c>
      <c r="D1979" s="3">
        <f>IFERROR(__xludf.DUMMYFUNCTION("SPLIT(A1979, ""|"")"),43398.0)</f>
        <v>43398</v>
      </c>
      <c r="E1979" s="2">
        <f>IFERROR(__xludf.DUMMYFUNCTION("""COMPUTED_VALUE"""),343203.0)</f>
        <v>343203</v>
      </c>
      <c r="F1979" s="2">
        <f>IFERROR(__xludf.DUMMYFUNCTION("""COMPUTED_VALUE"""),4889070.0)</f>
        <v>4889070</v>
      </c>
      <c r="G1979" s="2">
        <f>IFERROR(__xludf.DUMMYFUNCTION("""COMPUTED_VALUE"""),38.9858)</f>
        <v>38.9858</v>
      </c>
    </row>
    <row r="1980">
      <c r="A1980" s="1" t="s">
        <v>1979</v>
      </c>
      <c r="D1980" s="3">
        <f>IFERROR(__xludf.DUMMYFUNCTION("SPLIT(A1980, ""|"")"),43398.0)</f>
        <v>43398</v>
      </c>
      <c r="E1980" s="2">
        <f>IFERROR(__xludf.DUMMYFUNCTION("""COMPUTED_VALUE"""),1410633.0)</f>
        <v>1410633</v>
      </c>
      <c r="F1980" s="2">
        <f>IFERROR(__xludf.DUMMYFUNCTION("""COMPUTED_VALUE"""),4887076.0)</f>
        <v>4887076</v>
      </c>
      <c r="G1980" s="2">
        <f>IFERROR(__xludf.DUMMYFUNCTION("""COMPUTED_VALUE"""),78.3160999999999)</f>
        <v>78.3161</v>
      </c>
    </row>
    <row r="1981">
      <c r="A1981" s="1" t="s">
        <v>1980</v>
      </c>
      <c r="D1981" s="3">
        <f>IFERROR(__xludf.DUMMYFUNCTION("SPLIT(A1981, ""|"")"),43398.0)</f>
        <v>43398</v>
      </c>
      <c r="E1981" s="2">
        <f>IFERROR(__xludf.DUMMYFUNCTION("""COMPUTED_VALUE"""),1511583.0)</f>
        <v>1511583</v>
      </c>
      <c r="F1981" s="2">
        <f>IFERROR(__xludf.DUMMYFUNCTION("""COMPUTED_VALUE"""),4885932.0)</f>
        <v>4885932</v>
      </c>
      <c r="G1981" s="2">
        <f>IFERROR(__xludf.DUMMYFUNCTION("""COMPUTED_VALUE"""),51.4558)</f>
        <v>51.4558</v>
      </c>
    </row>
    <row r="1982">
      <c r="A1982" s="1" t="s">
        <v>1981</v>
      </c>
      <c r="D1982" s="3">
        <f>IFERROR(__xludf.DUMMYFUNCTION("SPLIT(A1982, ""|"")"),43398.0)</f>
        <v>43398</v>
      </c>
      <c r="E1982" s="2">
        <f>IFERROR(__xludf.DUMMYFUNCTION("""COMPUTED_VALUE"""),1696743.0)</f>
        <v>1696743</v>
      </c>
      <c r="F1982" s="2">
        <f>IFERROR(__xludf.DUMMYFUNCTION("""COMPUTED_VALUE"""),4884349.0)</f>
        <v>4884349</v>
      </c>
      <c r="G1982" s="2">
        <f>IFERROR(__xludf.DUMMYFUNCTION("""COMPUTED_VALUE"""),19.0212)</f>
        <v>19.0212</v>
      </c>
    </row>
    <row r="1983">
      <c r="A1983" s="1" t="s">
        <v>1982</v>
      </c>
      <c r="D1983" s="3">
        <f>IFERROR(__xludf.DUMMYFUNCTION("SPLIT(A1983, ""|"")"),43143.0)</f>
        <v>43143</v>
      </c>
      <c r="E1983" s="2">
        <f>IFERROR(__xludf.DUMMYFUNCTION("""COMPUTED_VALUE"""),384483.0)</f>
        <v>384483</v>
      </c>
      <c r="F1983" s="2">
        <f>IFERROR(__xludf.DUMMYFUNCTION("""COMPUTED_VALUE"""),4212512.0)</f>
        <v>4212512</v>
      </c>
      <c r="G1983" s="2">
        <f>IFERROR(__xludf.DUMMYFUNCTION("""COMPUTED_VALUE"""),82.0086)</f>
        <v>82.0086</v>
      </c>
    </row>
    <row r="1984">
      <c r="A1984" s="1" t="s">
        <v>1983</v>
      </c>
      <c r="D1984" s="3">
        <f>IFERROR(__xludf.DUMMYFUNCTION("SPLIT(A1984, ""|"")"),43143.0)</f>
        <v>43143</v>
      </c>
      <c r="E1984" s="2">
        <f>IFERROR(__xludf.DUMMYFUNCTION("""COMPUTED_VALUE"""),366003.0)</f>
        <v>366003</v>
      </c>
      <c r="F1984" s="2">
        <f>IFERROR(__xludf.DUMMYFUNCTION("""COMPUTED_VALUE"""),4212432.0)</f>
        <v>4212432</v>
      </c>
      <c r="G1984" s="2">
        <f>IFERROR(__xludf.DUMMYFUNCTION("""COMPUTED_VALUE"""),110.5378)</f>
        <v>110.5378</v>
      </c>
    </row>
    <row r="1985">
      <c r="A1985" s="1" t="s">
        <v>1984</v>
      </c>
      <c r="D1985" s="3">
        <f>IFERROR(__xludf.DUMMYFUNCTION("SPLIT(A1985, ""|"")"),43143.0)</f>
        <v>43143</v>
      </c>
      <c r="E1985" s="2">
        <f>IFERROR(__xludf.DUMMYFUNCTION("""COMPUTED_VALUE"""),884403.0)</f>
        <v>884403</v>
      </c>
      <c r="F1985" s="2">
        <f>IFERROR(__xludf.DUMMYFUNCTION("""COMPUTED_VALUE"""),4212271.0)</f>
        <v>4212271</v>
      </c>
      <c r="G1985" s="2">
        <f>IFERROR(__xludf.DUMMYFUNCTION("""COMPUTED_VALUE"""),66.6668)</f>
        <v>66.6668</v>
      </c>
    </row>
    <row r="1986">
      <c r="A1986" s="1" t="s">
        <v>1985</v>
      </c>
      <c r="D1986" s="3">
        <f>IFERROR(__xludf.DUMMYFUNCTION("SPLIT(A1986, ""|"")"),43143.0)</f>
        <v>43143</v>
      </c>
      <c r="E1986" s="2">
        <f>IFERROR(__xludf.DUMMYFUNCTION("""COMPUTED_VALUE"""),1526223.0)</f>
        <v>1526223</v>
      </c>
      <c r="F1986" s="2">
        <f>IFERROR(__xludf.DUMMYFUNCTION("""COMPUTED_VALUE"""),4212799.0)</f>
        <v>4212799</v>
      </c>
      <c r="G1986" s="2">
        <f>IFERROR(__xludf.DUMMYFUNCTION("""COMPUTED_VALUE"""),49.9583)</f>
        <v>49.9583</v>
      </c>
    </row>
    <row r="1987">
      <c r="A1987" s="1" t="s">
        <v>1986</v>
      </c>
      <c r="D1987" s="3">
        <f>IFERROR(__xludf.DUMMYFUNCTION("SPLIT(A1987, ""|"")"),43399.0)</f>
        <v>43399</v>
      </c>
      <c r="E1987" s="2">
        <f>IFERROR(__xludf.DUMMYFUNCTION("""COMPUTED_VALUE"""),1592163.0)</f>
        <v>1592163</v>
      </c>
      <c r="F1987" s="2">
        <f>IFERROR(__xludf.DUMMYFUNCTION("""COMPUTED_VALUE"""),4892740.0)</f>
        <v>4892740</v>
      </c>
      <c r="G1987" s="2">
        <f>IFERROR(__xludf.DUMMYFUNCTION("""COMPUTED_VALUE"""),33.7985)</f>
        <v>33.7985</v>
      </c>
    </row>
    <row r="1988">
      <c r="A1988" s="1" t="s">
        <v>1987</v>
      </c>
      <c r="D1988" s="3">
        <f>IFERROR(__xludf.DUMMYFUNCTION("SPLIT(A1988, ""|"")"),43399.0)</f>
        <v>43399</v>
      </c>
      <c r="E1988" s="2">
        <f>IFERROR(__xludf.DUMMYFUNCTION("""COMPUTED_VALUE"""),457413.0)</f>
        <v>457413</v>
      </c>
      <c r="F1988" s="2">
        <f>IFERROR(__xludf.DUMMYFUNCTION("""COMPUTED_VALUE"""),4897346.0)</f>
        <v>4897346</v>
      </c>
      <c r="G1988" s="2">
        <f>IFERROR(__xludf.DUMMYFUNCTION("""COMPUTED_VALUE"""),75.1734)</f>
        <v>75.1734</v>
      </c>
    </row>
    <row r="1989">
      <c r="A1989" s="1" t="s">
        <v>1988</v>
      </c>
      <c r="D1989" s="3">
        <f>IFERROR(__xludf.DUMMYFUNCTION("SPLIT(A1989, ""|"")"),43399.0)</f>
        <v>43399</v>
      </c>
      <c r="E1989" s="2">
        <f>IFERROR(__xludf.DUMMYFUNCTION("""COMPUTED_VALUE"""),1546173.0)</f>
        <v>1546173</v>
      </c>
      <c r="F1989" s="2">
        <f>IFERROR(__xludf.DUMMYFUNCTION("""COMPUTED_VALUE"""),4897434.0)</f>
        <v>4897434</v>
      </c>
      <c r="G1989" s="2">
        <f>IFERROR(__xludf.DUMMYFUNCTION("""COMPUTED_VALUE"""),134.8836)</f>
        <v>134.8836</v>
      </c>
    </row>
    <row r="1990">
      <c r="A1990" s="1" t="s">
        <v>1989</v>
      </c>
      <c r="D1990" s="3">
        <f>IFERROR(__xludf.DUMMYFUNCTION("SPLIT(A1990, ""|"")"),43399.0)</f>
        <v>43399</v>
      </c>
      <c r="E1990" s="2">
        <f>IFERROR(__xludf.DUMMYFUNCTION("""COMPUTED_VALUE"""),1580073.0)</f>
        <v>1580073</v>
      </c>
      <c r="F1990" s="2">
        <f>IFERROR(__xludf.DUMMYFUNCTION("""COMPUTED_VALUE"""),4894842.0)</f>
        <v>4894842</v>
      </c>
      <c r="G1990" s="2">
        <f>IFERROR(__xludf.DUMMYFUNCTION("""COMPUTED_VALUE"""),49.4784)</f>
        <v>49.4784</v>
      </c>
    </row>
    <row r="1991">
      <c r="A1991" s="1" t="s">
        <v>1990</v>
      </c>
      <c r="D1991" s="3">
        <f>IFERROR(__xludf.DUMMYFUNCTION("SPLIT(A1991, ""|"")"),43399.0)</f>
        <v>43399</v>
      </c>
      <c r="E1991" s="2">
        <f>IFERROR(__xludf.DUMMYFUNCTION("""COMPUTED_VALUE"""),1700253.0)</f>
        <v>1700253</v>
      </c>
      <c r="F1991" s="2">
        <f>IFERROR(__xludf.DUMMYFUNCTION("""COMPUTED_VALUE"""),4898198.0)</f>
        <v>4898198</v>
      </c>
      <c r="G1991" s="2">
        <f>IFERROR(__xludf.DUMMYFUNCTION("""COMPUTED_VALUE"""),61.4261)</f>
        <v>61.4261</v>
      </c>
    </row>
    <row r="1992">
      <c r="A1992" s="1" t="s">
        <v>1991</v>
      </c>
      <c r="D1992" s="3">
        <f>IFERROR(__xludf.DUMMYFUNCTION("SPLIT(A1992, ""|"")"),43399.0)</f>
        <v>43399</v>
      </c>
      <c r="E1992" s="2">
        <f>IFERROR(__xludf.DUMMYFUNCTION("""COMPUTED_VALUE"""),1173993.0)</f>
        <v>1173993</v>
      </c>
      <c r="F1992" s="2">
        <f>IFERROR(__xludf.DUMMYFUNCTION("""COMPUTED_VALUE"""),4898938.0)</f>
        <v>4898938</v>
      </c>
      <c r="G1992" s="2">
        <f>IFERROR(__xludf.DUMMYFUNCTION("""COMPUTED_VALUE"""),79.8499)</f>
        <v>79.8499</v>
      </c>
    </row>
    <row r="1993">
      <c r="A1993" s="1" t="s">
        <v>1992</v>
      </c>
      <c r="D1993" s="3">
        <f>IFERROR(__xludf.DUMMYFUNCTION("SPLIT(A1993, ""|"")"),43399.0)</f>
        <v>43399</v>
      </c>
      <c r="E1993" s="2">
        <f>IFERROR(__xludf.DUMMYFUNCTION("""COMPUTED_VALUE"""),1442013.0)</f>
        <v>1442013</v>
      </c>
      <c r="F1993" s="2">
        <f>IFERROR(__xludf.DUMMYFUNCTION("""COMPUTED_VALUE"""),4895334.0)</f>
        <v>4895334</v>
      </c>
      <c r="G1993" s="2">
        <f>IFERROR(__xludf.DUMMYFUNCTION("""COMPUTED_VALUE"""),82.4662)</f>
        <v>82.4662</v>
      </c>
    </row>
    <row r="1994">
      <c r="A1994" s="1" t="s">
        <v>1993</v>
      </c>
      <c r="D1994" s="3">
        <f>IFERROR(__xludf.DUMMYFUNCTION("SPLIT(A1994, ""|"")"),43399.0)</f>
        <v>43399</v>
      </c>
      <c r="E1994" s="2">
        <f>IFERROR(__xludf.DUMMYFUNCTION("""COMPUTED_VALUE"""),1360593.0)</f>
        <v>1360593</v>
      </c>
      <c r="F1994" s="2">
        <f>IFERROR(__xludf.DUMMYFUNCTION("""COMPUTED_VALUE"""),4896621.0)</f>
        <v>4896621</v>
      </c>
      <c r="G1994" s="2">
        <f>IFERROR(__xludf.DUMMYFUNCTION("""COMPUTED_VALUE"""),23.9584)</f>
        <v>23.9584</v>
      </c>
    </row>
    <row r="1995">
      <c r="A1995" s="1" t="s">
        <v>1994</v>
      </c>
      <c r="D1995" s="3">
        <f>IFERROR(__xludf.DUMMYFUNCTION("SPLIT(A1995, ""|"")"),43399.0)</f>
        <v>43399</v>
      </c>
      <c r="E1995" s="2">
        <f>IFERROR(__xludf.DUMMYFUNCTION("""COMPUTED_VALUE"""),467223.0)</f>
        <v>467223</v>
      </c>
      <c r="F1995" s="2">
        <f>IFERROR(__xludf.DUMMYFUNCTION("""COMPUTED_VALUE"""),4898809.0)</f>
        <v>4898809</v>
      </c>
      <c r="G1995" s="2">
        <f>IFERROR(__xludf.DUMMYFUNCTION("""COMPUTED_VALUE"""),92.9167)</f>
        <v>92.9167</v>
      </c>
    </row>
    <row r="1996">
      <c r="A1996" s="1" t="s">
        <v>1995</v>
      </c>
      <c r="D1996" s="3">
        <f>IFERROR(__xludf.DUMMYFUNCTION("SPLIT(A1996, ""|"")"),43399.0)</f>
        <v>43399</v>
      </c>
      <c r="E1996" s="2">
        <f>IFERROR(__xludf.DUMMYFUNCTION("""COMPUTED_VALUE"""),1134153.0)</f>
        <v>1134153</v>
      </c>
      <c r="F1996" s="2">
        <f>IFERROR(__xludf.DUMMYFUNCTION("""COMPUTED_VALUE"""),4898001.0)</f>
        <v>4898001</v>
      </c>
      <c r="G1996" s="2">
        <f>IFERROR(__xludf.DUMMYFUNCTION("""COMPUTED_VALUE"""),85.2128)</f>
        <v>85.2128</v>
      </c>
    </row>
    <row r="1997">
      <c r="A1997" s="1" t="s">
        <v>1996</v>
      </c>
      <c r="D1997" s="3">
        <f>IFERROR(__xludf.DUMMYFUNCTION("SPLIT(A1997, ""|"")"),43144.0)</f>
        <v>43144</v>
      </c>
      <c r="E1997" s="2">
        <f>IFERROR(__xludf.DUMMYFUNCTION("""COMPUTED_VALUE"""),1380573.0)</f>
        <v>1380573</v>
      </c>
      <c r="F1997" s="2">
        <f>IFERROR(__xludf.DUMMYFUNCTION("""COMPUTED_VALUE"""),4214114.0)</f>
        <v>4214114</v>
      </c>
      <c r="G1997" s="2">
        <f>IFERROR(__xludf.DUMMYFUNCTION("""COMPUTED_VALUE"""),33.25)</f>
        <v>33.25</v>
      </c>
    </row>
    <row r="1998">
      <c r="A1998" s="1" t="s">
        <v>1997</v>
      </c>
      <c r="D1998" s="3">
        <f>IFERROR(__xludf.DUMMYFUNCTION("SPLIT(A1998, ""|"")"),43144.0)</f>
        <v>43144</v>
      </c>
      <c r="E1998" s="2">
        <f>IFERROR(__xludf.DUMMYFUNCTION("""COMPUTED_VALUE"""),1491273.0)</f>
        <v>1491273</v>
      </c>
      <c r="F1998" s="2">
        <f>IFERROR(__xludf.DUMMYFUNCTION("""COMPUTED_VALUE"""),4216183.0)</f>
        <v>4216183</v>
      </c>
      <c r="G1998" s="2">
        <f>IFERROR(__xludf.DUMMYFUNCTION("""COMPUTED_VALUE"""),70.66)</f>
        <v>70.66</v>
      </c>
    </row>
    <row r="1999">
      <c r="A1999" s="1" t="s">
        <v>1998</v>
      </c>
      <c r="D1999" s="3">
        <f>IFERROR(__xludf.DUMMYFUNCTION("SPLIT(A1999, ""|"")"),43144.0)</f>
        <v>43144</v>
      </c>
      <c r="E1999" s="2">
        <f>IFERROR(__xludf.DUMMYFUNCTION("""COMPUTED_VALUE"""),1162143.0)</f>
        <v>1162143</v>
      </c>
      <c r="F1999" s="2">
        <f>IFERROR(__xludf.DUMMYFUNCTION("""COMPUTED_VALUE"""),4216058.0)</f>
        <v>4216058</v>
      </c>
      <c r="G1999" s="2">
        <f>IFERROR(__xludf.DUMMYFUNCTION("""COMPUTED_VALUE"""),124.4379)</f>
        <v>124.4379</v>
      </c>
    </row>
    <row r="2000">
      <c r="A2000" s="1" t="s">
        <v>1999</v>
      </c>
      <c r="D2000" s="3">
        <f>IFERROR(__xludf.DUMMYFUNCTION("SPLIT(A2000, ""|"")"),43144.0)</f>
        <v>43144</v>
      </c>
      <c r="E2000" s="2">
        <f>IFERROR(__xludf.DUMMYFUNCTION("""COMPUTED_VALUE"""),1527513.0)</f>
        <v>1527513</v>
      </c>
      <c r="F2000" s="2">
        <f>IFERROR(__xludf.DUMMYFUNCTION("""COMPUTED_VALUE"""),4216381.0)</f>
        <v>4216381</v>
      </c>
      <c r="G2000" s="2">
        <f>IFERROR(__xludf.DUMMYFUNCTION("""COMPUTED_VALUE"""),68.745)</f>
        <v>68.745</v>
      </c>
    </row>
    <row r="2001">
      <c r="A2001" s="1" t="s">
        <v>2000</v>
      </c>
      <c r="D2001" s="3">
        <f>IFERROR(__xludf.DUMMYFUNCTION("SPLIT(A2001, ""|"")"),43144.0)</f>
        <v>43144</v>
      </c>
      <c r="E2001" s="2">
        <f>IFERROR(__xludf.DUMMYFUNCTION("""COMPUTED_VALUE"""),1128333.0)</f>
        <v>1128333</v>
      </c>
      <c r="F2001" s="2">
        <f>IFERROR(__xludf.DUMMYFUNCTION("""COMPUTED_VALUE"""),4214719.0)</f>
        <v>4214719</v>
      </c>
      <c r="G2001" s="2">
        <f>IFERROR(__xludf.DUMMYFUNCTION("""COMPUTED_VALUE"""),60.2502)</f>
        <v>60.2502</v>
      </c>
    </row>
    <row r="2002">
      <c r="A2002" s="1" t="s">
        <v>2001</v>
      </c>
      <c r="D2002" s="3">
        <f>IFERROR(__xludf.DUMMYFUNCTION("SPLIT(A2002, ""|"")"),43144.0)</f>
        <v>43144</v>
      </c>
      <c r="E2002" s="2">
        <f>IFERROR(__xludf.DUMMYFUNCTION("""COMPUTED_VALUE"""),1527213.0)</f>
        <v>1527213</v>
      </c>
      <c r="F2002" s="2">
        <f>IFERROR(__xludf.DUMMYFUNCTION("""COMPUTED_VALUE"""),4215182.0)</f>
        <v>4215182</v>
      </c>
      <c r="G2002" s="2">
        <f>IFERROR(__xludf.DUMMYFUNCTION("""COMPUTED_VALUE"""),2.9083)</f>
        <v>2.9083</v>
      </c>
    </row>
    <row r="2003">
      <c r="A2003" s="1" t="s">
        <v>2002</v>
      </c>
      <c r="D2003" s="3">
        <f>IFERROR(__xludf.DUMMYFUNCTION("SPLIT(A2003, ""|"")"),43144.0)</f>
        <v>43144</v>
      </c>
      <c r="E2003" s="2">
        <f>IFERROR(__xludf.DUMMYFUNCTION("""COMPUTED_VALUE"""),1410633.0)</f>
        <v>1410633</v>
      </c>
      <c r="F2003" s="2">
        <f>IFERROR(__xludf.DUMMYFUNCTION("""COMPUTED_VALUE"""),4215256.0)</f>
        <v>4215256</v>
      </c>
      <c r="G2003" s="2">
        <f>IFERROR(__xludf.DUMMYFUNCTION("""COMPUTED_VALUE"""),64.2807)</f>
        <v>64.2807</v>
      </c>
    </row>
    <row r="2004">
      <c r="A2004" s="1" t="s">
        <v>2003</v>
      </c>
      <c r="D2004" s="3">
        <f>IFERROR(__xludf.DUMMYFUNCTION("SPLIT(A2004, ""|"")"),43400.0)</f>
        <v>43400</v>
      </c>
      <c r="E2004" s="2">
        <f>IFERROR(__xludf.DUMMYFUNCTION("""COMPUTED_VALUE"""),485253.0)</f>
        <v>485253</v>
      </c>
      <c r="F2004" s="2">
        <f>IFERROR(__xludf.DUMMYFUNCTION("""COMPUTED_VALUE"""),4903726.0)</f>
        <v>4903726</v>
      </c>
      <c r="G2004" s="2">
        <f>IFERROR(__xludf.DUMMYFUNCTION("""COMPUTED_VALUE"""),103.365)</f>
        <v>103.365</v>
      </c>
    </row>
    <row r="2005">
      <c r="A2005" s="1" t="s">
        <v>2004</v>
      </c>
      <c r="D2005" s="3">
        <f>IFERROR(__xludf.DUMMYFUNCTION("SPLIT(A2005, ""|"")"),43400.0)</f>
        <v>43400</v>
      </c>
      <c r="E2005" s="2">
        <f>IFERROR(__xludf.DUMMYFUNCTION("""COMPUTED_VALUE"""),278733.0)</f>
        <v>278733</v>
      </c>
      <c r="F2005" s="2">
        <f>IFERROR(__xludf.DUMMYFUNCTION("""COMPUTED_VALUE"""),4903777.0)</f>
        <v>4903777</v>
      </c>
      <c r="G2005" s="2">
        <f>IFERROR(__xludf.DUMMYFUNCTION("""COMPUTED_VALUE"""),67.1905)</f>
        <v>67.1905</v>
      </c>
    </row>
    <row r="2006">
      <c r="A2006" s="1" t="s">
        <v>2005</v>
      </c>
      <c r="D2006" s="3">
        <f>IFERROR(__xludf.DUMMYFUNCTION("SPLIT(A2006, ""|"")"),43400.0)</f>
        <v>43400</v>
      </c>
      <c r="E2006" s="2">
        <f>IFERROR(__xludf.DUMMYFUNCTION("""COMPUTED_VALUE"""),1110273.0)</f>
        <v>1110273</v>
      </c>
      <c r="F2006" s="2">
        <f>IFERROR(__xludf.DUMMYFUNCTION("""COMPUTED_VALUE"""),4899870.0)</f>
        <v>4899870</v>
      </c>
      <c r="G2006" s="2">
        <f>IFERROR(__xludf.DUMMYFUNCTION("""COMPUTED_VALUE"""),84.7124)</f>
        <v>84.7124</v>
      </c>
    </row>
    <row r="2007">
      <c r="A2007" s="1" t="s">
        <v>2006</v>
      </c>
      <c r="D2007" s="3">
        <f>IFERROR(__xludf.DUMMYFUNCTION("SPLIT(A2007, ""|"")"),43400.0)</f>
        <v>43400</v>
      </c>
      <c r="E2007" s="2">
        <f>IFERROR(__xludf.DUMMYFUNCTION("""COMPUTED_VALUE"""),1702293.0)</f>
        <v>1702293</v>
      </c>
      <c r="F2007" s="2">
        <f>IFERROR(__xludf.DUMMYFUNCTION("""COMPUTED_VALUE"""),4905302.0)</f>
        <v>4905302</v>
      </c>
      <c r="G2007" s="2">
        <f>IFERROR(__xludf.DUMMYFUNCTION("""COMPUTED_VALUE"""),88.0933)</f>
        <v>88.0933</v>
      </c>
    </row>
    <row r="2008">
      <c r="A2008" s="1" t="s">
        <v>2007</v>
      </c>
      <c r="D2008" s="3">
        <f>IFERROR(__xludf.DUMMYFUNCTION("SPLIT(A2008, ""|"")"),43400.0)</f>
        <v>43400</v>
      </c>
      <c r="E2008" s="2">
        <f>IFERROR(__xludf.DUMMYFUNCTION("""COMPUTED_VALUE"""),1701573.0)</f>
        <v>1701573</v>
      </c>
      <c r="F2008" s="2">
        <f>IFERROR(__xludf.DUMMYFUNCTION("""COMPUTED_VALUE"""),4902977.0)</f>
        <v>4902977</v>
      </c>
      <c r="G2008" s="2">
        <f>IFERROR(__xludf.DUMMYFUNCTION("""COMPUTED_VALUE"""),24.7701)</f>
        <v>24.7701</v>
      </c>
    </row>
    <row r="2009">
      <c r="A2009" s="1" t="s">
        <v>2008</v>
      </c>
      <c r="D2009" s="3">
        <f>IFERROR(__xludf.DUMMYFUNCTION("SPLIT(A2009, ""|"")"),43400.0)</f>
        <v>43400</v>
      </c>
      <c r="E2009" s="2">
        <f>IFERROR(__xludf.DUMMYFUNCTION("""COMPUTED_VALUE"""),1680573.0)</f>
        <v>1680573</v>
      </c>
      <c r="F2009" s="2">
        <f>IFERROR(__xludf.DUMMYFUNCTION("""COMPUTED_VALUE"""),4902126.0)</f>
        <v>4902126</v>
      </c>
      <c r="G2009" s="2">
        <f>IFERROR(__xludf.DUMMYFUNCTION("""COMPUTED_VALUE"""),40.122)</f>
        <v>40.122</v>
      </c>
    </row>
    <row r="2010">
      <c r="A2010" s="1" t="s">
        <v>2009</v>
      </c>
      <c r="D2010" s="3">
        <f>IFERROR(__xludf.DUMMYFUNCTION("SPLIT(A2010, ""|"")"),43400.0)</f>
        <v>43400</v>
      </c>
      <c r="E2010" s="2">
        <f>IFERROR(__xludf.DUMMYFUNCTION("""COMPUTED_VALUE"""),1701633.0)</f>
        <v>1701633</v>
      </c>
      <c r="F2010" s="2">
        <f>IFERROR(__xludf.DUMMYFUNCTION("""COMPUTED_VALUE"""),4903146.0)</f>
        <v>4903146</v>
      </c>
      <c r="G2010" s="2">
        <f>IFERROR(__xludf.DUMMYFUNCTION("""COMPUTED_VALUE"""),65.8314)</f>
        <v>65.8314</v>
      </c>
    </row>
    <row r="2011">
      <c r="A2011" s="1" t="s">
        <v>2010</v>
      </c>
      <c r="D2011" s="3">
        <f>IFERROR(__xludf.DUMMYFUNCTION("SPLIT(A2011, ""|"")"),43400.0)</f>
        <v>43400</v>
      </c>
      <c r="E2011" s="2">
        <f>IFERROR(__xludf.DUMMYFUNCTION("""COMPUTED_VALUE"""),1141683.0)</f>
        <v>1141683</v>
      </c>
      <c r="F2011" s="2">
        <f>IFERROR(__xludf.DUMMYFUNCTION("""COMPUTED_VALUE"""),4904082.0)</f>
        <v>4904082</v>
      </c>
      <c r="G2011" s="2">
        <f>IFERROR(__xludf.DUMMYFUNCTION("""COMPUTED_VALUE"""),78.7171999999999)</f>
        <v>78.7172</v>
      </c>
    </row>
    <row r="2012">
      <c r="A2012" s="1" t="s">
        <v>2011</v>
      </c>
      <c r="D2012" s="3">
        <f>IFERROR(__xludf.DUMMYFUNCTION("SPLIT(A2012, ""|"")"),43400.0)</f>
        <v>43400</v>
      </c>
      <c r="E2012" s="2">
        <f>IFERROR(__xludf.DUMMYFUNCTION("""COMPUTED_VALUE"""),1245363.0)</f>
        <v>1245363</v>
      </c>
      <c r="F2012" s="2">
        <f>IFERROR(__xludf.DUMMYFUNCTION("""COMPUTED_VALUE"""),4904809.0)</f>
        <v>4904809</v>
      </c>
      <c r="G2012" s="2">
        <f>IFERROR(__xludf.DUMMYFUNCTION("""COMPUTED_VALUE"""),86.6259)</f>
        <v>86.6259</v>
      </c>
    </row>
    <row r="2013">
      <c r="A2013" s="1" t="s">
        <v>2012</v>
      </c>
      <c r="D2013" s="3">
        <f>IFERROR(__xludf.DUMMYFUNCTION("SPLIT(A2013, ""|"")"),43400.0)</f>
        <v>43400</v>
      </c>
      <c r="E2013" s="2">
        <f>IFERROR(__xludf.DUMMYFUNCTION("""COMPUTED_VALUE"""),1701393.0)</f>
        <v>1701393</v>
      </c>
      <c r="F2013" s="2">
        <f>IFERROR(__xludf.DUMMYFUNCTION("""COMPUTED_VALUE"""),4902341.0)</f>
        <v>4902341</v>
      </c>
      <c r="G2013" s="2">
        <f>IFERROR(__xludf.DUMMYFUNCTION("""COMPUTED_VALUE"""),70.1161999999999)</f>
        <v>70.1162</v>
      </c>
    </row>
    <row r="2014">
      <c r="A2014" s="1" t="s">
        <v>2013</v>
      </c>
      <c r="D2014" s="3">
        <f>IFERROR(__xludf.DUMMYFUNCTION("SPLIT(A2014, ""|"")"),43145.0)</f>
        <v>43145</v>
      </c>
      <c r="E2014" s="2">
        <f>IFERROR(__xludf.DUMMYFUNCTION("""COMPUTED_VALUE"""),1527813.0)</f>
        <v>1527813</v>
      </c>
      <c r="F2014" s="2">
        <f>IFERROR(__xludf.DUMMYFUNCTION("""COMPUTED_VALUE"""),4217594.0)</f>
        <v>4217594</v>
      </c>
      <c r="G2014" s="2">
        <f>IFERROR(__xludf.DUMMYFUNCTION("""COMPUTED_VALUE"""),39.483)</f>
        <v>39.483</v>
      </c>
    </row>
    <row r="2015">
      <c r="A2015" s="1" t="s">
        <v>2014</v>
      </c>
      <c r="D2015" s="3">
        <f>IFERROR(__xludf.DUMMYFUNCTION("SPLIT(A2015, ""|"")"),43145.0)</f>
        <v>43145</v>
      </c>
      <c r="E2015" s="2">
        <f>IFERROR(__xludf.DUMMYFUNCTION("""COMPUTED_VALUE"""),1527693.0)</f>
        <v>1527693</v>
      </c>
      <c r="F2015" s="2">
        <f>IFERROR(__xludf.DUMMYFUNCTION("""COMPUTED_VALUE"""),4217088.0)</f>
        <v>4217088</v>
      </c>
      <c r="G2015" s="2">
        <f>IFERROR(__xludf.DUMMYFUNCTION("""COMPUTED_VALUE"""),42.607)</f>
        <v>42.607</v>
      </c>
    </row>
    <row r="2016">
      <c r="A2016" s="1" t="s">
        <v>2015</v>
      </c>
      <c r="D2016" s="3">
        <f>IFERROR(__xludf.DUMMYFUNCTION("SPLIT(A2016, ""|"")"),43401.0)</f>
        <v>43401</v>
      </c>
      <c r="E2016" s="2">
        <f>IFERROR(__xludf.DUMMYFUNCTION("""COMPUTED_VALUE"""),1703133.0)</f>
        <v>1703133</v>
      </c>
      <c r="F2016" s="2">
        <f>IFERROR(__xludf.DUMMYFUNCTION("""COMPUTED_VALUE"""),4908594.0)</f>
        <v>4908594</v>
      </c>
      <c r="G2016" s="2">
        <f>IFERROR(__xludf.DUMMYFUNCTION("""COMPUTED_VALUE"""),66.5751)</f>
        <v>66.5751</v>
      </c>
    </row>
    <row r="2017">
      <c r="A2017" s="1" t="s">
        <v>2016</v>
      </c>
      <c r="D2017" s="3">
        <f>IFERROR(__xludf.DUMMYFUNCTION("SPLIT(A2017, ""|"")"),43401.0)</f>
        <v>43401</v>
      </c>
      <c r="E2017" s="2">
        <f>IFERROR(__xludf.DUMMYFUNCTION("""COMPUTED_VALUE"""),1255503.0)</f>
        <v>1255503</v>
      </c>
      <c r="F2017" s="2">
        <f>IFERROR(__xludf.DUMMYFUNCTION("""COMPUTED_VALUE"""),4907233.0)</f>
        <v>4907233</v>
      </c>
      <c r="G2017" s="2">
        <f>IFERROR(__xludf.DUMMYFUNCTION("""COMPUTED_VALUE"""),84.5513)</f>
        <v>84.5513</v>
      </c>
    </row>
    <row r="2018">
      <c r="A2018" s="1" t="s">
        <v>2017</v>
      </c>
      <c r="D2018" s="3">
        <f>IFERROR(__xludf.DUMMYFUNCTION("SPLIT(A2018, ""|"")"),43401.0)</f>
        <v>43401</v>
      </c>
      <c r="E2018" s="2">
        <f>IFERROR(__xludf.DUMMYFUNCTION("""COMPUTED_VALUE"""),1672743.0)</f>
        <v>1672743</v>
      </c>
      <c r="F2018" s="2">
        <f>IFERROR(__xludf.DUMMYFUNCTION("""COMPUTED_VALUE"""),4908605.0)</f>
        <v>4908605</v>
      </c>
      <c r="G2018" s="2">
        <f>IFERROR(__xludf.DUMMYFUNCTION("""COMPUTED_VALUE"""),62.9154)</f>
        <v>62.9154</v>
      </c>
    </row>
    <row r="2019">
      <c r="A2019" s="1" t="s">
        <v>2018</v>
      </c>
      <c r="D2019" s="3">
        <f>IFERROR(__xludf.DUMMYFUNCTION("SPLIT(A2019, ""|"")"),43401.0)</f>
        <v>43401</v>
      </c>
      <c r="E2019" s="2">
        <f>IFERROR(__xludf.DUMMYFUNCTION("""COMPUTED_VALUE"""),1704633.0)</f>
        <v>1704633</v>
      </c>
      <c r="F2019" s="2">
        <f>IFERROR(__xludf.DUMMYFUNCTION("""COMPUTED_VALUE"""),4915930.0)</f>
        <v>4915930</v>
      </c>
      <c r="G2019" s="2">
        <f>IFERROR(__xludf.DUMMYFUNCTION("""COMPUTED_VALUE"""),55.5374)</f>
        <v>55.5374</v>
      </c>
    </row>
    <row r="2020">
      <c r="A2020" s="1" t="s">
        <v>2019</v>
      </c>
      <c r="D2020" s="3">
        <f>IFERROR(__xludf.DUMMYFUNCTION("SPLIT(A2020, ""|"")"),43401.0)</f>
        <v>43401</v>
      </c>
      <c r="E2020" s="2">
        <f>IFERROR(__xludf.DUMMYFUNCTION("""COMPUTED_VALUE"""),1618653.0)</f>
        <v>1618653</v>
      </c>
      <c r="F2020" s="2">
        <f>IFERROR(__xludf.DUMMYFUNCTION("""COMPUTED_VALUE"""),4909614.0)</f>
        <v>4909614</v>
      </c>
      <c r="G2020" s="2">
        <f>IFERROR(__xludf.DUMMYFUNCTION("""COMPUTED_VALUE"""),53.3803)</f>
        <v>53.3803</v>
      </c>
    </row>
    <row r="2021">
      <c r="A2021" s="1" t="s">
        <v>2020</v>
      </c>
      <c r="D2021" s="3">
        <f>IFERROR(__xludf.DUMMYFUNCTION("SPLIT(A2021, ""|"")"),43401.0)</f>
        <v>43401</v>
      </c>
      <c r="E2021" s="2">
        <f>IFERROR(__xludf.DUMMYFUNCTION("""COMPUTED_VALUE"""),1428633.0)</f>
        <v>1428633</v>
      </c>
      <c r="F2021" s="2">
        <f>IFERROR(__xludf.DUMMYFUNCTION("""COMPUTED_VALUE"""),4909762.0)</f>
        <v>4909762</v>
      </c>
      <c r="G2021" s="2">
        <f>IFERROR(__xludf.DUMMYFUNCTION("""COMPUTED_VALUE"""),137.498299999999)</f>
        <v>137.4983</v>
      </c>
    </row>
    <row r="2022">
      <c r="A2022" s="1" t="s">
        <v>2021</v>
      </c>
      <c r="D2022" s="3">
        <f>IFERROR(__xludf.DUMMYFUNCTION("SPLIT(A2022, ""|"")"),43401.0)</f>
        <v>43401</v>
      </c>
      <c r="E2022" s="2">
        <f>IFERROR(__xludf.DUMMYFUNCTION("""COMPUTED_VALUE"""),1261383.0)</f>
        <v>1261383</v>
      </c>
      <c r="F2022" s="2">
        <f>IFERROR(__xludf.DUMMYFUNCTION("""COMPUTED_VALUE"""),4911682.0)</f>
        <v>4911682</v>
      </c>
      <c r="G2022" s="2">
        <f>IFERROR(__xludf.DUMMYFUNCTION("""COMPUTED_VALUE"""),76.2749999999999)</f>
        <v>76.275</v>
      </c>
    </row>
    <row r="2023">
      <c r="A2023" s="1" t="s">
        <v>2022</v>
      </c>
      <c r="D2023" s="3">
        <f>IFERROR(__xludf.DUMMYFUNCTION("SPLIT(A2023, ""|"")"),43401.0)</f>
        <v>43401</v>
      </c>
      <c r="E2023" s="2">
        <f>IFERROR(__xludf.DUMMYFUNCTION("""COMPUTED_VALUE"""),1163223.0)</f>
        <v>1163223</v>
      </c>
      <c r="F2023" s="2">
        <f>IFERROR(__xludf.DUMMYFUNCTION("""COMPUTED_VALUE"""),4916070.0)</f>
        <v>4916070</v>
      </c>
      <c r="G2023" s="2">
        <f>IFERROR(__xludf.DUMMYFUNCTION("""COMPUTED_VALUE"""),57.6413)</f>
        <v>57.6413</v>
      </c>
    </row>
    <row r="2024">
      <c r="A2024" s="1" t="s">
        <v>2023</v>
      </c>
      <c r="D2024" s="3">
        <f>IFERROR(__xludf.DUMMYFUNCTION("SPLIT(A2024, ""|"")"),43401.0)</f>
        <v>43401</v>
      </c>
      <c r="E2024" s="2">
        <f>IFERROR(__xludf.DUMMYFUNCTION("""COMPUTED_VALUE"""),328023.0)</f>
        <v>328023</v>
      </c>
      <c r="F2024" s="2">
        <f>IFERROR(__xludf.DUMMYFUNCTION("""COMPUTED_VALUE"""),4906910.0)</f>
        <v>4906910</v>
      </c>
      <c r="G2024" s="2">
        <f>IFERROR(__xludf.DUMMYFUNCTION("""COMPUTED_VALUE"""),61.2953)</f>
        <v>61.2953</v>
      </c>
    </row>
    <row r="2025">
      <c r="A2025" s="1" t="s">
        <v>2024</v>
      </c>
      <c r="D2025" s="3">
        <f>IFERROR(__xludf.DUMMYFUNCTION("SPLIT(A2025, ""|"")"),43401.0)</f>
        <v>43401</v>
      </c>
      <c r="E2025" s="2">
        <f>IFERROR(__xludf.DUMMYFUNCTION("""COMPUTED_VALUE"""),1704873.0)</f>
        <v>1704873</v>
      </c>
      <c r="F2025" s="2">
        <f>IFERROR(__xludf.DUMMYFUNCTION("""COMPUTED_VALUE"""),4916630.0)</f>
        <v>4916630</v>
      </c>
      <c r="G2025" s="2">
        <f>IFERROR(__xludf.DUMMYFUNCTION("""COMPUTED_VALUE"""),30.1208)</f>
        <v>30.1208</v>
      </c>
    </row>
    <row r="2026">
      <c r="A2026" s="1" t="s">
        <v>2025</v>
      </c>
      <c r="D2026" s="3">
        <f>IFERROR(__xludf.DUMMYFUNCTION("SPLIT(A2026, ""|"")"),43401.0)</f>
        <v>43401</v>
      </c>
      <c r="E2026" s="2">
        <f>IFERROR(__xludf.DUMMYFUNCTION("""COMPUTED_VALUE"""),1423773.0)</f>
        <v>1423773</v>
      </c>
      <c r="F2026" s="2">
        <f>IFERROR(__xludf.DUMMYFUNCTION("""COMPUTED_VALUE"""),4911741.0)</f>
        <v>4911741</v>
      </c>
      <c r="G2026" s="2">
        <f>IFERROR(__xludf.DUMMYFUNCTION("""COMPUTED_VALUE"""),126.842099999999)</f>
        <v>126.8421</v>
      </c>
    </row>
    <row r="2027">
      <c r="A2027" s="1" t="s">
        <v>2026</v>
      </c>
      <c r="D2027" s="3">
        <f>IFERROR(__xludf.DUMMYFUNCTION("SPLIT(A2027, ""|"")"),43146.0)</f>
        <v>43146</v>
      </c>
      <c r="E2027" s="2">
        <f>IFERROR(__xludf.DUMMYFUNCTION("""COMPUTED_VALUE"""),1322583.0)</f>
        <v>1322583</v>
      </c>
      <c r="F2027" s="2">
        <f>IFERROR(__xludf.DUMMYFUNCTION("""COMPUTED_VALUE"""),4219352.0)</f>
        <v>4219352</v>
      </c>
      <c r="G2027" s="2">
        <f>IFERROR(__xludf.DUMMYFUNCTION("""COMPUTED_VALUE"""),68.745)</f>
        <v>68.745</v>
      </c>
    </row>
    <row r="2028">
      <c r="A2028" s="1" t="s">
        <v>2027</v>
      </c>
      <c r="D2028" s="3">
        <f>IFERROR(__xludf.DUMMYFUNCTION("SPLIT(A2028, ""|"")"),43146.0)</f>
        <v>43146</v>
      </c>
      <c r="E2028" s="2">
        <f>IFERROR(__xludf.DUMMYFUNCTION("""COMPUTED_VALUE"""),1528053.0)</f>
        <v>1528053</v>
      </c>
      <c r="F2028" s="2">
        <f>IFERROR(__xludf.DUMMYFUNCTION("""COMPUTED_VALUE"""),4221371.0)</f>
        <v>4221371</v>
      </c>
      <c r="G2028" s="2">
        <f>IFERROR(__xludf.DUMMYFUNCTION("""COMPUTED_VALUE"""),80.7204)</f>
        <v>80.7204</v>
      </c>
    </row>
    <row r="2029">
      <c r="A2029" s="1" t="s">
        <v>2028</v>
      </c>
      <c r="D2029" s="3">
        <f>IFERROR(__xludf.DUMMYFUNCTION("SPLIT(A2029, ""|"")"),43146.0)</f>
        <v>43146</v>
      </c>
      <c r="E2029" s="2">
        <f>IFERROR(__xludf.DUMMYFUNCTION("""COMPUTED_VALUE"""),1528773.0)</f>
        <v>1528773</v>
      </c>
      <c r="F2029" s="2">
        <f>IFERROR(__xludf.DUMMYFUNCTION("""COMPUTED_VALUE"""),4221263.0)</f>
        <v>4221263</v>
      </c>
      <c r="G2029" s="2">
        <f>IFERROR(__xludf.DUMMYFUNCTION("""COMPUTED_VALUE"""),14.6846)</f>
        <v>14.6846</v>
      </c>
    </row>
    <row r="2030">
      <c r="A2030" s="1" t="s">
        <v>2029</v>
      </c>
      <c r="D2030" s="3">
        <f>IFERROR(__xludf.DUMMYFUNCTION("SPLIT(A2030, ""|"")"),43146.0)</f>
        <v>43146</v>
      </c>
      <c r="E2030" s="2">
        <f>IFERROR(__xludf.DUMMYFUNCTION("""COMPUTED_VALUE"""),1528503.0)</f>
        <v>1528503</v>
      </c>
      <c r="F2030" s="2">
        <f>IFERROR(__xludf.DUMMYFUNCTION("""COMPUTED_VALUE"""),4220344.0)</f>
        <v>4220344</v>
      </c>
      <c r="G2030" s="2">
        <f>IFERROR(__xludf.DUMMYFUNCTION("""COMPUTED_VALUE"""),125.5934)</f>
        <v>125.5934</v>
      </c>
    </row>
    <row r="2031">
      <c r="A2031" s="1" t="s">
        <v>2030</v>
      </c>
      <c r="D2031" s="3">
        <f>IFERROR(__xludf.DUMMYFUNCTION("SPLIT(A2031, ""|"")"),43146.0)</f>
        <v>43146</v>
      </c>
      <c r="E2031" s="2">
        <f>IFERROR(__xludf.DUMMYFUNCTION("""COMPUTED_VALUE"""),1446543.0)</f>
        <v>1446543</v>
      </c>
      <c r="F2031" s="2">
        <f>IFERROR(__xludf.DUMMYFUNCTION("""COMPUTED_VALUE"""),4219628.0)</f>
        <v>4219628</v>
      </c>
      <c r="G2031" s="2">
        <f>IFERROR(__xludf.DUMMYFUNCTION("""COMPUTED_VALUE"""),38.6239)</f>
        <v>38.6239</v>
      </c>
    </row>
    <row r="2032">
      <c r="A2032" s="1" t="s">
        <v>2031</v>
      </c>
      <c r="D2032" s="3">
        <f>IFERROR(__xludf.DUMMYFUNCTION("SPLIT(A2032, ""|"")"),43146.0)</f>
        <v>43146</v>
      </c>
      <c r="E2032" s="2">
        <f>IFERROR(__xludf.DUMMYFUNCTION("""COMPUTED_VALUE"""),1528353.0)</f>
        <v>1528353</v>
      </c>
      <c r="F2032" s="2">
        <f>IFERROR(__xludf.DUMMYFUNCTION("""COMPUTED_VALUE"""),4219686.0)</f>
        <v>4219686</v>
      </c>
      <c r="G2032" s="2">
        <f>IFERROR(__xludf.DUMMYFUNCTION("""COMPUTED_VALUE"""),64.9892)</f>
        <v>64.9892</v>
      </c>
    </row>
    <row r="2033">
      <c r="A2033" s="1" t="s">
        <v>2032</v>
      </c>
      <c r="D2033" s="3">
        <f>IFERROR(__xludf.DUMMYFUNCTION("SPLIT(A2033, ""|"")"),43146.0)</f>
        <v>43146</v>
      </c>
      <c r="E2033" s="2">
        <f>IFERROR(__xludf.DUMMYFUNCTION("""COMPUTED_VALUE"""),1267803.0)</f>
        <v>1267803</v>
      </c>
      <c r="F2033" s="2">
        <f>IFERROR(__xludf.DUMMYFUNCTION("""COMPUTED_VALUE"""),4221240.0)</f>
        <v>4221240</v>
      </c>
      <c r="G2033" s="2">
        <f>IFERROR(__xludf.DUMMYFUNCTION("""COMPUTED_VALUE"""),63.105)</f>
        <v>63.105</v>
      </c>
    </row>
    <row r="2034">
      <c r="A2034" s="1" t="s">
        <v>2033</v>
      </c>
      <c r="D2034" s="3">
        <f>IFERROR(__xludf.DUMMYFUNCTION("SPLIT(A2034, ""|"")"),43146.0)</f>
        <v>43146</v>
      </c>
      <c r="E2034" s="2">
        <f>IFERROR(__xludf.DUMMYFUNCTION("""COMPUTED_VALUE"""),1176873.0)</f>
        <v>1176873</v>
      </c>
      <c r="F2034" s="2">
        <f>IFERROR(__xludf.DUMMYFUNCTION("""COMPUTED_VALUE"""),4220859.0)</f>
        <v>4220859</v>
      </c>
      <c r="G2034" s="2">
        <f>IFERROR(__xludf.DUMMYFUNCTION("""COMPUTED_VALUE"""),70.712)</f>
        <v>70.712</v>
      </c>
    </row>
    <row r="2035">
      <c r="A2035" s="1" t="s">
        <v>2034</v>
      </c>
      <c r="D2035" s="3">
        <f>IFERROR(__xludf.DUMMYFUNCTION("SPLIT(A2035, ""|"")"),43402.0)</f>
        <v>43402</v>
      </c>
      <c r="E2035" s="2">
        <f>IFERROR(__xludf.DUMMYFUNCTION("""COMPUTED_VALUE"""),212493.0)</f>
        <v>212493</v>
      </c>
      <c r="F2035" s="2">
        <f>IFERROR(__xludf.DUMMYFUNCTION("""COMPUTED_VALUE"""),4923458.0)</f>
        <v>4923458</v>
      </c>
      <c r="G2035" s="2">
        <f>IFERROR(__xludf.DUMMYFUNCTION("""COMPUTED_VALUE"""),79.0342)</f>
        <v>79.0342</v>
      </c>
    </row>
    <row r="2036">
      <c r="A2036" s="1" t="s">
        <v>2035</v>
      </c>
      <c r="D2036" s="3">
        <f>IFERROR(__xludf.DUMMYFUNCTION("SPLIT(A2036, ""|"")"),43402.0)</f>
        <v>43402</v>
      </c>
      <c r="E2036" s="2">
        <f>IFERROR(__xludf.DUMMYFUNCTION("""COMPUTED_VALUE"""),1433613.0)</f>
        <v>1433613</v>
      </c>
      <c r="F2036" s="2">
        <f>IFERROR(__xludf.DUMMYFUNCTION("""COMPUTED_VALUE"""),4923730.0)</f>
        <v>4923730</v>
      </c>
      <c r="G2036" s="2">
        <f>IFERROR(__xludf.DUMMYFUNCTION("""COMPUTED_VALUE"""),29.8425)</f>
        <v>29.8425</v>
      </c>
    </row>
    <row r="2037">
      <c r="A2037" s="1" t="s">
        <v>2036</v>
      </c>
      <c r="D2037" s="3">
        <f>IFERROR(__xludf.DUMMYFUNCTION("SPLIT(A2037, ""|"")"),43402.0)</f>
        <v>43402</v>
      </c>
      <c r="E2037" s="2">
        <f>IFERROR(__xludf.DUMMYFUNCTION("""COMPUTED_VALUE"""),1707273.0)</f>
        <v>1707273</v>
      </c>
      <c r="F2037" s="2">
        <f>IFERROR(__xludf.DUMMYFUNCTION("""COMPUTED_VALUE"""),4925893.0)</f>
        <v>4925893</v>
      </c>
      <c r="G2037" s="2">
        <f>IFERROR(__xludf.DUMMYFUNCTION("""COMPUTED_VALUE"""),62.5212)</f>
        <v>62.5212</v>
      </c>
    </row>
    <row r="2038">
      <c r="A2038" s="1" t="s">
        <v>2037</v>
      </c>
      <c r="D2038" s="3">
        <f>IFERROR(__xludf.DUMMYFUNCTION("SPLIT(A2038, ""|"")"),43402.0)</f>
        <v>43402</v>
      </c>
      <c r="E2038" s="2">
        <f>IFERROR(__xludf.DUMMYFUNCTION("""COMPUTED_VALUE"""),197373.0)</f>
        <v>197373</v>
      </c>
      <c r="F2038" s="2">
        <f>IFERROR(__xludf.DUMMYFUNCTION("""COMPUTED_VALUE"""),4919057.0)</f>
        <v>4919057</v>
      </c>
      <c r="G2038" s="2">
        <f>IFERROR(__xludf.DUMMYFUNCTION("""COMPUTED_VALUE"""),54.5459)</f>
        <v>54.5459</v>
      </c>
    </row>
    <row r="2039">
      <c r="A2039" s="1" t="s">
        <v>2038</v>
      </c>
      <c r="D2039" s="3">
        <f>IFERROR(__xludf.DUMMYFUNCTION("SPLIT(A2039, ""|"")"),43402.0)</f>
        <v>43402</v>
      </c>
      <c r="E2039" s="2">
        <f>IFERROR(__xludf.DUMMYFUNCTION("""COMPUTED_VALUE"""),1705413.0)</f>
        <v>1705413</v>
      </c>
      <c r="F2039" s="2">
        <f>IFERROR(__xludf.DUMMYFUNCTION("""COMPUTED_VALUE"""),4919677.0)</f>
        <v>4919677</v>
      </c>
      <c r="G2039" s="2">
        <f>IFERROR(__xludf.DUMMYFUNCTION("""COMPUTED_VALUE"""),65.2739)</f>
        <v>65.2739</v>
      </c>
    </row>
    <row r="2040">
      <c r="A2040" s="1" t="s">
        <v>2039</v>
      </c>
      <c r="D2040" s="3">
        <f>IFERROR(__xludf.DUMMYFUNCTION("SPLIT(A2040, ""|"")"),43402.0)</f>
        <v>43402</v>
      </c>
      <c r="E2040" s="2">
        <f>IFERROR(__xludf.DUMMYFUNCTION("""COMPUTED_VALUE"""),1699773.0)</f>
        <v>1699773</v>
      </c>
      <c r="F2040" s="2">
        <f>IFERROR(__xludf.DUMMYFUNCTION("""COMPUTED_VALUE"""),4925670.0)</f>
        <v>4925670</v>
      </c>
      <c r="G2040" s="2">
        <f>IFERROR(__xludf.DUMMYFUNCTION("""COMPUTED_VALUE"""),53.0895)</f>
        <v>53.0895</v>
      </c>
    </row>
    <row r="2041">
      <c r="A2041" s="1" t="s">
        <v>2040</v>
      </c>
      <c r="D2041" s="3">
        <f>IFERROR(__xludf.DUMMYFUNCTION("SPLIT(A2041, ""|"")"),43402.0)</f>
        <v>43402</v>
      </c>
      <c r="E2041" s="2">
        <f>IFERROR(__xludf.DUMMYFUNCTION("""COMPUTED_VALUE"""),1706313.0)</f>
        <v>1706313</v>
      </c>
      <c r="F2041" s="2">
        <f>IFERROR(__xludf.DUMMYFUNCTION("""COMPUTED_VALUE"""),4922622.0)</f>
        <v>4922622</v>
      </c>
      <c r="G2041" s="2">
        <f>IFERROR(__xludf.DUMMYFUNCTION("""COMPUTED_VALUE"""),40.9222)</f>
        <v>40.9222</v>
      </c>
    </row>
    <row r="2042">
      <c r="A2042" s="1" t="s">
        <v>2041</v>
      </c>
      <c r="D2042" s="3">
        <f>IFERROR(__xludf.DUMMYFUNCTION("SPLIT(A2042, ""|"")"),43402.0)</f>
        <v>43402</v>
      </c>
      <c r="E2042" s="2">
        <f>IFERROR(__xludf.DUMMYFUNCTION("""COMPUTED_VALUE"""),1636413.0)</f>
        <v>1636413</v>
      </c>
      <c r="F2042" s="2">
        <f>IFERROR(__xludf.DUMMYFUNCTION("""COMPUTED_VALUE"""),4923530.0)</f>
        <v>4923530</v>
      </c>
      <c r="G2042" s="2">
        <f>IFERROR(__xludf.DUMMYFUNCTION("""COMPUTED_VALUE"""),56.3831)</f>
        <v>56.3831</v>
      </c>
    </row>
    <row r="2043">
      <c r="A2043" s="1" t="s">
        <v>2042</v>
      </c>
      <c r="D2043" s="3">
        <f>IFERROR(__xludf.DUMMYFUNCTION("SPLIT(A2043, ""|"")"),43402.0)</f>
        <v>43402</v>
      </c>
      <c r="E2043" s="2">
        <f>IFERROR(__xludf.DUMMYFUNCTION("""COMPUTED_VALUE"""),1369833.0)</f>
        <v>1369833</v>
      </c>
      <c r="F2043" s="2">
        <f>IFERROR(__xludf.DUMMYFUNCTION("""COMPUTED_VALUE"""),4918625.0)</f>
        <v>4918625</v>
      </c>
      <c r="G2043" s="2">
        <f>IFERROR(__xludf.DUMMYFUNCTION("""COMPUTED_VALUE"""),84.9654999999999)</f>
        <v>84.9655</v>
      </c>
    </row>
    <row r="2044">
      <c r="A2044" s="1" t="s">
        <v>2043</v>
      </c>
      <c r="D2044" s="3">
        <f>IFERROR(__xludf.DUMMYFUNCTION("SPLIT(A2044, ""|"")"),43147.0)</f>
        <v>43147</v>
      </c>
      <c r="E2044" s="2">
        <f>IFERROR(__xludf.DUMMYFUNCTION("""COMPUTED_VALUE"""),1529133.0)</f>
        <v>1529133</v>
      </c>
      <c r="F2044" s="2">
        <f>IFERROR(__xludf.DUMMYFUNCTION("""COMPUTED_VALUE"""),4222584.0)</f>
        <v>4222584</v>
      </c>
      <c r="G2044" s="2">
        <f>IFERROR(__xludf.DUMMYFUNCTION("""COMPUTED_VALUE"""),20.1819)</f>
        <v>20.1819</v>
      </c>
    </row>
    <row r="2045">
      <c r="A2045" s="1" t="s">
        <v>2044</v>
      </c>
      <c r="D2045" s="3">
        <f>IFERROR(__xludf.DUMMYFUNCTION("SPLIT(A2045, ""|"")"),43147.0)</f>
        <v>43147</v>
      </c>
      <c r="E2045" s="2">
        <f>IFERROR(__xludf.DUMMYFUNCTION("""COMPUTED_VALUE"""),1426383.0)</f>
        <v>1426383</v>
      </c>
      <c r="F2045" s="2">
        <f>IFERROR(__xludf.DUMMYFUNCTION("""COMPUTED_VALUE"""),4222969.0)</f>
        <v>4222969</v>
      </c>
      <c r="G2045" s="2">
        <f>IFERROR(__xludf.DUMMYFUNCTION("""COMPUTED_VALUE"""),111.5962)</f>
        <v>111.5962</v>
      </c>
    </row>
    <row r="2046">
      <c r="A2046" s="1" t="s">
        <v>2045</v>
      </c>
      <c r="D2046" s="3">
        <f>IFERROR(__xludf.DUMMYFUNCTION("SPLIT(A2046, ""|"")"),43147.0)</f>
        <v>43147</v>
      </c>
      <c r="E2046" s="2">
        <f>IFERROR(__xludf.DUMMYFUNCTION("""COMPUTED_VALUE"""),1529193.0)</f>
        <v>1529193</v>
      </c>
      <c r="F2046" s="2">
        <f>IFERROR(__xludf.DUMMYFUNCTION("""COMPUTED_VALUE"""),4222741.0)</f>
        <v>4222741</v>
      </c>
      <c r="G2046" s="2">
        <f>IFERROR(__xludf.DUMMYFUNCTION("""COMPUTED_VALUE"""),44.6321)</f>
        <v>44.6321</v>
      </c>
    </row>
    <row r="2047">
      <c r="A2047" s="1" t="s">
        <v>2046</v>
      </c>
      <c r="D2047" s="3">
        <f>IFERROR(__xludf.DUMMYFUNCTION("SPLIT(A2047, ""|"")"),43147.0)</f>
        <v>43147</v>
      </c>
      <c r="E2047" s="2">
        <f>IFERROR(__xludf.DUMMYFUNCTION("""COMPUTED_VALUE"""),1253823.0)</f>
        <v>1253823</v>
      </c>
      <c r="F2047" s="2">
        <f>IFERROR(__xludf.DUMMYFUNCTION("""COMPUTED_VALUE"""),4223149.0)</f>
        <v>4223149</v>
      </c>
      <c r="G2047" s="2">
        <f>IFERROR(__xludf.DUMMYFUNCTION("""COMPUTED_VALUE"""),69.2666)</f>
        <v>69.2666</v>
      </c>
    </row>
    <row r="2048">
      <c r="A2048" s="1" t="s">
        <v>2047</v>
      </c>
      <c r="D2048" s="3">
        <f>IFERROR(__xludf.DUMMYFUNCTION("SPLIT(A2048, ""|"")"),43403.0)</f>
        <v>43403</v>
      </c>
      <c r="E2048" s="2">
        <f>IFERROR(__xludf.DUMMYFUNCTION("""COMPUTED_VALUE"""),1144893.0)</f>
        <v>1144893</v>
      </c>
      <c r="F2048" s="2">
        <f>IFERROR(__xludf.DUMMYFUNCTION("""COMPUTED_VALUE"""),4934293.0)</f>
        <v>4934293</v>
      </c>
      <c r="G2048" s="2">
        <f>IFERROR(__xludf.DUMMYFUNCTION("""COMPUTED_VALUE"""),53.3125)</f>
        <v>53.3125</v>
      </c>
    </row>
    <row r="2049">
      <c r="A2049" s="1" t="s">
        <v>2048</v>
      </c>
      <c r="D2049" s="3">
        <f>IFERROR(__xludf.DUMMYFUNCTION("SPLIT(A2049, ""|"")"),43403.0)</f>
        <v>43403</v>
      </c>
      <c r="E2049" s="2">
        <f>IFERROR(__xludf.DUMMYFUNCTION("""COMPUTED_VALUE"""),426423.0)</f>
        <v>426423</v>
      </c>
      <c r="F2049" s="2">
        <f>IFERROR(__xludf.DUMMYFUNCTION("""COMPUTED_VALUE"""),4930437.0)</f>
        <v>4930437</v>
      </c>
      <c r="G2049" s="2">
        <f>IFERROR(__xludf.DUMMYFUNCTION("""COMPUTED_VALUE"""),99.4871999999999)</f>
        <v>99.4872</v>
      </c>
    </row>
    <row r="2050">
      <c r="A2050" s="1" t="s">
        <v>2049</v>
      </c>
      <c r="D2050" s="3">
        <f>IFERROR(__xludf.DUMMYFUNCTION("SPLIT(A2050, ""|"")"),43403.0)</f>
        <v>43403</v>
      </c>
      <c r="E2050" s="2">
        <f>IFERROR(__xludf.DUMMYFUNCTION("""COMPUTED_VALUE"""),1709013.0)</f>
        <v>1709013</v>
      </c>
      <c r="F2050" s="2">
        <f>IFERROR(__xludf.DUMMYFUNCTION("""COMPUTED_VALUE"""),4932465.0)</f>
        <v>4932465</v>
      </c>
      <c r="G2050" s="2">
        <f>IFERROR(__xludf.DUMMYFUNCTION("""COMPUTED_VALUE"""),20.425)</f>
        <v>20.425</v>
      </c>
    </row>
    <row r="2051">
      <c r="A2051" s="1" t="s">
        <v>2050</v>
      </c>
      <c r="D2051" s="3">
        <f>IFERROR(__xludf.DUMMYFUNCTION("SPLIT(A2051, ""|"")"),43403.0)</f>
        <v>43403</v>
      </c>
      <c r="E2051" s="2">
        <f>IFERROR(__xludf.DUMMYFUNCTION("""COMPUTED_VALUE"""),1426383.0)</f>
        <v>1426383</v>
      </c>
      <c r="F2051" s="2">
        <f>IFERROR(__xludf.DUMMYFUNCTION("""COMPUTED_VALUE"""),4928813.0)</f>
        <v>4928813</v>
      </c>
      <c r="G2051" s="2">
        <f>IFERROR(__xludf.DUMMYFUNCTION("""COMPUTED_VALUE"""),97.0116)</f>
        <v>97.0116</v>
      </c>
    </row>
    <row r="2052">
      <c r="A2052" s="1" t="s">
        <v>2051</v>
      </c>
      <c r="D2052" s="3">
        <f>IFERROR(__xludf.DUMMYFUNCTION("SPLIT(A2052, ""|"")"),43403.0)</f>
        <v>43403</v>
      </c>
      <c r="E2052" s="2">
        <f>IFERROR(__xludf.DUMMYFUNCTION("""COMPUTED_VALUE"""),1369353.0)</f>
        <v>1369353</v>
      </c>
      <c r="F2052" s="2">
        <f>IFERROR(__xludf.DUMMYFUNCTION("""COMPUTED_VALUE"""),4933209.0)</f>
        <v>4933209</v>
      </c>
      <c r="G2052" s="2">
        <f>IFERROR(__xludf.DUMMYFUNCTION("""COMPUTED_VALUE"""),43.7916)</f>
        <v>43.7916</v>
      </c>
    </row>
    <row r="2053">
      <c r="A2053" s="1" t="s">
        <v>2052</v>
      </c>
      <c r="D2053" s="3">
        <f>IFERROR(__xludf.DUMMYFUNCTION("SPLIT(A2053, ""|"")"),43403.0)</f>
        <v>43403</v>
      </c>
      <c r="E2053" s="2">
        <f>IFERROR(__xludf.DUMMYFUNCTION("""COMPUTED_VALUE"""),1709133.0)</f>
        <v>1709133</v>
      </c>
      <c r="F2053" s="2">
        <f>IFERROR(__xludf.DUMMYFUNCTION("""COMPUTED_VALUE"""),4933465.0)</f>
        <v>4933465</v>
      </c>
      <c r="G2053" s="2">
        <f>IFERROR(__xludf.DUMMYFUNCTION("""COMPUTED_VALUE"""),24.4633)</f>
        <v>24.4633</v>
      </c>
    </row>
    <row r="2054">
      <c r="A2054" s="1" t="s">
        <v>2053</v>
      </c>
      <c r="D2054" s="3">
        <f>IFERROR(__xludf.DUMMYFUNCTION("SPLIT(A2054, ""|"")"),43403.0)</f>
        <v>43403</v>
      </c>
      <c r="E2054" s="2">
        <f>IFERROR(__xludf.DUMMYFUNCTION("""COMPUTED_VALUE"""),948573.0)</f>
        <v>948573</v>
      </c>
      <c r="F2054" s="2">
        <f>IFERROR(__xludf.DUMMYFUNCTION("""COMPUTED_VALUE"""),4933373.0)</f>
        <v>4933373</v>
      </c>
      <c r="G2054" s="2">
        <f>IFERROR(__xludf.DUMMYFUNCTION("""COMPUTED_VALUE"""),29.2408)</f>
        <v>29.2408</v>
      </c>
    </row>
    <row r="2055">
      <c r="A2055" s="1" t="s">
        <v>2054</v>
      </c>
      <c r="D2055" s="3">
        <f>IFERROR(__xludf.DUMMYFUNCTION("SPLIT(A2055, ""|"")"),43403.0)</f>
        <v>43403</v>
      </c>
      <c r="E2055" s="2">
        <f>IFERROR(__xludf.DUMMYFUNCTION("""COMPUTED_VALUE"""),1709073.0)</f>
        <v>1709073</v>
      </c>
      <c r="F2055" s="2">
        <f>IFERROR(__xludf.DUMMYFUNCTION("""COMPUTED_VALUE"""),4932657.0)</f>
        <v>4932657</v>
      </c>
      <c r="G2055" s="2">
        <f>IFERROR(__xludf.DUMMYFUNCTION("""COMPUTED_VALUE"""),15.8912)</f>
        <v>15.8912</v>
      </c>
    </row>
    <row r="2056">
      <c r="A2056" s="1" t="s">
        <v>2055</v>
      </c>
      <c r="D2056" s="3">
        <f>IFERROR(__xludf.DUMMYFUNCTION("SPLIT(A2056, ""|"")"),43403.0)</f>
        <v>43403</v>
      </c>
      <c r="E2056" s="2">
        <f>IFERROR(__xludf.DUMMYFUNCTION("""COMPUTED_VALUE"""),1397703.0)</f>
        <v>1397703</v>
      </c>
      <c r="F2056" s="2">
        <f>IFERROR(__xludf.DUMMYFUNCTION("""COMPUTED_VALUE"""),4929713.0)</f>
        <v>4929713</v>
      </c>
      <c r="G2056" s="2">
        <f>IFERROR(__xludf.DUMMYFUNCTION("""COMPUTED_VALUE"""),55.4416)</f>
        <v>55.4416</v>
      </c>
    </row>
    <row r="2057">
      <c r="A2057" s="1" t="s">
        <v>2056</v>
      </c>
      <c r="D2057" s="3">
        <f>IFERROR(__xludf.DUMMYFUNCTION("SPLIT(A2057, ""|"")"),43148.0)</f>
        <v>43148</v>
      </c>
      <c r="E2057" s="2">
        <f>IFERROR(__xludf.DUMMYFUNCTION("""COMPUTED_VALUE"""),1236333.0)</f>
        <v>1236333</v>
      </c>
      <c r="F2057" s="2">
        <f>IFERROR(__xludf.DUMMYFUNCTION("""COMPUTED_VALUE"""),4223631.0)</f>
        <v>4223631</v>
      </c>
      <c r="G2057" s="2">
        <f>IFERROR(__xludf.DUMMYFUNCTION("""COMPUTED_VALUE"""),94.5557)</f>
        <v>94.5557</v>
      </c>
    </row>
    <row r="2058">
      <c r="A2058" s="1" t="s">
        <v>2057</v>
      </c>
      <c r="D2058" s="3">
        <f>IFERROR(__xludf.DUMMYFUNCTION("SPLIT(A2058, ""|"")"),43148.0)</f>
        <v>43148</v>
      </c>
      <c r="E2058" s="2">
        <f>IFERROR(__xludf.DUMMYFUNCTION("""COMPUTED_VALUE"""),1529913.0)</f>
        <v>1529913</v>
      </c>
      <c r="F2058" s="2">
        <f>IFERROR(__xludf.DUMMYFUNCTION("""COMPUTED_VALUE"""),4225210.0)</f>
        <v>4225210</v>
      </c>
      <c r="G2058" s="2">
        <f>IFERROR(__xludf.DUMMYFUNCTION("""COMPUTED_VALUE"""),54.4389)</f>
        <v>54.4389</v>
      </c>
    </row>
    <row r="2059">
      <c r="A2059" s="1" t="s">
        <v>2058</v>
      </c>
      <c r="D2059" s="3">
        <f>IFERROR(__xludf.DUMMYFUNCTION("SPLIT(A2059, ""|"")"),43148.0)</f>
        <v>43148</v>
      </c>
      <c r="E2059" s="2">
        <f>IFERROR(__xludf.DUMMYFUNCTION("""COMPUTED_VALUE"""),1237893.0)</f>
        <v>1237893</v>
      </c>
      <c r="F2059" s="2">
        <f>IFERROR(__xludf.DUMMYFUNCTION("""COMPUTED_VALUE"""),4224520.0)</f>
        <v>4224520</v>
      </c>
      <c r="G2059" s="2">
        <f>IFERROR(__xludf.DUMMYFUNCTION("""COMPUTED_VALUE"""),69.4617)</f>
        <v>69.4617</v>
      </c>
    </row>
    <row r="2060">
      <c r="A2060" s="1" t="s">
        <v>2059</v>
      </c>
      <c r="D2060" s="3">
        <f>IFERROR(__xludf.DUMMYFUNCTION("SPLIT(A2060, ""|"")"),43148.0)</f>
        <v>43148</v>
      </c>
      <c r="E2060" s="2">
        <f>IFERROR(__xludf.DUMMYFUNCTION("""COMPUTED_VALUE"""),1248333.0)</f>
        <v>1248333</v>
      </c>
      <c r="F2060" s="2">
        <f>IFERROR(__xludf.DUMMYFUNCTION("""COMPUTED_VALUE"""),4224433.0)</f>
        <v>4224433</v>
      </c>
      <c r="G2060" s="2">
        <f>IFERROR(__xludf.DUMMYFUNCTION("""COMPUTED_VALUE"""),33.1666)</f>
        <v>33.1666</v>
      </c>
    </row>
    <row r="2061">
      <c r="A2061" s="1" t="s">
        <v>2060</v>
      </c>
      <c r="D2061" s="3">
        <f>IFERROR(__xludf.DUMMYFUNCTION("SPLIT(A2061, ""|"")"),43148.0)</f>
        <v>43148</v>
      </c>
      <c r="E2061" s="2">
        <f>IFERROR(__xludf.DUMMYFUNCTION("""COMPUTED_VALUE"""),1438953.0)</f>
        <v>1438953</v>
      </c>
      <c r="F2061" s="2">
        <f>IFERROR(__xludf.DUMMYFUNCTION("""COMPUTED_VALUE"""),4223921.0)</f>
        <v>4223921</v>
      </c>
      <c r="G2061" s="2">
        <f>IFERROR(__xludf.DUMMYFUNCTION("""COMPUTED_VALUE"""),32.4501)</f>
        <v>32.4501</v>
      </c>
    </row>
    <row r="2062">
      <c r="A2062" s="1" t="s">
        <v>2061</v>
      </c>
      <c r="D2062" s="3">
        <f>IFERROR(__xludf.DUMMYFUNCTION("SPLIT(A2062, ""|"")"),43404.0)</f>
        <v>43404</v>
      </c>
      <c r="E2062" s="2">
        <f>IFERROR(__xludf.DUMMYFUNCTION("""COMPUTED_VALUE"""),1708653.0)</f>
        <v>1708653</v>
      </c>
      <c r="F2062" s="2">
        <f>IFERROR(__xludf.DUMMYFUNCTION("""COMPUTED_VALUE"""),4940473.0)</f>
        <v>4940473</v>
      </c>
      <c r="G2062" s="2">
        <f>IFERROR(__xludf.DUMMYFUNCTION("""COMPUTED_VALUE"""),54.5524)</f>
        <v>54.5524</v>
      </c>
    </row>
    <row r="2063">
      <c r="A2063" s="1" t="s">
        <v>2062</v>
      </c>
      <c r="D2063" s="3">
        <f>IFERROR(__xludf.DUMMYFUNCTION("SPLIT(A2063, ""|"")"),43404.0)</f>
        <v>43404</v>
      </c>
      <c r="E2063" s="2">
        <f>IFERROR(__xludf.DUMMYFUNCTION("""COMPUTED_VALUE"""),1618173.0)</f>
        <v>1618173</v>
      </c>
      <c r="F2063" s="2">
        <f>IFERROR(__xludf.DUMMYFUNCTION("""COMPUTED_VALUE"""),4943293.0)</f>
        <v>4943293</v>
      </c>
      <c r="G2063" s="2">
        <f>IFERROR(__xludf.DUMMYFUNCTION("""COMPUTED_VALUE"""),46.2542)</f>
        <v>46.2542</v>
      </c>
    </row>
    <row r="2064">
      <c r="A2064" s="1" t="s">
        <v>2063</v>
      </c>
      <c r="D2064" s="3">
        <f>IFERROR(__xludf.DUMMYFUNCTION("SPLIT(A2064, ""|"")"),43404.0)</f>
        <v>43404</v>
      </c>
      <c r="E2064" s="2">
        <f>IFERROR(__xludf.DUMMYFUNCTION("""COMPUTED_VALUE"""),1709433.0)</f>
        <v>1709433</v>
      </c>
      <c r="F2064" s="2">
        <f>IFERROR(__xludf.DUMMYFUNCTION("""COMPUTED_VALUE"""),4942049.0)</f>
        <v>4942049</v>
      </c>
      <c r="G2064" s="2">
        <f>IFERROR(__xludf.DUMMYFUNCTION("""COMPUTED_VALUE"""),21.2166)</f>
        <v>21.2166</v>
      </c>
    </row>
    <row r="2065">
      <c r="A2065" s="1" t="s">
        <v>2064</v>
      </c>
      <c r="D2065" s="3">
        <f>IFERROR(__xludf.DUMMYFUNCTION("SPLIT(A2065, ""|"")"),43404.0)</f>
        <v>43404</v>
      </c>
      <c r="E2065" s="2">
        <f>IFERROR(__xludf.DUMMYFUNCTION("""COMPUTED_VALUE"""),1214823.0)</f>
        <v>1214823</v>
      </c>
      <c r="F2065" s="2">
        <f>IFERROR(__xludf.DUMMYFUNCTION("""COMPUTED_VALUE"""),4940773.0)</f>
        <v>4940773</v>
      </c>
      <c r="G2065" s="2">
        <f>IFERROR(__xludf.DUMMYFUNCTION("""COMPUTED_VALUE"""),98.6003)</f>
        <v>98.6003</v>
      </c>
    </row>
    <row r="2066">
      <c r="A2066" s="1" t="s">
        <v>2065</v>
      </c>
      <c r="D2066" s="3">
        <f>IFERROR(__xludf.DUMMYFUNCTION("SPLIT(A2066, ""|"")"),43404.0)</f>
        <v>43404</v>
      </c>
      <c r="E2066" s="2">
        <f>IFERROR(__xludf.DUMMYFUNCTION("""COMPUTED_VALUE"""),1495833.0)</f>
        <v>1495833</v>
      </c>
      <c r="F2066" s="2">
        <f>IFERROR(__xludf.DUMMYFUNCTION("""COMPUTED_VALUE"""),4943737.0)</f>
        <v>4943737</v>
      </c>
      <c r="G2066" s="2">
        <f>IFERROR(__xludf.DUMMYFUNCTION("""COMPUTED_VALUE"""),59.0081)</f>
        <v>59.0081</v>
      </c>
    </row>
    <row r="2067">
      <c r="A2067" s="1" t="s">
        <v>2066</v>
      </c>
      <c r="D2067" s="3">
        <f>IFERROR(__xludf.DUMMYFUNCTION("SPLIT(A2067, ""|"")"),43404.0)</f>
        <v>43404</v>
      </c>
      <c r="E2067" s="2">
        <f>IFERROR(__xludf.DUMMYFUNCTION("""COMPUTED_VALUE"""),1669353.0)</f>
        <v>1669353</v>
      </c>
      <c r="F2067" s="2">
        <f>IFERROR(__xludf.DUMMYFUNCTION("""COMPUTED_VALUE"""),4935121.0)</f>
        <v>4935121</v>
      </c>
      <c r="G2067" s="2">
        <f>IFERROR(__xludf.DUMMYFUNCTION("""COMPUTED_VALUE"""),62.0794999999999)</f>
        <v>62.0795</v>
      </c>
    </row>
    <row r="2068">
      <c r="A2068" s="1" t="s">
        <v>2067</v>
      </c>
      <c r="D2068" s="3">
        <f>IFERROR(__xludf.DUMMYFUNCTION("SPLIT(A2068, ""|"")"),43404.0)</f>
        <v>43404</v>
      </c>
      <c r="E2068" s="2">
        <f>IFERROR(__xludf.DUMMYFUNCTION("""COMPUTED_VALUE"""),367683.0)</f>
        <v>367683</v>
      </c>
      <c r="F2068" s="2">
        <f>IFERROR(__xludf.DUMMYFUNCTION("""COMPUTED_VALUE"""),4942473.0)</f>
        <v>4942473</v>
      </c>
      <c r="G2068" s="2">
        <f>IFERROR(__xludf.DUMMYFUNCTION("""COMPUTED_VALUE"""),59.7764999999999)</f>
        <v>59.7765</v>
      </c>
    </row>
    <row r="2069">
      <c r="A2069" s="1" t="s">
        <v>2068</v>
      </c>
      <c r="D2069" s="3">
        <f>IFERROR(__xludf.DUMMYFUNCTION("SPLIT(A2069, ""|"")"),43404.0)</f>
        <v>43404</v>
      </c>
      <c r="E2069" s="2">
        <f>IFERROR(__xludf.DUMMYFUNCTION("""COMPUTED_VALUE"""),1291233.0)</f>
        <v>1291233</v>
      </c>
      <c r="F2069" s="2">
        <f>IFERROR(__xludf.DUMMYFUNCTION("""COMPUTED_VALUE"""),4944749.0)</f>
        <v>4944749</v>
      </c>
      <c r="G2069" s="2">
        <f>IFERROR(__xludf.DUMMYFUNCTION("""COMPUTED_VALUE"""),83.0471)</f>
        <v>83.0471</v>
      </c>
    </row>
    <row r="2070">
      <c r="A2070" s="1" t="s">
        <v>2069</v>
      </c>
      <c r="D2070" s="3">
        <f>IFERROR(__xludf.DUMMYFUNCTION("SPLIT(A2070, ""|"")"),43149.0)</f>
        <v>43149</v>
      </c>
      <c r="E2070" s="2">
        <f>IFERROR(__xludf.DUMMYFUNCTION("""COMPUTED_VALUE"""),1491483.0)</f>
        <v>1491483</v>
      </c>
      <c r="F2070" s="2">
        <f>IFERROR(__xludf.DUMMYFUNCTION("""COMPUTED_VALUE"""),4228095.0)</f>
        <v>4228095</v>
      </c>
      <c r="G2070" s="2">
        <f>IFERROR(__xludf.DUMMYFUNCTION("""COMPUTED_VALUE"""),59.6881)</f>
        <v>59.6881</v>
      </c>
    </row>
    <row r="2071">
      <c r="A2071" s="1" t="s">
        <v>2070</v>
      </c>
      <c r="D2071" s="3">
        <f>IFERROR(__xludf.DUMMYFUNCTION("SPLIT(A2071, ""|"")"),43149.0)</f>
        <v>43149</v>
      </c>
      <c r="E2071" s="2">
        <f>IFERROR(__xludf.DUMMYFUNCTION("""COMPUTED_VALUE"""),1060173.0)</f>
        <v>1060173</v>
      </c>
      <c r="F2071" s="2">
        <f>IFERROR(__xludf.DUMMYFUNCTION("""COMPUTED_VALUE"""),4227747.0)</f>
        <v>4227747</v>
      </c>
      <c r="G2071" s="2">
        <f>IFERROR(__xludf.DUMMYFUNCTION("""COMPUTED_VALUE"""),62.4757999999999)</f>
        <v>62.4758</v>
      </c>
    </row>
    <row r="2072">
      <c r="A2072" s="1" t="s">
        <v>2071</v>
      </c>
      <c r="D2072" s="3">
        <f>IFERROR(__xludf.DUMMYFUNCTION("SPLIT(A2072, ""|"")"),43149.0)</f>
        <v>43149</v>
      </c>
      <c r="E2072" s="2">
        <f>IFERROR(__xludf.DUMMYFUNCTION("""COMPUTED_VALUE"""),1204983.0)</f>
        <v>1204983</v>
      </c>
      <c r="F2072" s="2">
        <f>IFERROR(__xludf.DUMMYFUNCTION("""COMPUTED_VALUE"""),4226207.0)</f>
        <v>4226207</v>
      </c>
      <c r="G2072" s="2">
        <f>IFERROR(__xludf.DUMMYFUNCTION("""COMPUTED_VALUE"""),64.6328)</f>
        <v>64.6328</v>
      </c>
    </row>
    <row r="2073">
      <c r="A2073" s="1" t="s">
        <v>2072</v>
      </c>
      <c r="D2073" s="3">
        <f>IFERROR(__xludf.DUMMYFUNCTION("SPLIT(A2073, ""|"")"),43149.0)</f>
        <v>43149</v>
      </c>
      <c r="E2073" s="2">
        <f>IFERROR(__xludf.DUMMYFUNCTION("""COMPUTED_VALUE"""),1428633.0)</f>
        <v>1428633</v>
      </c>
      <c r="F2073" s="2">
        <f>IFERROR(__xludf.DUMMYFUNCTION("""COMPUTED_VALUE"""),4225997.0)</f>
        <v>4225997</v>
      </c>
      <c r="G2073" s="2">
        <f>IFERROR(__xludf.DUMMYFUNCTION("""COMPUTED_VALUE"""),143.6362)</f>
        <v>143.6362</v>
      </c>
    </row>
    <row r="2074">
      <c r="A2074" s="1" t="s">
        <v>2073</v>
      </c>
      <c r="D2074" s="3">
        <f>IFERROR(__xludf.DUMMYFUNCTION("SPLIT(A2074, ""|"")"),43149.0)</f>
        <v>43149</v>
      </c>
      <c r="E2074" s="2">
        <f>IFERROR(__xludf.DUMMYFUNCTION("""COMPUTED_VALUE"""),1530243.0)</f>
        <v>1530243</v>
      </c>
      <c r="F2074" s="2">
        <f>IFERROR(__xludf.DUMMYFUNCTION("""COMPUTED_VALUE"""),4226431.0)</f>
        <v>4226431</v>
      </c>
      <c r="G2074" s="2">
        <f>IFERROR(__xludf.DUMMYFUNCTION("""COMPUTED_VALUE"""),68.13)</f>
        <v>68.13</v>
      </c>
    </row>
    <row r="2075">
      <c r="A2075" s="1" t="s">
        <v>2074</v>
      </c>
      <c r="D2075" s="3">
        <f>IFERROR(__xludf.DUMMYFUNCTION("SPLIT(A2075, ""|"")"),43149.0)</f>
        <v>43149</v>
      </c>
      <c r="E2075" s="2">
        <f>IFERROR(__xludf.DUMMYFUNCTION("""COMPUTED_VALUE"""),1530153.0)</f>
        <v>1530153</v>
      </c>
      <c r="F2075" s="2">
        <f>IFERROR(__xludf.DUMMYFUNCTION("""COMPUTED_VALUE"""),4226149.0)</f>
        <v>4226149</v>
      </c>
      <c r="G2075" s="2">
        <f>IFERROR(__xludf.DUMMYFUNCTION("""COMPUTED_VALUE"""),20.6234)</f>
        <v>20.6234</v>
      </c>
    </row>
    <row r="2076">
      <c r="A2076" s="1" t="s">
        <v>2075</v>
      </c>
      <c r="D2076" s="3">
        <f>IFERROR(__xludf.DUMMYFUNCTION("SPLIT(A2076, ""|"")"),43405.0)</f>
        <v>43405</v>
      </c>
      <c r="E2076" s="2">
        <f>IFERROR(__xludf.DUMMYFUNCTION("""COMPUTED_VALUE"""),1334643.0)</f>
        <v>1334643</v>
      </c>
      <c r="F2076" s="2">
        <f>IFERROR(__xludf.DUMMYFUNCTION("""COMPUTED_VALUE"""),4947449.0)</f>
        <v>4947449</v>
      </c>
      <c r="G2076" s="2">
        <f>IFERROR(__xludf.DUMMYFUNCTION("""COMPUTED_VALUE"""),136.1136)</f>
        <v>136.1136</v>
      </c>
    </row>
    <row r="2077">
      <c r="A2077" s="1" t="s">
        <v>2076</v>
      </c>
      <c r="D2077" s="3">
        <f>IFERROR(__xludf.DUMMYFUNCTION("SPLIT(A2077, ""|"")"),43405.0)</f>
        <v>43405</v>
      </c>
      <c r="E2077" s="2">
        <f>IFERROR(__xludf.DUMMYFUNCTION("""COMPUTED_VALUE"""),1713333.0)</f>
        <v>1713333</v>
      </c>
      <c r="F2077" s="2">
        <f>IFERROR(__xludf.DUMMYFUNCTION("""COMPUTED_VALUE"""),4949681.0)</f>
        <v>4949681</v>
      </c>
      <c r="G2077" s="2">
        <f>IFERROR(__xludf.DUMMYFUNCTION("""COMPUTED_VALUE"""),50.0437)</f>
        <v>50.0437</v>
      </c>
    </row>
    <row r="2078">
      <c r="A2078" s="1" t="s">
        <v>2077</v>
      </c>
      <c r="D2078" s="3">
        <f>IFERROR(__xludf.DUMMYFUNCTION("SPLIT(A2078, ""|"")"),43405.0)</f>
        <v>43405</v>
      </c>
      <c r="E2078" s="2">
        <f>IFERROR(__xludf.DUMMYFUNCTION("""COMPUTED_VALUE"""),1703733.0)</f>
        <v>1703733</v>
      </c>
      <c r="F2078" s="2">
        <f>IFERROR(__xludf.DUMMYFUNCTION("""COMPUTED_VALUE"""),4947561.0)</f>
        <v>4947561</v>
      </c>
      <c r="G2078" s="2">
        <f>IFERROR(__xludf.DUMMYFUNCTION("""COMPUTED_VALUE"""),202.9058)</f>
        <v>202.9058</v>
      </c>
    </row>
    <row r="2079">
      <c r="A2079" s="1" t="s">
        <v>2078</v>
      </c>
      <c r="D2079" s="3">
        <f>IFERROR(__xludf.DUMMYFUNCTION("SPLIT(A2079, ""|"")"),43405.0)</f>
        <v>43405</v>
      </c>
      <c r="E2079" s="2">
        <f>IFERROR(__xludf.DUMMYFUNCTION("""COMPUTED_VALUE"""),1048983.0)</f>
        <v>1048983</v>
      </c>
      <c r="F2079" s="2">
        <f>IFERROR(__xludf.DUMMYFUNCTION("""COMPUTED_VALUE"""),4952681.0)</f>
        <v>4952681</v>
      </c>
      <c r="G2079" s="2">
        <f>IFERROR(__xludf.DUMMYFUNCTION("""COMPUTED_VALUE"""),41.0834)</f>
        <v>41.0834</v>
      </c>
    </row>
    <row r="2080">
      <c r="A2080" s="1" t="s">
        <v>2079</v>
      </c>
      <c r="D2080" s="3">
        <f>IFERROR(__xludf.DUMMYFUNCTION("SPLIT(A2080, ""|"")"),43405.0)</f>
        <v>43405</v>
      </c>
      <c r="E2080" s="2">
        <f>IFERROR(__xludf.DUMMYFUNCTION("""COMPUTED_VALUE"""),1713393.0)</f>
        <v>1713393</v>
      </c>
      <c r="F2080" s="2">
        <f>IFERROR(__xludf.DUMMYFUNCTION("""COMPUTED_VALUE"""),4951005.0)</f>
        <v>4951005</v>
      </c>
      <c r="G2080" s="2">
        <f>IFERROR(__xludf.DUMMYFUNCTION("""COMPUTED_VALUE"""),139.8881)</f>
        <v>139.8881</v>
      </c>
    </row>
    <row r="2081">
      <c r="A2081" s="1" t="s">
        <v>2080</v>
      </c>
      <c r="D2081" s="3">
        <f>IFERROR(__xludf.DUMMYFUNCTION("SPLIT(A2081, ""|"")"),43405.0)</f>
        <v>43405</v>
      </c>
      <c r="E2081" s="2">
        <f>IFERROR(__xludf.DUMMYFUNCTION("""COMPUTED_VALUE"""),1666593.0)</f>
        <v>1666593</v>
      </c>
      <c r="F2081" s="2">
        <f>IFERROR(__xludf.DUMMYFUNCTION("""COMPUTED_VALUE"""),4950101.0)</f>
        <v>4950101</v>
      </c>
      <c r="G2081" s="2">
        <f>IFERROR(__xludf.DUMMYFUNCTION("""COMPUTED_VALUE"""),35.8023)</f>
        <v>35.8023</v>
      </c>
    </row>
    <row r="2082">
      <c r="A2082" s="1" t="s">
        <v>2081</v>
      </c>
      <c r="D2082" s="3">
        <f>IFERROR(__xludf.DUMMYFUNCTION("SPLIT(A2082, ""|"")"),43405.0)</f>
        <v>43405</v>
      </c>
      <c r="E2082" s="2">
        <f>IFERROR(__xludf.DUMMYFUNCTION("""COMPUTED_VALUE"""),1713693.0)</f>
        <v>1713693</v>
      </c>
      <c r="F2082" s="2">
        <f>IFERROR(__xludf.DUMMYFUNCTION("""COMPUTED_VALUE"""),4951145.0)</f>
        <v>4951145</v>
      </c>
      <c r="G2082" s="2">
        <f>IFERROR(__xludf.DUMMYFUNCTION("""COMPUTED_VALUE"""),44.6076)</f>
        <v>44.6076</v>
      </c>
    </row>
    <row r="2083">
      <c r="A2083" s="1" t="s">
        <v>2082</v>
      </c>
      <c r="D2083" s="3">
        <f>IFERROR(__xludf.DUMMYFUNCTION("SPLIT(A2083, ""|"")"),43405.0)</f>
        <v>43405</v>
      </c>
      <c r="E2083" s="2">
        <f>IFERROR(__xludf.DUMMYFUNCTION("""COMPUTED_VALUE"""),1478463.0)</f>
        <v>1478463</v>
      </c>
      <c r="F2083" s="2">
        <f>IFERROR(__xludf.DUMMYFUNCTION("""COMPUTED_VALUE"""),4954381.0)</f>
        <v>4954381</v>
      </c>
      <c r="G2083" s="2">
        <f>IFERROR(__xludf.DUMMYFUNCTION("""COMPUTED_VALUE"""),38.8600999999999)</f>
        <v>38.8601</v>
      </c>
    </row>
    <row r="2084">
      <c r="A2084" s="1" t="s">
        <v>2083</v>
      </c>
      <c r="D2084" s="3">
        <f>IFERROR(__xludf.DUMMYFUNCTION("SPLIT(A2084, ""|"")"),43405.0)</f>
        <v>43405</v>
      </c>
      <c r="E2084" s="2">
        <f>IFERROR(__xludf.DUMMYFUNCTION("""COMPUTED_VALUE"""),1156023.0)</f>
        <v>1156023</v>
      </c>
      <c r="F2084" s="2">
        <f>IFERROR(__xludf.DUMMYFUNCTION("""COMPUTED_VALUE"""),4948497.0)</f>
        <v>4948497</v>
      </c>
      <c r="G2084" s="2">
        <f>IFERROR(__xludf.DUMMYFUNCTION("""COMPUTED_VALUE"""),52.2951)</f>
        <v>52.2951</v>
      </c>
    </row>
    <row r="2085">
      <c r="A2085" s="1" t="s">
        <v>2084</v>
      </c>
      <c r="D2085" s="3">
        <f>IFERROR(__xludf.DUMMYFUNCTION("SPLIT(A2085, ""|"")"),43405.0)</f>
        <v>43405</v>
      </c>
      <c r="E2085" s="2">
        <f>IFERROR(__xludf.DUMMYFUNCTION("""COMPUTED_VALUE"""),1102863.0)</f>
        <v>1102863</v>
      </c>
      <c r="F2085" s="2">
        <f>IFERROR(__xludf.DUMMYFUNCTION("""COMPUTED_VALUE"""),4955961.0)</f>
        <v>4955961</v>
      </c>
      <c r="G2085" s="2">
        <f>IFERROR(__xludf.DUMMYFUNCTION("""COMPUTED_VALUE"""),48.8151)</f>
        <v>48.8151</v>
      </c>
    </row>
    <row r="2086">
      <c r="A2086" s="1" t="s">
        <v>2085</v>
      </c>
      <c r="D2086" s="3">
        <f>IFERROR(__xludf.DUMMYFUNCTION("SPLIT(A2086, ""|"")"),43405.0)</f>
        <v>43405</v>
      </c>
      <c r="E2086" s="2">
        <f>IFERROR(__xludf.DUMMYFUNCTION("""COMPUTED_VALUE"""),1567323.0)</f>
        <v>1567323</v>
      </c>
      <c r="F2086" s="2">
        <f>IFERROR(__xludf.DUMMYFUNCTION("""COMPUTED_VALUE"""),4955737.0)</f>
        <v>4955737</v>
      </c>
      <c r="G2086" s="2">
        <f>IFERROR(__xludf.DUMMYFUNCTION("""COMPUTED_VALUE"""),105.581299999999)</f>
        <v>105.5813</v>
      </c>
    </row>
    <row r="2087">
      <c r="A2087" s="1" t="s">
        <v>2086</v>
      </c>
      <c r="D2087" s="3">
        <f>IFERROR(__xludf.DUMMYFUNCTION("SPLIT(A2087, ""|"")"),43405.0)</f>
        <v>43405</v>
      </c>
      <c r="E2087" s="2">
        <f>IFERROR(__xludf.DUMMYFUNCTION("""COMPUTED_VALUE"""),1714173.0)</f>
        <v>1714173</v>
      </c>
      <c r="F2087" s="2">
        <f>IFERROR(__xludf.DUMMYFUNCTION("""COMPUTED_VALUE"""),4952909.0)</f>
        <v>4952909</v>
      </c>
      <c r="G2087" s="2">
        <f>IFERROR(__xludf.DUMMYFUNCTION("""COMPUTED_VALUE"""),17.794)</f>
        <v>17.794</v>
      </c>
    </row>
    <row r="2088">
      <c r="A2088" s="1" t="s">
        <v>2087</v>
      </c>
      <c r="D2088" s="3">
        <f>IFERROR(__xludf.DUMMYFUNCTION("SPLIT(A2088, ""|"")"),43150.0)</f>
        <v>43150</v>
      </c>
      <c r="E2088" s="2">
        <f>IFERROR(__xludf.DUMMYFUNCTION("""COMPUTED_VALUE"""),1519083.0)</f>
        <v>1519083</v>
      </c>
      <c r="F2088" s="2">
        <f>IFERROR(__xludf.DUMMYFUNCTION("""COMPUTED_VALUE"""),4229780.0)</f>
        <v>4229780</v>
      </c>
      <c r="G2088" s="2">
        <f>IFERROR(__xludf.DUMMYFUNCTION("""COMPUTED_VALUE"""),114.5912)</f>
        <v>114.5912</v>
      </c>
    </row>
    <row r="2089">
      <c r="A2089" s="1" t="s">
        <v>2088</v>
      </c>
      <c r="D2089" s="3">
        <f>IFERROR(__xludf.DUMMYFUNCTION("SPLIT(A2089, ""|"")"),43150.0)</f>
        <v>43150</v>
      </c>
      <c r="E2089" s="2">
        <f>IFERROR(__xludf.DUMMYFUNCTION("""COMPUTED_VALUE"""),392763.0)</f>
        <v>392763</v>
      </c>
      <c r="F2089" s="2">
        <f>IFERROR(__xludf.DUMMYFUNCTION("""COMPUTED_VALUE"""),4230584.0)</f>
        <v>4230584</v>
      </c>
      <c r="G2089" s="2">
        <f>IFERROR(__xludf.DUMMYFUNCTION("""COMPUTED_VALUE"""),141.9572)</f>
        <v>141.9572</v>
      </c>
    </row>
    <row r="2090">
      <c r="A2090" s="1" t="s">
        <v>2089</v>
      </c>
      <c r="D2090" s="3">
        <f>IFERROR(__xludf.DUMMYFUNCTION("SPLIT(A2090, ""|"")"),43150.0)</f>
        <v>43150</v>
      </c>
      <c r="E2090" s="2">
        <f>IFERROR(__xludf.DUMMYFUNCTION("""COMPUTED_VALUE"""),1531503.0)</f>
        <v>1531503</v>
      </c>
      <c r="F2090" s="2">
        <f>IFERROR(__xludf.DUMMYFUNCTION("""COMPUTED_VALUE"""),4231129.0)</f>
        <v>4231129</v>
      </c>
      <c r="G2090" s="2">
        <f>IFERROR(__xludf.DUMMYFUNCTION("""COMPUTED_VALUE"""),28.6854999999999)</f>
        <v>28.6855</v>
      </c>
    </row>
    <row r="2091">
      <c r="A2091" s="1" t="s">
        <v>2090</v>
      </c>
      <c r="D2091" s="3">
        <f>IFERROR(__xludf.DUMMYFUNCTION("SPLIT(A2091, ""|"")"),43150.0)</f>
        <v>43150</v>
      </c>
      <c r="E2091" s="2">
        <f>IFERROR(__xludf.DUMMYFUNCTION("""COMPUTED_VALUE"""),1530993.0)</f>
        <v>1530993</v>
      </c>
      <c r="F2091" s="2">
        <f>IFERROR(__xludf.DUMMYFUNCTION("""COMPUTED_VALUE"""),4229339.0)</f>
        <v>4229339</v>
      </c>
      <c r="G2091" s="2">
        <f>IFERROR(__xludf.DUMMYFUNCTION("""COMPUTED_VALUE"""),111.8484)</f>
        <v>111.8484</v>
      </c>
    </row>
    <row r="2092">
      <c r="A2092" s="1" t="s">
        <v>2091</v>
      </c>
      <c r="D2092" s="3">
        <f>IFERROR(__xludf.DUMMYFUNCTION("SPLIT(A2092, ""|"")"),43150.0)</f>
        <v>43150</v>
      </c>
      <c r="E2092" s="2">
        <f>IFERROR(__xludf.DUMMYFUNCTION("""COMPUTED_VALUE"""),1455873.0)</f>
        <v>1455873</v>
      </c>
      <c r="F2092" s="2">
        <f>IFERROR(__xludf.DUMMYFUNCTION("""COMPUTED_VALUE"""),4228619.0)</f>
        <v>4228619</v>
      </c>
      <c r="G2092" s="2">
        <f>IFERROR(__xludf.DUMMYFUNCTION("""COMPUTED_VALUE"""),74.3893)</f>
        <v>74.3893</v>
      </c>
    </row>
    <row r="2093">
      <c r="A2093" s="1" t="s">
        <v>2092</v>
      </c>
      <c r="D2093" s="3">
        <f>IFERROR(__xludf.DUMMYFUNCTION("SPLIT(A2093, ""|"")"),43406.0)</f>
        <v>43406</v>
      </c>
      <c r="E2093" s="2">
        <f>IFERROR(__xludf.DUMMYFUNCTION("""COMPUTED_VALUE"""),1717773.0)</f>
        <v>1717773</v>
      </c>
      <c r="F2093" s="2">
        <f>IFERROR(__xludf.DUMMYFUNCTION("""COMPUTED_VALUE"""),4965445.0)</f>
        <v>4965445</v>
      </c>
      <c r="G2093" s="2">
        <f>IFERROR(__xludf.DUMMYFUNCTION("""COMPUTED_VALUE"""),19.16)</f>
        <v>19.16</v>
      </c>
    </row>
    <row r="2094">
      <c r="A2094" s="1" t="s">
        <v>2093</v>
      </c>
      <c r="D2094" s="3">
        <f>IFERROR(__xludf.DUMMYFUNCTION("SPLIT(A2094, ""|"")"),43406.0)</f>
        <v>43406</v>
      </c>
      <c r="E2094" s="2">
        <f>IFERROR(__xludf.DUMMYFUNCTION("""COMPUTED_VALUE"""),1716813.0)</f>
        <v>1716813</v>
      </c>
      <c r="F2094" s="2">
        <f>IFERROR(__xludf.DUMMYFUNCTION("""COMPUTED_VALUE"""),4962481.0)</f>
        <v>4962481</v>
      </c>
      <c r="G2094" s="2">
        <f>IFERROR(__xludf.DUMMYFUNCTION("""COMPUTED_VALUE"""),62.6583)</f>
        <v>62.6583</v>
      </c>
    </row>
    <row r="2095">
      <c r="A2095" s="1" t="s">
        <v>2094</v>
      </c>
      <c r="D2095" s="3">
        <f>IFERROR(__xludf.DUMMYFUNCTION("SPLIT(A2095, ""|"")"),43406.0)</f>
        <v>43406</v>
      </c>
      <c r="E2095" s="2">
        <f>IFERROR(__xludf.DUMMYFUNCTION("""COMPUTED_VALUE"""),1715973.0)</f>
        <v>1715973</v>
      </c>
      <c r="F2095" s="2">
        <f>IFERROR(__xludf.DUMMYFUNCTION("""COMPUTED_VALUE"""),4959165.0)</f>
        <v>4959165</v>
      </c>
      <c r="G2095" s="2">
        <f>IFERROR(__xludf.DUMMYFUNCTION("""COMPUTED_VALUE"""),19.9917)</f>
        <v>19.9917</v>
      </c>
    </row>
    <row r="2096">
      <c r="A2096" s="1" t="s">
        <v>2095</v>
      </c>
      <c r="D2096" s="3">
        <f>IFERROR(__xludf.DUMMYFUNCTION("SPLIT(A2096, ""|"")"),43406.0)</f>
        <v>43406</v>
      </c>
      <c r="E2096" s="2">
        <f>IFERROR(__xludf.DUMMYFUNCTION("""COMPUTED_VALUE"""),1716513.0)</f>
        <v>1716513</v>
      </c>
      <c r="F2096" s="2">
        <f>IFERROR(__xludf.DUMMYFUNCTION("""COMPUTED_VALUE"""),4961141.0)</f>
        <v>4961141</v>
      </c>
      <c r="G2096" s="2">
        <f>IFERROR(__xludf.DUMMYFUNCTION("""COMPUTED_VALUE"""),34.07)</f>
        <v>34.07</v>
      </c>
    </row>
    <row r="2097">
      <c r="A2097" s="1" t="s">
        <v>2096</v>
      </c>
      <c r="D2097" s="3">
        <f>IFERROR(__xludf.DUMMYFUNCTION("SPLIT(A2097, ""|"")"),43406.0)</f>
        <v>43406</v>
      </c>
      <c r="E2097" s="2">
        <f>IFERROR(__xludf.DUMMYFUNCTION("""COMPUTED_VALUE"""),1717833.0)</f>
        <v>1717833</v>
      </c>
      <c r="F2097" s="2">
        <f>IFERROR(__xludf.DUMMYFUNCTION("""COMPUTED_VALUE"""),4965689.0)</f>
        <v>4965689</v>
      </c>
      <c r="G2097" s="2">
        <f>IFERROR(__xludf.DUMMYFUNCTION("""COMPUTED_VALUE"""),249.2964)</f>
        <v>249.2964</v>
      </c>
    </row>
    <row r="2098">
      <c r="A2098" s="1" t="s">
        <v>2097</v>
      </c>
      <c r="D2098" s="3">
        <f>IFERROR(__xludf.DUMMYFUNCTION("SPLIT(A2098, ""|"")"),43406.0)</f>
        <v>43406</v>
      </c>
      <c r="E2098" s="2">
        <f>IFERROR(__xludf.DUMMYFUNCTION("""COMPUTED_VALUE"""),1718073.0)</f>
        <v>1718073</v>
      </c>
      <c r="F2098" s="2">
        <f>IFERROR(__xludf.DUMMYFUNCTION("""COMPUTED_VALUE"""),4966509.0)</f>
        <v>4966509</v>
      </c>
      <c r="G2098" s="2">
        <f>IFERROR(__xludf.DUMMYFUNCTION("""COMPUTED_VALUE"""),21.3037)</f>
        <v>21.3037</v>
      </c>
    </row>
    <row r="2099">
      <c r="A2099" s="1" t="s">
        <v>2098</v>
      </c>
      <c r="D2099" s="3">
        <f>IFERROR(__xludf.DUMMYFUNCTION("SPLIT(A2099, ""|"")"),43151.0)</f>
        <v>43151</v>
      </c>
      <c r="E2099" s="2">
        <f>IFERROR(__xludf.DUMMYFUNCTION("""COMPUTED_VALUE"""),1345623.0)</f>
        <v>1345623</v>
      </c>
      <c r="F2099" s="2">
        <f>IFERROR(__xludf.DUMMYFUNCTION("""COMPUTED_VALUE"""),4233721.0)</f>
        <v>4233721</v>
      </c>
      <c r="G2099" s="2">
        <f>IFERROR(__xludf.DUMMYFUNCTION("""COMPUTED_VALUE"""),39.3333)</f>
        <v>39.3333</v>
      </c>
    </row>
    <row r="2100">
      <c r="A2100" s="1" t="s">
        <v>2099</v>
      </c>
      <c r="D2100" s="3">
        <f>IFERROR(__xludf.DUMMYFUNCTION("SPLIT(A2100, ""|"")"),43151.0)</f>
        <v>43151</v>
      </c>
      <c r="E2100" s="2">
        <f>IFERROR(__xludf.DUMMYFUNCTION("""COMPUTED_VALUE"""),1077423.0)</f>
        <v>1077423</v>
      </c>
      <c r="F2100" s="2">
        <f>IFERROR(__xludf.DUMMYFUNCTION("""COMPUTED_VALUE"""),4233080.0)</f>
        <v>4233080</v>
      </c>
      <c r="G2100" s="2">
        <f>IFERROR(__xludf.DUMMYFUNCTION("""COMPUTED_VALUE"""),201.0529)</f>
        <v>201.0529</v>
      </c>
    </row>
    <row r="2101">
      <c r="A2101" s="1" t="s">
        <v>2100</v>
      </c>
      <c r="D2101" s="3">
        <f>IFERROR(__xludf.DUMMYFUNCTION("SPLIT(A2101, ""|"")"),43151.0)</f>
        <v>43151</v>
      </c>
      <c r="E2101" s="2">
        <f>IFERROR(__xludf.DUMMYFUNCTION("""COMPUTED_VALUE"""),1530873.0)</f>
        <v>1530873</v>
      </c>
      <c r="F2101" s="2">
        <f>IFERROR(__xludf.DUMMYFUNCTION("""COMPUTED_VALUE"""),4231899.0)</f>
        <v>4231899</v>
      </c>
      <c r="G2101" s="2">
        <f>IFERROR(__xludf.DUMMYFUNCTION("""COMPUTED_VALUE"""),73.0364999999999)</f>
        <v>73.0365</v>
      </c>
    </row>
    <row r="2102">
      <c r="A2102" s="1" t="s">
        <v>2101</v>
      </c>
      <c r="D2102" s="3">
        <f>IFERROR(__xludf.DUMMYFUNCTION("SPLIT(A2102, ""|"")"),43151.0)</f>
        <v>43151</v>
      </c>
      <c r="E2102" s="2">
        <f>IFERROR(__xludf.DUMMYFUNCTION("""COMPUTED_VALUE"""),1433553.0)</f>
        <v>1433553</v>
      </c>
      <c r="F2102" s="2">
        <f>IFERROR(__xludf.DUMMYFUNCTION("""COMPUTED_VALUE"""),4232270.0)</f>
        <v>4232270</v>
      </c>
      <c r="G2102" s="2">
        <f>IFERROR(__xludf.DUMMYFUNCTION("""COMPUTED_VALUE"""),51.7703)</f>
        <v>51.7703</v>
      </c>
    </row>
    <row r="2103">
      <c r="A2103" s="1" t="s">
        <v>2102</v>
      </c>
      <c r="D2103" s="3">
        <f>IFERROR(__xludf.DUMMYFUNCTION("SPLIT(A2103, ""|"")"),43151.0)</f>
        <v>43151</v>
      </c>
      <c r="E2103" s="2">
        <f>IFERROR(__xludf.DUMMYFUNCTION("""COMPUTED_VALUE"""),1531563.0)</f>
        <v>1531563</v>
      </c>
      <c r="F2103" s="2">
        <f>IFERROR(__xludf.DUMMYFUNCTION("""COMPUTED_VALUE"""),4231375.0)</f>
        <v>4231375</v>
      </c>
      <c r="G2103" s="2">
        <f>IFERROR(__xludf.DUMMYFUNCTION("""COMPUTED_VALUE"""),35.4408)</f>
        <v>35.4408</v>
      </c>
    </row>
    <row r="2104">
      <c r="A2104" s="1" t="s">
        <v>2103</v>
      </c>
      <c r="D2104" s="3">
        <f>IFERROR(__xludf.DUMMYFUNCTION("SPLIT(A2104, ""|"")"),43407.0)</f>
        <v>43407</v>
      </c>
      <c r="E2104" s="2">
        <f>IFERROR(__xludf.DUMMYFUNCTION("""COMPUTED_VALUE"""),1137723.0)</f>
        <v>1137723</v>
      </c>
      <c r="F2104" s="2">
        <f>IFERROR(__xludf.DUMMYFUNCTION("""COMPUTED_VALUE"""),4971945.0)</f>
        <v>4971945</v>
      </c>
      <c r="G2104" s="2">
        <f>IFERROR(__xludf.DUMMYFUNCTION("""COMPUTED_VALUE"""),116.1214)</f>
        <v>116.1214</v>
      </c>
    </row>
    <row r="2105">
      <c r="A2105" s="1" t="s">
        <v>2104</v>
      </c>
      <c r="D2105" s="3">
        <f>IFERROR(__xludf.DUMMYFUNCTION("SPLIT(A2105, ""|"")"),43407.0)</f>
        <v>43407</v>
      </c>
      <c r="E2105" s="2">
        <f>IFERROR(__xludf.DUMMYFUNCTION("""COMPUTED_VALUE"""),1719333.0)</f>
        <v>1719333</v>
      </c>
      <c r="F2105" s="2">
        <f>IFERROR(__xludf.DUMMYFUNCTION("""COMPUTED_VALUE"""),4970629.0)</f>
        <v>4970629</v>
      </c>
      <c r="G2105" s="2">
        <f>IFERROR(__xludf.DUMMYFUNCTION("""COMPUTED_VALUE"""),40.2893)</f>
        <v>40.2893</v>
      </c>
    </row>
    <row r="2106">
      <c r="A2106" s="1" t="s">
        <v>2105</v>
      </c>
      <c r="D2106" s="3">
        <f>IFERROR(__xludf.DUMMYFUNCTION("SPLIT(A2106, ""|"")"),43407.0)</f>
        <v>43407</v>
      </c>
      <c r="E2106" s="2">
        <f>IFERROR(__xludf.DUMMYFUNCTION("""COMPUTED_VALUE"""),1715553.0)</f>
        <v>1715553</v>
      </c>
      <c r="F2106" s="2">
        <f>IFERROR(__xludf.DUMMYFUNCTION("""COMPUTED_VALUE"""),4967953.0)</f>
        <v>4967953</v>
      </c>
      <c r="G2106" s="2">
        <f>IFERROR(__xludf.DUMMYFUNCTION("""COMPUTED_VALUE"""),45.4208)</f>
        <v>45.4208</v>
      </c>
    </row>
    <row r="2107">
      <c r="A2107" s="1" t="s">
        <v>2106</v>
      </c>
      <c r="D2107" s="3">
        <f>IFERROR(__xludf.DUMMYFUNCTION("SPLIT(A2107, ""|"")"),43407.0)</f>
        <v>43407</v>
      </c>
      <c r="E2107" s="2">
        <f>IFERROR(__xludf.DUMMYFUNCTION("""COMPUTED_VALUE"""),1561233.0)</f>
        <v>1561233</v>
      </c>
      <c r="F2107" s="2">
        <f>IFERROR(__xludf.DUMMYFUNCTION("""COMPUTED_VALUE"""),4974993.0)</f>
        <v>4974993</v>
      </c>
      <c r="G2107" s="2">
        <f>IFERROR(__xludf.DUMMYFUNCTION("""COMPUTED_VALUE"""),72.6789)</f>
        <v>72.6789</v>
      </c>
    </row>
    <row r="2108">
      <c r="A2108" s="1" t="s">
        <v>2107</v>
      </c>
      <c r="D2108" s="3">
        <f>IFERROR(__xludf.DUMMYFUNCTION("SPLIT(A2108, ""|"")"),43407.0)</f>
        <v>43407</v>
      </c>
      <c r="E2108" s="2">
        <f>IFERROR(__xludf.DUMMYFUNCTION("""COMPUTED_VALUE"""),1648083.0)</f>
        <v>1648083</v>
      </c>
      <c r="F2108" s="2">
        <f>IFERROR(__xludf.DUMMYFUNCTION("""COMPUTED_VALUE"""),4976509.0)</f>
        <v>4976509</v>
      </c>
      <c r="G2108" s="2">
        <f>IFERROR(__xludf.DUMMYFUNCTION("""COMPUTED_VALUE"""),73.7425)</f>
        <v>73.7425</v>
      </c>
    </row>
    <row r="2109">
      <c r="A2109" s="1" t="s">
        <v>2108</v>
      </c>
      <c r="D2109" s="3">
        <f>IFERROR(__xludf.DUMMYFUNCTION("SPLIT(A2109, ""|"")"),43407.0)</f>
        <v>43407</v>
      </c>
      <c r="E2109" s="2">
        <f>IFERROR(__xludf.DUMMYFUNCTION("""COMPUTED_VALUE"""),1653453.0)</f>
        <v>1653453</v>
      </c>
      <c r="F2109" s="2">
        <f>IFERROR(__xludf.DUMMYFUNCTION("""COMPUTED_VALUE"""),4968865.0)</f>
        <v>4968865</v>
      </c>
      <c r="G2109" s="2">
        <f>IFERROR(__xludf.DUMMYFUNCTION("""COMPUTED_VALUE"""),63.951)</f>
        <v>63.951</v>
      </c>
    </row>
    <row r="2110">
      <c r="A2110" s="1" t="s">
        <v>2109</v>
      </c>
      <c r="D2110" s="3">
        <f>IFERROR(__xludf.DUMMYFUNCTION("SPLIT(A2110, ""|"")"),43407.0)</f>
        <v>43407</v>
      </c>
      <c r="E2110" s="2">
        <f>IFERROR(__xludf.DUMMYFUNCTION("""COMPUTED_VALUE"""),1287393.0)</f>
        <v>1287393</v>
      </c>
      <c r="F2110" s="2">
        <f>IFERROR(__xludf.DUMMYFUNCTION("""COMPUTED_VALUE"""),4969601.0)</f>
        <v>4969601</v>
      </c>
      <c r="G2110" s="2">
        <f>IFERROR(__xludf.DUMMYFUNCTION("""COMPUTED_VALUE"""),135.6927)</f>
        <v>135.6927</v>
      </c>
    </row>
    <row r="2111">
      <c r="A2111" s="1" t="s">
        <v>2110</v>
      </c>
      <c r="D2111" s="3">
        <f>IFERROR(__xludf.DUMMYFUNCTION("SPLIT(A2111, ""|"")"),43152.0)</f>
        <v>43152</v>
      </c>
      <c r="E2111" s="2">
        <f>IFERROR(__xludf.DUMMYFUNCTION("""COMPUTED_VALUE"""),1089273.0)</f>
        <v>1089273</v>
      </c>
      <c r="F2111" s="2">
        <f>IFERROR(__xludf.DUMMYFUNCTION("""COMPUTED_VALUE"""),4235184.0)</f>
        <v>4235184</v>
      </c>
      <c r="G2111" s="2">
        <f>IFERROR(__xludf.DUMMYFUNCTION("""COMPUTED_VALUE"""),72.8164)</f>
        <v>72.8164</v>
      </c>
    </row>
    <row r="2112">
      <c r="A2112" s="1" t="s">
        <v>2111</v>
      </c>
      <c r="D2112" s="3">
        <f>IFERROR(__xludf.DUMMYFUNCTION("SPLIT(A2112, ""|"")"),43152.0)</f>
        <v>43152</v>
      </c>
      <c r="E2112" s="2">
        <f>IFERROR(__xludf.DUMMYFUNCTION("""COMPUTED_VALUE"""),996933.0)</f>
        <v>996933</v>
      </c>
      <c r="F2112" s="2">
        <f>IFERROR(__xludf.DUMMYFUNCTION("""COMPUTED_VALUE"""),4234573.0)</f>
        <v>4234573</v>
      </c>
      <c r="G2112" s="2">
        <f>IFERROR(__xludf.DUMMYFUNCTION("""COMPUTED_VALUE"""),191.673)</f>
        <v>191.673</v>
      </c>
    </row>
    <row r="2113">
      <c r="A2113" s="1" t="s">
        <v>2112</v>
      </c>
      <c r="D2113" s="3">
        <f>IFERROR(__xludf.DUMMYFUNCTION("SPLIT(A2113, ""|"")"),43152.0)</f>
        <v>43152</v>
      </c>
      <c r="E2113" s="2">
        <f>IFERROR(__xludf.DUMMYFUNCTION("""COMPUTED_VALUE"""),1286103.0)</f>
        <v>1286103</v>
      </c>
      <c r="F2113" s="2">
        <f>IFERROR(__xludf.DUMMYFUNCTION("""COMPUTED_VALUE"""),4236320.0)</f>
        <v>4236320</v>
      </c>
      <c r="G2113" s="2">
        <f>IFERROR(__xludf.DUMMYFUNCTION("""COMPUTED_VALUE"""),195.442099999999)</f>
        <v>195.4421</v>
      </c>
    </row>
    <row r="2114">
      <c r="A2114" s="1" t="s">
        <v>2113</v>
      </c>
      <c r="D2114" s="3">
        <f>IFERROR(__xludf.DUMMYFUNCTION("SPLIT(A2114, ""|"")"),43152.0)</f>
        <v>43152</v>
      </c>
      <c r="E2114" s="2">
        <f>IFERROR(__xludf.DUMMYFUNCTION("""COMPUTED_VALUE"""),1306983.0)</f>
        <v>1306983</v>
      </c>
      <c r="F2114" s="2">
        <f>IFERROR(__xludf.DUMMYFUNCTION("""COMPUTED_VALUE"""),4235751.0)</f>
        <v>4235751</v>
      </c>
      <c r="G2114" s="2">
        <f>IFERROR(__xludf.DUMMYFUNCTION("""COMPUTED_VALUE"""),139.9049)</f>
        <v>139.9049</v>
      </c>
    </row>
    <row r="2115">
      <c r="A2115" s="1" t="s">
        <v>2114</v>
      </c>
      <c r="D2115" s="3">
        <f>IFERROR(__xludf.DUMMYFUNCTION("SPLIT(A2115, ""|"")"),43408.0)</f>
        <v>43408</v>
      </c>
      <c r="E2115" s="2">
        <f>IFERROR(__xludf.DUMMYFUNCTION("""COMPUTED_VALUE"""),1547883.0)</f>
        <v>1547883</v>
      </c>
      <c r="F2115" s="2">
        <f>IFERROR(__xludf.DUMMYFUNCTION("""COMPUTED_VALUE"""),4988373.0)</f>
        <v>4988373</v>
      </c>
      <c r="G2115" s="2">
        <f>IFERROR(__xludf.DUMMYFUNCTION("""COMPUTED_VALUE"""),64.971)</f>
        <v>64.971</v>
      </c>
    </row>
    <row r="2116">
      <c r="A2116" s="1" t="s">
        <v>2115</v>
      </c>
      <c r="D2116" s="3">
        <f>IFERROR(__xludf.DUMMYFUNCTION("SPLIT(A2116, ""|"")"),43408.0)</f>
        <v>43408</v>
      </c>
      <c r="E2116" s="2">
        <f>IFERROR(__xludf.DUMMYFUNCTION("""COMPUTED_VALUE"""),1046973.0)</f>
        <v>1046973</v>
      </c>
      <c r="F2116" s="2">
        <f>IFERROR(__xludf.DUMMYFUNCTION("""COMPUTED_VALUE"""),4990881.0)</f>
        <v>4990881</v>
      </c>
      <c r="G2116" s="2">
        <f>IFERROR(__xludf.DUMMYFUNCTION("""COMPUTED_VALUE"""),128.3237)</f>
        <v>128.3237</v>
      </c>
    </row>
    <row r="2117">
      <c r="A2117" s="1" t="s">
        <v>2116</v>
      </c>
      <c r="D2117" s="3">
        <f>IFERROR(__xludf.DUMMYFUNCTION("SPLIT(A2117, ""|"")"),43408.0)</f>
        <v>43408</v>
      </c>
      <c r="E2117" s="2">
        <f>IFERROR(__xludf.DUMMYFUNCTION("""COMPUTED_VALUE"""),1542783.0)</f>
        <v>1542783</v>
      </c>
      <c r="F2117" s="2">
        <f>IFERROR(__xludf.DUMMYFUNCTION("""COMPUTED_VALUE"""),4987217.0)</f>
        <v>4987217</v>
      </c>
      <c r="G2117" s="2">
        <f>IFERROR(__xludf.DUMMYFUNCTION("""COMPUTED_VALUE"""),40.3921999999999)</f>
        <v>40.3922</v>
      </c>
    </row>
    <row r="2118">
      <c r="A2118" s="1" t="s">
        <v>2117</v>
      </c>
      <c r="D2118" s="3">
        <f>IFERROR(__xludf.DUMMYFUNCTION("SPLIT(A2118, ""|"")"),43408.0)</f>
        <v>43408</v>
      </c>
      <c r="E2118" s="2">
        <f>IFERROR(__xludf.DUMMYFUNCTION("""COMPUTED_VALUE"""),1725153.0)</f>
        <v>1725153</v>
      </c>
      <c r="F2118" s="2">
        <f>IFERROR(__xludf.DUMMYFUNCTION("""COMPUTED_VALUE"""),4990897.0)</f>
        <v>4990897</v>
      </c>
      <c r="G2118" s="2">
        <f>IFERROR(__xludf.DUMMYFUNCTION("""COMPUTED_VALUE"""),69.7571)</f>
        <v>69.7571</v>
      </c>
    </row>
    <row r="2119">
      <c r="A2119" s="1" t="s">
        <v>2118</v>
      </c>
      <c r="D2119" s="3">
        <f>IFERROR(__xludf.DUMMYFUNCTION("SPLIT(A2119, ""|"")"),43408.0)</f>
        <v>43408</v>
      </c>
      <c r="E2119" s="2">
        <f>IFERROR(__xludf.DUMMYFUNCTION("""COMPUTED_VALUE"""),1405893.0)</f>
        <v>1405893</v>
      </c>
      <c r="F2119" s="2">
        <f>IFERROR(__xludf.DUMMYFUNCTION("""COMPUTED_VALUE"""),4984369.0)</f>
        <v>4984369</v>
      </c>
      <c r="G2119" s="2">
        <f>IFERROR(__xludf.DUMMYFUNCTION("""COMPUTED_VALUE"""),136.3213)</f>
        <v>136.3213</v>
      </c>
    </row>
    <row r="2120">
      <c r="A2120" s="1" t="s">
        <v>2119</v>
      </c>
      <c r="D2120" s="3">
        <f>IFERROR(__xludf.DUMMYFUNCTION("SPLIT(A2120, ""|"")"),43153.0)</f>
        <v>43153</v>
      </c>
      <c r="E2120" s="2">
        <f>IFERROR(__xludf.DUMMYFUNCTION("""COMPUTED_VALUE"""),1533183.0)</f>
        <v>1533183</v>
      </c>
      <c r="F2120" s="2">
        <f>IFERROR(__xludf.DUMMYFUNCTION("""COMPUTED_VALUE"""),4238398.0)</f>
        <v>4238398</v>
      </c>
      <c r="G2120" s="2">
        <f>IFERROR(__xludf.DUMMYFUNCTION("""COMPUTED_VALUE"""),92.7715999999999)</f>
        <v>92.7716</v>
      </c>
    </row>
    <row r="2121">
      <c r="A2121" s="1" t="s">
        <v>2120</v>
      </c>
      <c r="D2121" s="3">
        <f>IFERROR(__xludf.DUMMYFUNCTION("SPLIT(A2121, ""|"")"),43153.0)</f>
        <v>43153</v>
      </c>
      <c r="E2121" s="2">
        <f>IFERROR(__xludf.DUMMYFUNCTION("""COMPUTED_VALUE"""),1379253.0)</f>
        <v>1379253</v>
      </c>
      <c r="F2121" s="2">
        <f>IFERROR(__xludf.DUMMYFUNCTION("""COMPUTED_VALUE"""),4237679.0)</f>
        <v>4237679</v>
      </c>
      <c r="G2121" s="2">
        <f>IFERROR(__xludf.DUMMYFUNCTION("""COMPUTED_VALUE"""),87.8023)</f>
        <v>87.8023</v>
      </c>
    </row>
    <row r="2122">
      <c r="A2122" s="1" t="s">
        <v>2121</v>
      </c>
      <c r="D2122" s="3">
        <f>IFERROR(__xludf.DUMMYFUNCTION("SPLIT(A2122, ""|"")"),43153.0)</f>
        <v>43153</v>
      </c>
      <c r="E2122" s="2">
        <f>IFERROR(__xludf.DUMMYFUNCTION("""COMPUTED_VALUE"""),1533273.0)</f>
        <v>1533273</v>
      </c>
      <c r="F2122" s="2">
        <f>IFERROR(__xludf.DUMMYFUNCTION("""COMPUTED_VALUE"""),4238191.0)</f>
        <v>4238191</v>
      </c>
      <c r="G2122" s="2">
        <f>IFERROR(__xludf.DUMMYFUNCTION("""COMPUTED_VALUE"""),149.9925)</f>
        <v>149.9925</v>
      </c>
    </row>
    <row r="2123">
      <c r="A2123" s="1" t="s">
        <v>2122</v>
      </c>
      <c r="D2123" s="3">
        <f>IFERROR(__xludf.DUMMYFUNCTION("SPLIT(A2123, ""|"")"),43153.0)</f>
        <v>43153</v>
      </c>
      <c r="E2123" s="2">
        <f>IFERROR(__xludf.DUMMYFUNCTION("""COMPUTED_VALUE"""),1318413.0)</f>
        <v>1318413</v>
      </c>
      <c r="F2123" s="2">
        <f>IFERROR(__xludf.DUMMYFUNCTION("""COMPUTED_VALUE"""),4238284.0)</f>
        <v>4238284</v>
      </c>
      <c r="G2123" s="2">
        <f>IFERROR(__xludf.DUMMYFUNCTION("""COMPUTED_VALUE"""),65.9238)</f>
        <v>65.9238</v>
      </c>
    </row>
    <row r="2124">
      <c r="A2124" s="1" t="s">
        <v>2123</v>
      </c>
      <c r="D2124" s="3">
        <f>IFERROR(__xludf.DUMMYFUNCTION("SPLIT(A2124, ""|"")"),43153.0)</f>
        <v>43153</v>
      </c>
      <c r="E2124" s="2">
        <f>IFERROR(__xludf.DUMMYFUNCTION("""COMPUTED_VALUE"""),1504203.0)</f>
        <v>1504203</v>
      </c>
      <c r="F2124" s="2">
        <f>IFERROR(__xludf.DUMMYFUNCTION("""COMPUTED_VALUE"""),4236492.0)</f>
        <v>4236492</v>
      </c>
      <c r="G2124" s="2">
        <f>IFERROR(__xludf.DUMMYFUNCTION("""COMPUTED_VALUE"""),184.575)</f>
        <v>184.575</v>
      </c>
    </row>
    <row r="2125">
      <c r="A2125" s="1" t="s">
        <v>2124</v>
      </c>
      <c r="D2125" s="3">
        <f>IFERROR(__xludf.DUMMYFUNCTION("SPLIT(A2125, ""|"")"),43409.0)</f>
        <v>43409</v>
      </c>
      <c r="E2125" s="2">
        <f>IFERROR(__xludf.DUMMYFUNCTION("""COMPUTED_VALUE"""),1723353.0)</f>
        <v>1723353</v>
      </c>
      <c r="F2125" s="2">
        <f>IFERROR(__xludf.DUMMYFUNCTION("""COMPUTED_VALUE"""),5001337.0)</f>
        <v>5001337</v>
      </c>
      <c r="G2125" s="2">
        <f>IFERROR(__xludf.DUMMYFUNCTION("""COMPUTED_VALUE"""),94.4529999999999)</f>
        <v>94.453</v>
      </c>
    </row>
    <row r="2126">
      <c r="A2126" s="1" t="s">
        <v>2125</v>
      </c>
      <c r="D2126" s="3">
        <f>IFERROR(__xludf.DUMMYFUNCTION("SPLIT(A2126, ""|"")"),43409.0)</f>
        <v>43409</v>
      </c>
      <c r="E2126" s="2">
        <f>IFERROR(__xludf.DUMMYFUNCTION("""COMPUTED_VALUE"""),473733.0)</f>
        <v>473733</v>
      </c>
      <c r="F2126" s="2">
        <f>IFERROR(__xludf.DUMMYFUNCTION("""COMPUTED_VALUE"""),4995509.0)</f>
        <v>4995509</v>
      </c>
      <c r="G2126" s="2">
        <f>IFERROR(__xludf.DUMMYFUNCTION("""COMPUTED_VALUE"""),29.97)</f>
        <v>29.97</v>
      </c>
    </row>
    <row r="2127">
      <c r="A2127" s="1" t="s">
        <v>2126</v>
      </c>
      <c r="D2127" s="3">
        <f>IFERROR(__xludf.DUMMYFUNCTION("SPLIT(A2127, ""|"")"),43409.0)</f>
        <v>43409</v>
      </c>
      <c r="E2127" s="2">
        <f>IFERROR(__xludf.DUMMYFUNCTION("""COMPUTED_VALUE"""),1426383.0)</f>
        <v>1426383</v>
      </c>
      <c r="F2127" s="2">
        <f>IFERROR(__xludf.DUMMYFUNCTION("""COMPUTED_VALUE"""),4997497.0)</f>
        <v>4997497</v>
      </c>
      <c r="G2127" s="2">
        <f>IFERROR(__xludf.DUMMYFUNCTION("""COMPUTED_VALUE"""),86.5262999999999)</f>
        <v>86.5263</v>
      </c>
    </row>
    <row r="2128">
      <c r="A2128" s="1" t="s">
        <v>2127</v>
      </c>
      <c r="D2128" s="3">
        <f>IFERROR(__xludf.DUMMYFUNCTION("SPLIT(A2128, ""|"")"),43409.0)</f>
        <v>43409</v>
      </c>
      <c r="E2128" s="2">
        <f>IFERROR(__xludf.DUMMYFUNCTION("""COMPUTED_VALUE"""),1728633.0)</f>
        <v>1728633</v>
      </c>
      <c r="F2128" s="2">
        <f>IFERROR(__xludf.DUMMYFUNCTION("""COMPUTED_VALUE"""),5005025.0)</f>
        <v>5005025</v>
      </c>
      <c r="G2128" s="2">
        <f>IFERROR(__xludf.DUMMYFUNCTION("""COMPUTED_VALUE"""),14.5577)</f>
        <v>14.5577</v>
      </c>
    </row>
    <row r="2129">
      <c r="A2129" s="1" t="s">
        <v>2128</v>
      </c>
      <c r="D2129" s="3">
        <f>IFERROR(__xludf.DUMMYFUNCTION("SPLIT(A2129, ""|"")"),43409.0)</f>
        <v>43409</v>
      </c>
      <c r="E2129" s="2">
        <f>IFERROR(__xludf.DUMMYFUNCTION("""COMPUTED_VALUE"""),1334313.0)</f>
        <v>1334313</v>
      </c>
      <c r="F2129" s="2">
        <f>IFERROR(__xludf.DUMMYFUNCTION("""COMPUTED_VALUE"""),5004785.0)</f>
        <v>5004785</v>
      </c>
      <c r="G2129" s="2">
        <f>IFERROR(__xludf.DUMMYFUNCTION("""COMPUTED_VALUE"""),38.4722)</f>
        <v>38.4722</v>
      </c>
    </row>
    <row r="2130">
      <c r="A2130" s="1" t="s">
        <v>2129</v>
      </c>
      <c r="D2130" s="3">
        <f>IFERROR(__xludf.DUMMYFUNCTION("SPLIT(A2130, ""|"")"),43409.0)</f>
        <v>43409</v>
      </c>
      <c r="E2130" s="2">
        <f>IFERROR(__xludf.DUMMYFUNCTION("""COMPUTED_VALUE"""),1217883.0)</f>
        <v>1217883</v>
      </c>
      <c r="F2130" s="2">
        <f>IFERROR(__xludf.DUMMYFUNCTION("""COMPUTED_VALUE"""),4996017.0)</f>
        <v>4996017</v>
      </c>
      <c r="G2130" s="2">
        <f>IFERROR(__xludf.DUMMYFUNCTION("""COMPUTED_VALUE"""),100.192199999999)</f>
        <v>100.1922</v>
      </c>
    </row>
    <row r="2131">
      <c r="A2131" s="1" t="s">
        <v>2130</v>
      </c>
      <c r="D2131" s="3">
        <f>IFERROR(__xludf.DUMMYFUNCTION("SPLIT(A2131, ""|"")"),43409.0)</f>
        <v>43409</v>
      </c>
      <c r="E2131" s="2">
        <f>IFERROR(__xludf.DUMMYFUNCTION("""COMPUTED_VALUE"""),1725633.0)</f>
        <v>1725633</v>
      </c>
      <c r="F2131" s="2">
        <f>IFERROR(__xludf.DUMMYFUNCTION("""COMPUTED_VALUE"""),4993005.0)</f>
        <v>4993005</v>
      </c>
      <c r="G2131" s="2">
        <f>IFERROR(__xludf.DUMMYFUNCTION("""COMPUTED_VALUE"""),59.7498)</f>
        <v>59.7498</v>
      </c>
    </row>
    <row r="2132">
      <c r="A2132" s="1" t="s">
        <v>2131</v>
      </c>
      <c r="D2132" s="3">
        <f>IFERROR(__xludf.DUMMYFUNCTION("SPLIT(A2132, ""|"")"),43409.0)</f>
        <v>43409</v>
      </c>
      <c r="E2132" s="2">
        <f>IFERROR(__xludf.DUMMYFUNCTION("""COMPUTED_VALUE"""),1726653.0)</f>
        <v>1726653</v>
      </c>
      <c r="F2132" s="2">
        <f>IFERROR(__xludf.DUMMYFUNCTION("""COMPUTED_VALUE"""),5007249.0)</f>
        <v>5007249</v>
      </c>
      <c r="G2132" s="2">
        <f>IFERROR(__xludf.DUMMYFUNCTION("""COMPUTED_VALUE"""),63.0739)</f>
        <v>63.0739</v>
      </c>
    </row>
    <row r="2133">
      <c r="A2133" s="1" t="s">
        <v>2132</v>
      </c>
      <c r="D2133" s="3">
        <f>IFERROR(__xludf.DUMMYFUNCTION("SPLIT(A2133, ""|"")"),43409.0)</f>
        <v>43409</v>
      </c>
      <c r="E2133" s="2">
        <f>IFERROR(__xludf.DUMMYFUNCTION("""COMPUTED_VALUE"""),1727013.0)</f>
        <v>1727013</v>
      </c>
      <c r="F2133" s="2">
        <f>IFERROR(__xludf.DUMMYFUNCTION("""COMPUTED_VALUE"""),4999101.0)</f>
        <v>4999101</v>
      </c>
      <c r="G2133" s="2">
        <f>IFERROR(__xludf.DUMMYFUNCTION("""COMPUTED_VALUE"""),73.8661)</f>
        <v>73.8661</v>
      </c>
    </row>
    <row r="2134">
      <c r="A2134" s="1" t="s">
        <v>2133</v>
      </c>
      <c r="D2134" s="3">
        <f>IFERROR(__xludf.DUMMYFUNCTION("SPLIT(A2134, ""|"")"),43409.0)</f>
        <v>43409</v>
      </c>
      <c r="E2134" s="2">
        <f>IFERROR(__xludf.DUMMYFUNCTION("""COMPUTED_VALUE"""),1727193.0)</f>
        <v>1727193</v>
      </c>
      <c r="F2134" s="2">
        <f>IFERROR(__xludf.DUMMYFUNCTION("""COMPUTED_VALUE"""),5002085.0)</f>
        <v>5002085</v>
      </c>
      <c r="G2134" s="2">
        <f>IFERROR(__xludf.DUMMYFUNCTION("""COMPUTED_VALUE"""),15.25)</f>
        <v>15.25</v>
      </c>
    </row>
    <row r="2135">
      <c r="A2135" s="1" t="s">
        <v>2134</v>
      </c>
      <c r="D2135" s="3">
        <f>IFERROR(__xludf.DUMMYFUNCTION("SPLIT(A2135, ""|"")"),43409.0)</f>
        <v>43409</v>
      </c>
      <c r="E2135" s="2">
        <f>IFERROR(__xludf.DUMMYFUNCTION("""COMPUTED_VALUE"""),1722093.0)</f>
        <v>1722093</v>
      </c>
      <c r="F2135" s="2">
        <f>IFERROR(__xludf.DUMMYFUNCTION("""COMPUTED_VALUE"""),5006305.0)</f>
        <v>5006305</v>
      </c>
      <c r="G2135" s="2">
        <f>IFERROR(__xludf.DUMMYFUNCTION("""COMPUTED_VALUE"""),64.9425)</f>
        <v>64.9425</v>
      </c>
    </row>
    <row r="2136">
      <c r="A2136" s="1" t="s">
        <v>2135</v>
      </c>
      <c r="D2136" s="3">
        <f>IFERROR(__xludf.DUMMYFUNCTION("SPLIT(A2136, ""|"")"),43409.0)</f>
        <v>43409</v>
      </c>
      <c r="E2136" s="2">
        <f>IFERROR(__xludf.DUMMYFUNCTION("""COMPUTED_VALUE"""),174933.0)</f>
        <v>174933</v>
      </c>
      <c r="F2136" s="2">
        <f>IFERROR(__xludf.DUMMYFUNCTION("""COMPUTED_VALUE"""),4996749.0)</f>
        <v>4996749</v>
      </c>
      <c r="G2136" s="2">
        <f>IFERROR(__xludf.DUMMYFUNCTION("""COMPUTED_VALUE"""),85.8708)</f>
        <v>85.8708</v>
      </c>
    </row>
    <row r="2137">
      <c r="A2137" s="1" t="s">
        <v>2136</v>
      </c>
      <c r="D2137" s="3">
        <f>IFERROR(__xludf.DUMMYFUNCTION("SPLIT(A2137, ""|"")"),43154.0)</f>
        <v>43154</v>
      </c>
      <c r="E2137" s="2">
        <f>IFERROR(__xludf.DUMMYFUNCTION("""COMPUTED_VALUE"""),1510953.0)</f>
        <v>1510953</v>
      </c>
      <c r="F2137" s="2">
        <f>IFERROR(__xludf.DUMMYFUNCTION("""COMPUTED_VALUE"""),4239262.0)</f>
        <v>4239262</v>
      </c>
      <c r="G2137" s="2">
        <f>IFERROR(__xludf.DUMMYFUNCTION("""COMPUTED_VALUE"""),189.352899999999)</f>
        <v>189.3529</v>
      </c>
    </row>
    <row r="2138">
      <c r="A2138" s="1" t="s">
        <v>2137</v>
      </c>
      <c r="D2138" s="3">
        <f>IFERROR(__xludf.DUMMYFUNCTION("SPLIT(A2138, ""|"")"),43154.0)</f>
        <v>43154</v>
      </c>
      <c r="E2138" s="2">
        <f>IFERROR(__xludf.DUMMYFUNCTION("""COMPUTED_VALUE"""),1532433.0)</f>
        <v>1532433</v>
      </c>
      <c r="F2138" s="2">
        <f>IFERROR(__xludf.DUMMYFUNCTION("""COMPUTED_VALUE"""),4239554.0)</f>
        <v>4239554</v>
      </c>
      <c r="G2138" s="2">
        <f>IFERROR(__xludf.DUMMYFUNCTION("""COMPUTED_VALUE"""),10.5326999999999)</f>
        <v>10.5327</v>
      </c>
    </row>
    <row r="2139">
      <c r="A2139" s="1" t="s">
        <v>2138</v>
      </c>
      <c r="D2139" s="3">
        <f>IFERROR(__xludf.DUMMYFUNCTION("SPLIT(A2139, ""|"")"),43410.0)</f>
        <v>43410</v>
      </c>
      <c r="E2139" s="2">
        <f>IFERROR(__xludf.DUMMYFUNCTION("""COMPUTED_VALUE"""),1305483.0)</f>
        <v>1305483</v>
      </c>
      <c r="F2139" s="2">
        <f>IFERROR(__xludf.DUMMYFUNCTION("""COMPUTED_VALUE"""),5017352.0)</f>
        <v>5017352</v>
      </c>
      <c r="G2139" s="2">
        <f>IFERROR(__xludf.DUMMYFUNCTION("""COMPUTED_VALUE"""),72.7959)</f>
        <v>72.7959</v>
      </c>
    </row>
    <row r="2140">
      <c r="A2140" s="1" t="s">
        <v>2139</v>
      </c>
      <c r="D2140" s="3">
        <f>IFERROR(__xludf.DUMMYFUNCTION("SPLIT(A2140, ""|"")"),43410.0)</f>
        <v>43410</v>
      </c>
      <c r="E2140" s="2">
        <f>IFERROR(__xludf.DUMMYFUNCTION("""COMPUTED_VALUE"""),1712253.0)</f>
        <v>1712253</v>
      </c>
      <c r="F2140" s="2">
        <f>IFERROR(__xludf.DUMMYFUNCTION("""COMPUTED_VALUE"""),5008681.0)</f>
        <v>5008681</v>
      </c>
      <c r="G2140" s="2">
        <f>IFERROR(__xludf.DUMMYFUNCTION("""COMPUTED_VALUE"""),129.8483)</f>
        <v>129.8483</v>
      </c>
    </row>
    <row r="2141">
      <c r="A2141" s="1" t="s">
        <v>2140</v>
      </c>
      <c r="D2141" s="3">
        <f>IFERROR(__xludf.DUMMYFUNCTION("SPLIT(A2141, ""|"")"),43410.0)</f>
        <v>43410</v>
      </c>
      <c r="E2141" s="2">
        <f>IFERROR(__xludf.DUMMYFUNCTION("""COMPUTED_VALUE"""),1732233.0)</f>
        <v>1732233</v>
      </c>
      <c r="F2141" s="2">
        <f>IFERROR(__xludf.DUMMYFUNCTION("""COMPUTED_VALUE"""),5018490.0)</f>
        <v>5018490</v>
      </c>
      <c r="G2141" s="2">
        <f>IFERROR(__xludf.DUMMYFUNCTION("""COMPUTED_VALUE"""),12.1011)</f>
        <v>12.1011</v>
      </c>
    </row>
    <row r="2142">
      <c r="A2142" s="1" t="s">
        <v>2141</v>
      </c>
      <c r="D2142" s="3">
        <f>IFERROR(__xludf.DUMMYFUNCTION("SPLIT(A2142, ""|"")"),43410.0)</f>
        <v>43410</v>
      </c>
      <c r="E2142" s="2">
        <f>IFERROR(__xludf.DUMMYFUNCTION("""COMPUTED_VALUE"""),1729773.0)</f>
        <v>1729773</v>
      </c>
      <c r="F2142" s="2">
        <f>IFERROR(__xludf.DUMMYFUNCTION("""COMPUTED_VALUE"""),5009285.0)</f>
        <v>5009285</v>
      </c>
      <c r="G2142" s="2">
        <f>IFERROR(__xludf.DUMMYFUNCTION("""COMPUTED_VALUE"""),26.2084)</f>
        <v>26.2084</v>
      </c>
    </row>
    <row r="2143">
      <c r="A2143" s="1" t="s">
        <v>2142</v>
      </c>
      <c r="D2143" s="3">
        <f>IFERROR(__xludf.DUMMYFUNCTION("SPLIT(A2143, ""|"")"),43410.0)</f>
        <v>43410</v>
      </c>
      <c r="E2143" s="2">
        <f>IFERROR(__xludf.DUMMYFUNCTION("""COMPUTED_VALUE"""),1729293.0)</f>
        <v>1729293</v>
      </c>
      <c r="F2143" s="2">
        <f>IFERROR(__xludf.DUMMYFUNCTION("""COMPUTED_VALUE"""),5007705.0)</f>
        <v>5007705</v>
      </c>
      <c r="G2143" s="2">
        <f>IFERROR(__xludf.DUMMYFUNCTION("""COMPUTED_VALUE"""),68.258)</f>
        <v>68.258</v>
      </c>
    </row>
    <row r="2144">
      <c r="A2144" s="1" t="s">
        <v>2143</v>
      </c>
      <c r="D2144" s="3">
        <f>IFERROR(__xludf.DUMMYFUNCTION("SPLIT(A2144, ""|"")"),43410.0)</f>
        <v>43410</v>
      </c>
      <c r="E2144" s="2">
        <f>IFERROR(__xludf.DUMMYFUNCTION("""COMPUTED_VALUE"""),265773.0)</f>
        <v>265773</v>
      </c>
      <c r="F2144" s="2">
        <f>IFERROR(__xludf.DUMMYFUNCTION("""COMPUTED_VALUE"""),5015921.0)</f>
        <v>5015921</v>
      </c>
      <c r="G2144" s="2">
        <f>IFERROR(__xludf.DUMMYFUNCTION("""COMPUTED_VALUE"""),81.5713)</f>
        <v>81.5713</v>
      </c>
    </row>
    <row r="2145">
      <c r="A2145" s="1" t="s">
        <v>2144</v>
      </c>
      <c r="D2145" s="3">
        <f>IFERROR(__xludf.DUMMYFUNCTION("SPLIT(A2145, ""|"")"),43410.0)</f>
        <v>43410</v>
      </c>
      <c r="E2145" s="2">
        <f>IFERROR(__xludf.DUMMYFUNCTION("""COMPUTED_VALUE"""),1452153.0)</f>
        <v>1452153</v>
      </c>
      <c r="F2145" s="2">
        <f>IFERROR(__xludf.DUMMYFUNCTION("""COMPUTED_VALUE"""),5015571.0)</f>
        <v>5015571</v>
      </c>
      <c r="G2145" s="2">
        <f>IFERROR(__xludf.DUMMYFUNCTION("""COMPUTED_VALUE"""),42.1076)</f>
        <v>42.1076</v>
      </c>
    </row>
    <row r="2146">
      <c r="A2146" s="1" t="s">
        <v>2145</v>
      </c>
      <c r="D2146" s="3">
        <f>IFERROR(__xludf.DUMMYFUNCTION("SPLIT(A2146, ""|"")"),43410.0)</f>
        <v>43410</v>
      </c>
      <c r="E2146" s="2">
        <f>IFERROR(__xludf.DUMMYFUNCTION("""COMPUTED_VALUE"""),1719633.0)</f>
        <v>1719633</v>
      </c>
      <c r="F2146" s="2">
        <f>IFERROR(__xludf.DUMMYFUNCTION("""COMPUTED_VALUE"""),5012345.0)</f>
        <v>5012345</v>
      </c>
      <c r="G2146" s="2">
        <f>IFERROR(__xludf.DUMMYFUNCTION("""COMPUTED_VALUE"""),74.0)</f>
        <v>74</v>
      </c>
    </row>
    <row r="2147">
      <c r="A2147" s="1" t="s">
        <v>2146</v>
      </c>
      <c r="D2147" s="3">
        <f>IFERROR(__xludf.DUMMYFUNCTION("SPLIT(A2147, ""|"")"),43410.0)</f>
        <v>43410</v>
      </c>
      <c r="E2147" s="2">
        <f>IFERROR(__xludf.DUMMYFUNCTION("""COMPUTED_VALUE"""),1732233.0)</f>
        <v>1732233</v>
      </c>
      <c r="F2147" s="2">
        <f>IFERROR(__xludf.DUMMYFUNCTION("""COMPUTED_VALUE"""),5018537.0)</f>
        <v>5018537</v>
      </c>
      <c r="G2147" s="2">
        <f>IFERROR(__xludf.DUMMYFUNCTION("""COMPUTED_VALUE"""),12.1011)</f>
        <v>12.1011</v>
      </c>
    </row>
    <row r="2148">
      <c r="A2148" s="1" t="s">
        <v>2147</v>
      </c>
      <c r="D2148" s="3">
        <f>IFERROR(__xludf.DUMMYFUNCTION("SPLIT(A2148, ""|"")"),43410.0)</f>
        <v>43410</v>
      </c>
      <c r="E2148" s="2">
        <f>IFERROR(__xludf.DUMMYFUNCTION("""COMPUTED_VALUE"""),1151883.0)</f>
        <v>1151883</v>
      </c>
      <c r="F2148" s="2">
        <f>IFERROR(__xludf.DUMMYFUNCTION("""COMPUTED_VALUE"""),5012253.0)</f>
        <v>5012253</v>
      </c>
      <c r="G2148" s="2">
        <f>IFERROR(__xludf.DUMMYFUNCTION("""COMPUTED_VALUE"""),82.2524)</f>
        <v>82.2524</v>
      </c>
    </row>
    <row r="2149">
      <c r="A2149" s="1" t="s">
        <v>2148</v>
      </c>
      <c r="D2149" s="3">
        <f>IFERROR(__xludf.DUMMYFUNCTION("SPLIT(A2149, ""|"")"),43410.0)</f>
        <v>43410</v>
      </c>
      <c r="E2149" s="2">
        <f>IFERROR(__xludf.DUMMYFUNCTION("""COMPUTED_VALUE"""),1077423.0)</f>
        <v>1077423</v>
      </c>
      <c r="F2149" s="2">
        <f>IFERROR(__xludf.DUMMYFUNCTION("""COMPUTED_VALUE"""),5018199.0)</f>
        <v>5018199</v>
      </c>
      <c r="G2149" s="2">
        <f>IFERROR(__xludf.DUMMYFUNCTION("""COMPUTED_VALUE"""),65.5821999999999)</f>
        <v>65.5822</v>
      </c>
    </row>
    <row r="2150">
      <c r="A2150" s="1" t="s">
        <v>2149</v>
      </c>
      <c r="D2150" s="3">
        <f>IFERROR(__xludf.DUMMYFUNCTION("SPLIT(A2150, ""|"")"),43155.0)</f>
        <v>43155</v>
      </c>
      <c r="E2150" s="2">
        <f>IFERROR(__xludf.DUMMYFUNCTION("""COMPUTED_VALUE"""),1292223.0)</f>
        <v>1292223</v>
      </c>
      <c r="F2150" s="2">
        <f>IFERROR(__xludf.DUMMYFUNCTION("""COMPUTED_VALUE"""),4241945.0)</f>
        <v>4241945</v>
      </c>
      <c r="G2150" s="2">
        <f>IFERROR(__xludf.DUMMYFUNCTION("""COMPUTED_VALUE"""),57.585)</f>
        <v>57.585</v>
      </c>
    </row>
    <row r="2151">
      <c r="A2151" s="1" t="s">
        <v>2150</v>
      </c>
      <c r="D2151" s="3">
        <f>IFERROR(__xludf.DUMMYFUNCTION("SPLIT(A2151, ""|"")"),43155.0)</f>
        <v>43155</v>
      </c>
      <c r="E2151" s="2">
        <f>IFERROR(__xludf.DUMMYFUNCTION("""COMPUTED_VALUE"""),1534473.0)</f>
        <v>1534473</v>
      </c>
      <c r="F2151" s="2">
        <f>IFERROR(__xludf.DUMMYFUNCTION("""COMPUTED_VALUE"""),4242528.0)</f>
        <v>4242528</v>
      </c>
      <c r="G2151" s="2">
        <f>IFERROR(__xludf.DUMMYFUNCTION("""COMPUTED_VALUE"""),47.0947999999999)</f>
        <v>47.0948</v>
      </c>
    </row>
    <row r="2152">
      <c r="A2152" s="1" t="s">
        <v>2151</v>
      </c>
      <c r="D2152" s="3">
        <f>IFERROR(__xludf.DUMMYFUNCTION("SPLIT(A2152, ""|"")"),43155.0)</f>
        <v>43155</v>
      </c>
      <c r="E2152" s="2">
        <f>IFERROR(__xludf.DUMMYFUNCTION("""COMPUTED_VALUE"""),1413543.0)</f>
        <v>1413543</v>
      </c>
      <c r="F2152" s="2">
        <f>IFERROR(__xludf.DUMMYFUNCTION("""COMPUTED_VALUE"""),4242207.0)</f>
        <v>4242207</v>
      </c>
      <c r="G2152" s="2">
        <f>IFERROR(__xludf.DUMMYFUNCTION("""COMPUTED_VALUE"""),110.687099999999)</f>
        <v>110.6871</v>
      </c>
    </row>
    <row r="2153">
      <c r="A2153" s="1" t="s">
        <v>2152</v>
      </c>
      <c r="D2153" s="3">
        <f>IFERROR(__xludf.DUMMYFUNCTION("SPLIT(A2153, ""|"")"),43155.0)</f>
        <v>43155</v>
      </c>
      <c r="E2153" s="2">
        <f>IFERROR(__xludf.DUMMYFUNCTION("""COMPUTED_VALUE"""),1534623.0)</f>
        <v>1534623</v>
      </c>
      <c r="F2153" s="2">
        <f>IFERROR(__xludf.DUMMYFUNCTION("""COMPUTED_VALUE"""),4243026.0)</f>
        <v>4243026</v>
      </c>
      <c r="G2153" s="2">
        <f>IFERROR(__xludf.DUMMYFUNCTION("""COMPUTED_VALUE"""),36.1186)</f>
        <v>36.1186</v>
      </c>
    </row>
    <row r="2154">
      <c r="A2154" s="1" t="s">
        <v>2153</v>
      </c>
      <c r="D2154" s="3">
        <f>IFERROR(__xludf.DUMMYFUNCTION("SPLIT(A2154, ""|"")"),43411.0)</f>
        <v>43411</v>
      </c>
      <c r="E2154" s="2">
        <f>IFERROR(__xludf.DUMMYFUNCTION("""COMPUTED_VALUE"""),1734513.0)</f>
        <v>1734513</v>
      </c>
      <c r="F2154" s="2">
        <f>IFERROR(__xludf.DUMMYFUNCTION("""COMPUTED_VALUE"""),5026839.0)</f>
        <v>5026839</v>
      </c>
      <c r="G2154" s="2">
        <f>IFERROR(__xludf.DUMMYFUNCTION("""COMPUTED_VALUE"""),7.4925)</f>
        <v>7.4925</v>
      </c>
    </row>
    <row r="2155">
      <c r="A2155" s="1" t="s">
        <v>2154</v>
      </c>
      <c r="D2155" s="3">
        <f>IFERROR(__xludf.DUMMYFUNCTION("SPLIT(A2155, ""|"")"),43411.0)</f>
        <v>43411</v>
      </c>
      <c r="E2155" s="2">
        <f>IFERROR(__xludf.DUMMYFUNCTION("""COMPUTED_VALUE"""),1732683.0)</f>
        <v>1732683</v>
      </c>
      <c r="F2155" s="2">
        <f>IFERROR(__xludf.DUMMYFUNCTION("""COMPUTED_VALUE"""),5019903.0)</f>
        <v>5019903</v>
      </c>
      <c r="G2155" s="2">
        <f>IFERROR(__xludf.DUMMYFUNCTION("""COMPUTED_VALUE"""),21.9253)</f>
        <v>21.9253</v>
      </c>
    </row>
    <row r="2156">
      <c r="A2156" s="1" t="s">
        <v>2155</v>
      </c>
      <c r="D2156" s="3">
        <f>IFERROR(__xludf.DUMMYFUNCTION("SPLIT(A2156, ""|"")"),43411.0)</f>
        <v>43411</v>
      </c>
      <c r="E2156" s="2">
        <f>IFERROR(__xludf.DUMMYFUNCTION("""COMPUTED_VALUE"""),231213.0)</f>
        <v>231213</v>
      </c>
      <c r="F2156" s="2">
        <f>IFERROR(__xludf.DUMMYFUNCTION("""COMPUTED_VALUE"""),5021800.0)</f>
        <v>5021800</v>
      </c>
      <c r="G2156" s="2">
        <f>IFERROR(__xludf.DUMMYFUNCTION("""COMPUTED_VALUE"""),122.7764)</f>
        <v>122.7764</v>
      </c>
    </row>
    <row r="2157">
      <c r="A2157" s="1" t="s">
        <v>2156</v>
      </c>
      <c r="D2157" s="3">
        <f>IFERROR(__xludf.DUMMYFUNCTION("SPLIT(A2157, ""|"")"),43411.0)</f>
        <v>43411</v>
      </c>
      <c r="E2157" s="2">
        <f>IFERROR(__xludf.DUMMYFUNCTION("""COMPUTED_VALUE"""),1733913.0)</f>
        <v>1733913</v>
      </c>
      <c r="F2157" s="2">
        <f>IFERROR(__xludf.DUMMYFUNCTION("""COMPUTED_VALUE"""),5024571.0)</f>
        <v>5024571</v>
      </c>
      <c r="G2157" s="2">
        <f>IFERROR(__xludf.DUMMYFUNCTION("""COMPUTED_VALUE"""),63.125)</f>
        <v>63.125</v>
      </c>
    </row>
    <row r="2158">
      <c r="A2158" s="1" t="s">
        <v>2157</v>
      </c>
      <c r="D2158" s="3">
        <f>IFERROR(__xludf.DUMMYFUNCTION("SPLIT(A2158, ""|"")"),43411.0)</f>
        <v>43411</v>
      </c>
      <c r="E2158" s="2">
        <f>IFERROR(__xludf.DUMMYFUNCTION("""COMPUTED_VALUE"""),1733643.0)</f>
        <v>1733643</v>
      </c>
      <c r="F2158" s="2">
        <f>IFERROR(__xludf.DUMMYFUNCTION("""COMPUTED_VALUE"""),5026836.0)</f>
        <v>5026836</v>
      </c>
      <c r="G2158" s="2">
        <f>IFERROR(__xludf.DUMMYFUNCTION("""COMPUTED_VALUE"""),60.4651999999999)</f>
        <v>60.4652</v>
      </c>
    </row>
    <row r="2159">
      <c r="A2159" s="1" t="s">
        <v>2158</v>
      </c>
      <c r="D2159" s="3">
        <f>IFERROR(__xludf.DUMMYFUNCTION("SPLIT(A2159, ""|"")"),43411.0)</f>
        <v>43411</v>
      </c>
      <c r="E2159" s="2">
        <f>IFERROR(__xludf.DUMMYFUNCTION("""COMPUTED_VALUE"""),1194483.0)</f>
        <v>1194483</v>
      </c>
      <c r="F2159" s="2">
        <f>IFERROR(__xludf.DUMMYFUNCTION("""COMPUTED_VALUE"""),5026983.0)</f>
        <v>5026983</v>
      </c>
      <c r="G2159" s="2">
        <f>IFERROR(__xludf.DUMMYFUNCTION("""COMPUTED_VALUE"""),96.0927)</f>
        <v>96.0927</v>
      </c>
    </row>
    <row r="2160">
      <c r="A2160" s="1" t="s">
        <v>2159</v>
      </c>
      <c r="D2160" s="3">
        <f>IFERROR(__xludf.DUMMYFUNCTION("SPLIT(A2160, ""|"")"),43411.0)</f>
        <v>43411</v>
      </c>
      <c r="E2160" s="2">
        <f>IFERROR(__xludf.DUMMYFUNCTION("""COMPUTED_VALUE"""),1594803.0)</f>
        <v>1594803</v>
      </c>
      <c r="F2160" s="2">
        <f>IFERROR(__xludf.DUMMYFUNCTION("""COMPUTED_VALUE"""),5028006.0)</f>
        <v>5028006</v>
      </c>
      <c r="G2160" s="2">
        <f>IFERROR(__xludf.DUMMYFUNCTION("""COMPUTED_VALUE"""),26.6455999999999)</f>
        <v>26.6456</v>
      </c>
    </row>
    <row r="2161">
      <c r="A2161" s="1" t="s">
        <v>2160</v>
      </c>
      <c r="D2161" s="3">
        <f>IFERROR(__xludf.DUMMYFUNCTION("SPLIT(A2161, ""|"")"),43411.0)</f>
        <v>43411</v>
      </c>
      <c r="E2161" s="2">
        <f>IFERROR(__xludf.DUMMYFUNCTION("""COMPUTED_VALUE"""),1733193.0)</f>
        <v>1733193</v>
      </c>
      <c r="F2161" s="2">
        <f>IFERROR(__xludf.DUMMYFUNCTION("""COMPUTED_VALUE"""),5021830.0)</f>
        <v>5021830</v>
      </c>
      <c r="G2161" s="2">
        <f>IFERROR(__xludf.DUMMYFUNCTION("""COMPUTED_VALUE"""),28.1916)</f>
        <v>28.1916</v>
      </c>
    </row>
    <row r="2162">
      <c r="A2162" s="1" t="s">
        <v>2161</v>
      </c>
      <c r="D2162" s="3">
        <f>IFERROR(__xludf.DUMMYFUNCTION("SPLIT(A2162, ""|"")"),43156.0)</f>
        <v>43156</v>
      </c>
      <c r="E2162" s="2">
        <f>IFERROR(__xludf.DUMMYFUNCTION("""COMPUTED_VALUE"""),1535313.0)</f>
        <v>1535313</v>
      </c>
      <c r="F2162" s="2">
        <f>IFERROR(__xludf.DUMMYFUNCTION("""COMPUTED_VALUE"""),4245647.0)</f>
        <v>4245647</v>
      </c>
      <c r="G2162" s="2">
        <f>IFERROR(__xludf.DUMMYFUNCTION("""COMPUTED_VALUE"""),21.1868)</f>
        <v>21.1868</v>
      </c>
    </row>
    <row r="2163">
      <c r="A2163" s="1" t="s">
        <v>2162</v>
      </c>
      <c r="D2163" s="3">
        <f>IFERROR(__xludf.DUMMYFUNCTION("SPLIT(A2163, ""|"")"),43156.0)</f>
        <v>43156</v>
      </c>
      <c r="E2163" s="2">
        <f>IFERROR(__xludf.DUMMYFUNCTION("""COMPUTED_VALUE"""),234783.0)</f>
        <v>234783</v>
      </c>
      <c r="F2163" s="2">
        <f>IFERROR(__xludf.DUMMYFUNCTION("""COMPUTED_VALUE"""),4246063.0)</f>
        <v>4246063</v>
      </c>
      <c r="G2163" s="2">
        <f>IFERROR(__xludf.DUMMYFUNCTION("""COMPUTED_VALUE"""),280.8655)</f>
        <v>280.8655</v>
      </c>
    </row>
    <row r="2164">
      <c r="A2164" s="1" t="s">
        <v>2163</v>
      </c>
      <c r="D2164" s="3">
        <f>IFERROR(__xludf.DUMMYFUNCTION("SPLIT(A2164, ""|"")"),43156.0)</f>
        <v>43156</v>
      </c>
      <c r="E2164" s="2">
        <f>IFERROR(__xludf.DUMMYFUNCTION("""COMPUTED_VALUE"""),1535193.0)</f>
        <v>1535193</v>
      </c>
      <c r="F2164" s="2">
        <f>IFERROR(__xludf.DUMMYFUNCTION("""COMPUTED_VALUE"""),4245185.0)</f>
        <v>4245185</v>
      </c>
      <c r="G2164" s="2">
        <f>IFERROR(__xludf.DUMMYFUNCTION("""COMPUTED_VALUE"""),72.3672)</f>
        <v>72.3672</v>
      </c>
    </row>
    <row r="2165">
      <c r="A2165" s="1" t="s">
        <v>2164</v>
      </c>
      <c r="D2165" s="3">
        <f>IFERROR(__xludf.DUMMYFUNCTION("SPLIT(A2165, ""|"")"),43156.0)</f>
        <v>43156</v>
      </c>
      <c r="E2165" s="2">
        <f>IFERROR(__xludf.DUMMYFUNCTION("""COMPUTED_VALUE"""),1535343.0)</f>
        <v>1535343</v>
      </c>
      <c r="F2165" s="2">
        <f>IFERROR(__xludf.DUMMYFUNCTION("""COMPUTED_VALUE"""),4245835.0)</f>
        <v>4245835</v>
      </c>
      <c r="G2165" s="2">
        <f>IFERROR(__xludf.DUMMYFUNCTION("""COMPUTED_VALUE"""),13.8714)</f>
        <v>13.8714</v>
      </c>
    </row>
    <row r="2166">
      <c r="A2166" s="1" t="s">
        <v>2165</v>
      </c>
      <c r="D2166" s="3">
        <f>IFERROR(__xludf.DUMMYFUNCTION("SPLIT(A2166, ""|"")"),43156.0)</f>
        <v>43156</v>
      </c>
      <c r="E2166" s="2">
        <f>IFERROR(__xludf.DUMMYFUNCTION("""COMPUTED_VALUE"""),437733.0)</f>
        <v>437733</v>
      </c>
      <c r="F2166" s="2">
        <f>IFERROR(__xludf.DUMMYFUNCTION("""COMPUTED_VALUE"""),4245824.0)</f>
        <v>4245824</v>
      </c>
      <c r="G2166" s="2">
        <f>IFERROR(__xludf.DUMMYFUNCTION("""COMPUTED_VALUE"""),63.8097999999999)</f>
        <v>63.8098</v>
      </c>
    </row>
    <row r="2167">
      <c r="A2167" s="1" t="s">
        <v>2166</v>
      </c>
      <c r="D2167" s="3">
        <f>IFERROR(__xludf.DUMMYFUNCTION("SPLIT(A2167, ""|"")"),43156.0)</f>
        <v>43156</v>
      </c>
      <c r="E2167" s="2">
        <f>IFERROR(__xludf.DUMMYFUNCTION("""COMPUTED_VALUE"""),367683.0)</f>
        <v>367683</v>
      </c>
      <c r="F2167" s="2">
        <f>IFERROR(__xludf.DUMMYFUNCTION("""COMPUTED_VALUE"""),4245184.0)</f>
        <v>4245184</v>
      </c>
      <c r="G2167" s="2">
        <f>IFERROR(__xludf.DUMMYFUNCTION("""COMPUTED_VALUE"""),47.0530999999999)</f>
        <v>47.0531</v>
      </c>
    </row>
    <row r="2168">
      <c r="A2168" s="1" t="s">
        <v>2167</v>
      </c>
      <c r="D2168" s="3">
        <f>IFERROR(__xludf.DUMMYFUNCTION("SPLIT(A2168, ""|"")"),43156.0)</f>
        <v>43156</v>
      </c>
      <c r="E2168" s="2">
        <f>IFERROR(__xludf.DUMMYFUNCTION("""COMPUTED_VALUE"""),1533513.0)</f>
        <v>1533513</v>
      </c>
      <c r="F2168" s="2">
        <f>IFERROR(__xludf.DUMMYFUNCTION("""COMPUTED_VALUE"""),4244424.0)</f>
        <v>4244424</v>
      </c>
      <c r="G2168" s="2">
        <f>IFERROR(__xludf.DUMMYFUNCTION("""COMPUTED_VALUE"""),105.9297)</f>
        <v>105.9297</v>
      </c>
    </row>
    <row r="2169">
      <c r="A2169" s="1" t="s">
        <v>2168</v>
      </c>
      <c r="D2169" s="3">
        <f>IFERROR(__xludf.DUMMYFUNCTION("SPLIT(A2169, ""|"")"),43156.0)</f>
        <v>43156</v>
      </c>
      <c r="E2169" s="2">
        <f>IFERROR(__xludf.DUMMYFUNCTION("""COMPUTED_VALUE"""),1389153.0)</f>
        <v>1389153</v>
      </c>
      <c r="F2169" s="2">
        <f>IFERROR(__xludf.DUMMYFUNCTION("""COMPUTED_VALUE"""),4245404.0)</f>
        <v>4245404</v>
      </c>
      <c r="G2169" s="2">
        <f>IFERROR(__xludf.DUMMYFUNCTION("""COMPUTED_VALUE"""),29.7536)</f>
        <v>29.7536</v>
      </c>
    </row>
    <row r="2170">
      <c r="A2170" s="1" t="s">
        <v>2169</v>
      </c>
      <c r="D2170" s="3">
        <f>IFERROR(__xludf.DUMMYFUNCTION("SPLIT(A2170, ""|"")"),43156.0)</f>
        <v>43156</v>
      </c>
      <c r="E2170" s="2">
        <f>IFERROR(__xludf.DUMMYFUNCTION("""COMPUTED_VALUE"""),1074813.0)</f>
        <v>1074813</v>
      </c>
      <c r="F2170" s="2">
        <f>IFERROR(__xludf.DUMMYFUNCTION("""COMPUTED_VALUE"""),4246217.0)</f>
        <v>4246217</v>
      </c>
      <c r="G2170" s="2">
        <f>IFERROR(__xludf.DUMMYFUNCTION("""COMPUTED_VALUE"""),58.8634999999999)</f>
        <v>58.8635</v>
      </c>
    </row>
    <row r="2171">
      <c r="A2171" s="1" t="s">
        <v>2170</v>
      </c>
      <c r="D2171" s="3">
        <f>IFERROR(__xludf.DUMMYFUNCTION("SPLIT(A2171, ""|"")"),43412.0)</f>
        <v>43412</v>
      </c>
      <c r="E2171" s="2">
        <f>IFERROR(__xludf.DUMMYFUNCTION("""COMPUTED_VALUE"""),1736403.0)</f>
        <v>1736403</v>
      </c>
      <c r="F2171" s="2">
        <f>IFERROR(__xludf.DUMMYFUNCTION("""COMPUTED_VALUE"""),5033751.0)</f>
        <v>5033751</v>
      </c>
      <c r="G2171" s="2">
        <f>IFERROR(__xludf.DUMMYFUNCTION("""COMPUTED_VALUE"""),15.8738)</f>
        <v>15.8738</v>
      </c>
    </row>
    <row r="2172">
      <c r="A2172" s="1" t="s">
        <v>2171</v>
      </c>
      <c r="D2172" s="3">
        <f>IFERROR(__xludf.DUMMYFUNCTION("SPLIT(A2172, ""|"")"),43412.0)</f>
        <v>43412</v>
      </c>
      <c r="E2172" s="2">
        <f>IFERROR(__xludf.DUMMYFUNCTION("""COMPUTED_VALUE"""),1737573.0)</f>
        <v>1737573</v>
      </c>
      <c r="F2172" s="2">
        <f>IFERROR(__xludf.DUMMYFUNCTION("""COMPUTED_VALUE"""),5037864.0)</f>
        <v>5037864</v>
      </c>
      <c r="G2172" s="2">
        <f>IFERROR(__xludf.DUMMYFUNCTION("""COMPUTED_VALUE"""),13.2227)</f>
        <v>13.2227</v>
      </c>
    </row>
    <row r="2173">
      <c r="A2173" s="1" t="s">
        <v>2172</v>
      </c>
      <c r="D2173" s="3">
        <f>IFERROR(__xludf.DUMMYFUNCTION("SPLIT(A2173, ""|"")"),43412.0)</f>
        <v>43412</v>
      </c>
      <c r="E2173" s="2">
        <f>IFERROR(__xludf.DUMMYFUNCTION("""COMPUTED_VALUE"""),1736073.0)</f>
        <v>1736073</v>
      </c>
      <c r="F2173" s="2">
        <f>IFERROR(__xludf.DUMMYFUNCTION("""COMPUTED_VALUE"""),5035581.0)</f>
        <v>5035581</v>
      </c>
      <c r="G2173" s="2">
        <f>IFERROR(__xludf.DUMMYFUNCTION("""COMPUTED_VALUE"""),19.6818)</f>
        <v>19.6818</v>
      </c>
    </row>
    <row r="2174">
      <c r="A2174" s="1" t="s">
        <v>2173</v>
      </c>
      <c r="D2174" s="3">
        <f>IFERROR(__xludf.DUMMYFUNCTION("SPLIT(A2174, ""|"")"),43412.0)</f>
        <v>43412</v>
      </c>
      <c r="E2174" s="2">
        <f>IFERROR(__xludf.DUMMYFUNCTION("""COMPUTED_VALUE"""),1628463.0)</f>
        <v>1628463</v>
      </c>
      <c r="F2174" s="2">
        <f>IFERROR(__xludf.DUMMYFUNCTION("""COMPUTED_VALUE"""),5035521.0)</f>
        <v>5035521</v>
      </c>
      <c r="G2174" s="2">
        <f>IFERROR(__xludf.DUMMYFUNCTION("""COMPUTED_VALUE"""),38.4205999999999)</f>
        <v>38.4206</v>
      </c>
    </row>
    <row r="2175">
      <c r="A2175" s="1" t="s">
        <v>2174</v>
      </c>
      <c r="D2175" s="3">
        <f>IFERROR(__xludf.DUMMYFUNCTION("SPLIT(A2175, ""|"")"),43412.0)</f>
        <v>43412</v>
      </c>
      <c r="E2175" s="2">
        <f>IFERROR(__xludf.DUMMYFUNCTION("""COMPUTED_VALUE"""),1736763.0)</f>
        <v>1736763</v>
      </c>
      <c r="F2175" s="2">
        <f>IFERROR(__xludf.DUMMYFUNCTION("""COMPUTED_VALUE"""),5035032.0)</f>
        <v>5035032</v>
      </c>
      <c r="G2175" s="2">
        <f>IFERROR(__xludf.DUMMYFUNCTION("""COMPUTED_VALUE"""),16.3317)</f>
        <v>16.3317</v>
      </c>
    </row>
    <row r="2176">
      <c r="A2176" s="1" t="s">
        <v>2175</v>
      </c>
      <c r="D2176" s="3">
        <f>IFERROR(__xludf.DUMMYFUNCTION("SPLIT(A2176, ""|"")"),43412.0)</f>
        <v>43412</v>
      </c>
      <c r="E2176" s="2">
        <f>IFERROR(__xludf.DUMMYFUNCTION("""COMPUTED_VALUE"""),1499163.0)</f>
        <v>1499163</v>
      </c>
      <c r="F2176" s="2">
        <f>IFERROR(__xludf.DUMMYFUNCTION("""COMPUTED_VALUE"""),5032128.0)</f>
        <v>5032128</v>
      </c>
      <c r="G2176" s="2">
        <f>IFERROR(__xludf.DUMMYFUNCTION("""COMPUTED_VALUE"""),100.7644)</f>
        <v>100.7644</v>
      </c>
    </row>
    <row r="2177">
      <c r="A2177" s="1" t="s">
        <v>2176</v>
      </c>
      <c r="D2177" s="3">
        <f>IFERROR(__xludf.DUMMYFUNCTION("SPLIT(A2177, ""|"")"),43412.0)</f>
        <v>43412</v>
      </c>
      <c r="E2177" s="2">
        <f>IFERROR(__xludf.DUMMYFUNCTION("""COMPUTED_VALUE"""),1128333.0)</f>
        <v>1128333</v>
      </c>
      <c r="F2177" s="2">
        <f>IFERROR(__xludf.DUMMYFUNCTION("""COMPUTED_VALUE"""),5034666.0)</f>
        <v>5034666</v>
      </c>
      <c r="G2177" s="2">
        <f>IFERROR(__xludf.DUMMYFUNCTION("""COMPUTED_VALUE"""),67.9974)</f>
        <v>67.9974</v>
      </c>
    </row>
    <row r="2178">
      <c r="A2178" s="1" t="s">
        <v>2177</v>
      </c>
      <c r="D2178" s="3">
        <f>IFERROR(__xludf.DUMMYFUNCTION("SPLIT(A2178, ""|"")"),43412.0)</f>
        <v>43412</v>
      </c>
      <c r="E2178" s="2">
        <f>IFERROR(__xludf.DUMMYFUNCTION("""COMPUTED_VALUE"""),1733463.0)</f>
        <v>1733463</v>
      </c>
      <c r="F2178" s="2">
        <f>IFERROR(__xludf.DUMMYFUNCTION("""COMPUTED_VALUE"""),5032332.0)</f>
        <v>5032332</v>
      </c>
      <c r="G2178" s="2">
        <f>IFERROR(__xludf.DUMMYFUNCTION("""COMPUTED_VALUE"""),25.6944)</f>
        <v>25.6944</v>
      </c>
    </row>
    <row r="2179">
      <c r="A2179" s="1" t="s">
        <v>2178</v>
      </c>
      <c r="D2179" s="3">
        <f>IFERROR(__xludf.DUMMYFUNCTION("SPLIT(A2179, ""|"")"),43412.0)</f>
        <v>43412</v>
      </c>
      <c r="E2179" s="2">
        <f>IFERROR(__xludf.DUMMYFUNCTION("""COMPUTED_VALUE"""),1513473.0)</f>
        <v>1513473</v>
      </c>
      <c r="F2179" s="2">
        <f>IFERROR(__xludf.DUMMYFUNCTION("""COMPUTED_VALUE"""),5030750.0)</f>
        <v>5030750</v>
      </c>
      <c r="G2179" s="2">
        <f>IFERROR(__xludf.DUMMYFUNCTION("""COMPUTED_VALUE"""),105.334899999999)</f>
        <v>105.3349</v>
      </c>
    </row>
    <row r="2180">
      <c r="A2180" s="1" t="s">
        <v>2179</v>
      </c>
      <c r="D2180" s="3">
        <f>IFERROR(__xludf.DUMMYFUNCTION("SPLIT(A2180, ""|"")"),43412.0)</f>
        <v>43412</v>
      </c>
      <c r="E2180" s="2">
        <f>IFERROR(__xludf.DUMMYFUNCTION("""COMPUTED_VALUE"""),1737453.0)</f>
        <v>1737453</v>
      </c>
      <c r="F2180" s="2">
        <f>IFERROR(__xludf.DUMMYFUNCTION("""COMPUTED_VALUE"""),5037390.0)</f>
        <v>5037390</v>
      </c>
      <c r="G2180" s="2">
        <f>IFERROR(__xludf.DUMMYFUNCTION("""COMPUTED_VALUE"""),41.4021)</f>
        <v>41.4021</v>
      </c>
    </row>
    <row r="2181">
      <c r="A2181" s="1" t="s">
        <v>2180</v>
      </c>
      <c r="D2181" s="3">
        <f>IFERROR(__xludf.DUMMYFUNCTION("SPLIT(A2181, ""|"")"),43157.0)</f>
        <v>43157</v>
      </c>
      <c r="E2181" s="2">
        <f>IFERROR(__xludf.DUMMYFUNCTION("""COMPUTED_VALUE"""),1511583.0)</f>
        <v>1511583</v>
      </c>
      <c r="F2181" s="2">
        <f>IFERROR(__xludf.DUMMYFUNCTION("""COMPUTED_VALUE"""),4247828.0)</f>
        <v>4247828</v>
      </c>
      <c r="G2181" s="2">
        <f>IFERROR(__xludf.DUMMYFUNCTION("""COMPUTED_VALUE"""),69.3168)</f>
        <v>69.3168</v>
      </c>
    </row>
    <row r="2182">
      <c r="A2182" s="1" t="s">
        <v>2181</v>
      </c>
      <c r="D2182" s="3">
        <f>IFERROR(__xludf.DUMMYFUNCTION("SPLIT(A2182, ""|"")"),43157.0)</f>
        <v>43157</v>
      </c>
      <c r="E2182" s="2">
        <f>IFERROR(__xludf.DUMMYFUNCTION("""COMPUTED_VALUE"""),1536243.0)</f>
        <v>1536243</v>
      </c>
      <c r="F2182" s="2">
        <f>IFERROR(__xludf.DUMMYFUNCTION("""COMPUTED_VALUE"""),4249206.0)</f>
        <v>4249206</v>
      </c>
      <c r="G2182" s="2">
        <f>IFERROR(__xludf.DUMMYFUNCTION("""COMPUTED_VALUE"""),166.0)</f>
        <v>166</v>
      </c>
    </row>
    <row r="2183">
      <c r="A2183" s="1" t="s">
        <v>2182</v>
      </c>
      <c r="D2183" s="3">
        <f>IFERROR(__xludf.DUMMYFUNCTION("SPLIT(A2183, ""|"")"),43157.0)</f>
        <v>43157</v>
      </c>
      <c r="E2183" s="2">
        <f>IFERROR(__xludf.DUMMYFUNCTION("""COMPUTED_VALUE"""),1536243.0)</f>
        <v>1536243</v>
      </c>
      <c r="F2183" s="2">
        <f>IFERROR(__xludf.DUMMYFUNCTION("""COMPUTED_VALUE"""),4249257.0)</f>
        <v>4249257</v>
      </c>
      <c r="G2183" s="2">
        <f>IFERROR(__xludf.DUMMYFUNCTION("""COMPUTED_VALUE"""),145.3334)</f>
        <v>145.3334</v>
      </c>
    </row>
    <row r="2184">
      <c r="A2184" s="1" t="s">
        <v>2183</v>
      </c>
      <c r="D2184" s="3">
        <f>IFERROR(__xludf.DUMMYFUNCTION("SPLIT(A2184, ""|"")"),43157.0)</f>
        <v>43157</v>
      </c>
      <c r="E2184" s="2">
        <f>IFERROR(__xludf.DUMMYFUNCTION("""COMPUTED_VALUE"""),1511853.0)</f>
        <v>1511853</v>
      </c>
      <c r="F2184" s="2">
        <f>IFERROR(__xludf.DUMMYFUNCTION("""COMPUTED_VALUE"""),4247049.0)</f>
        <v>4247049</v>
      </c>
      <c r="G2184" s="2">
        <f>IFERROR(__xludf.DUMMYFUNCTION("""COMPUTED_VALUE"""),43.8997999999999)</f>
        <v>43.8998</v>
      </c>
    </row>
    <row r="2185">
      <c r="A2185" s="1" t="s">
        <v>2184</v>
      </c>
      <c r="D2185" s="3">
        <f>IFERROR(__xludf.DUMMYFUNCTION("SPLIT(A2185, ""|"")"),43157.0)</f>
        <v>43157</v>
      </c>
      <c r="E2185" s="2">
        <f>IFERROR(__xludf.DUMMYFUNCTION("""COMPUTED_VALUE"""),1155453.0)</f>
        <v>1155453</v>
      </c>
      <c r="F2185" s="2">
        <f>IFERROR(__xludf.DUMMYFUNCTION("""COMPUTED_VALUE"""),4247986.0)</f>
        <v>4247986</v>
      </c>
      <c r="G2185" s="2">
        <f>IFERROR(__xludf.DUMMYFUNCTION("""COMPUTED_VALUE"""),52.3105999999999)</f>
        <v>52.3106</v>
      </c>
    </row>
    <row r="2186">
      <c r="A2186" s="1" t="s">
        <v>2185</v>
      </c>
      <c r="D2186" s="3">
        <f>IFERROR(__xludf.DUMMYFUNCTION("SPLIT(A2186, ""|"")"),43157.0)</f>
        <v>43157</v>
      </c>
      <c r="E2186" s="2">
        <f>IFERROR(__xludf.DUMMYFUNCTION("""COMPUTED_VALUE"""),248073.0)</f>
        <v>248073</v>
      </c>
      <c r="F2186" s="2">
        <f>IFERROR(__xludf.DUMMYFUNCTION("""COMPUTED_VALUE"""),4249721.0)</f>
        <v>4249721</v>
      </c>
      <c r="G2186" s="2">
        <f>IFERROR(__xludf.DUMMYFUNCTION("""COMPUTED_VALUE"""),67.0313)</f>
        <v>67.0313</v>
      </c>
    </row>
    <row r="2187">
      <c r="A2187" s="1" t="s">
        <v>2186</v>
      </c>
      <c r="D2187" s="3">
        <f>IFERROR(__xludf.DUMMYFUNCTION("SPLIT(A2187, ""|"")"),43157.0)</f>
        <v>43157</v>
      </c>
      <c r="E2187" s="2">
        <f>IFERROR(__xludf.DUMMYFUNCTION("""COMPUTED_VALUE"""),1400133.0)</f>
        <v>1400133</v>
      </c>
      <c r="F2187" s="2">
        <f>IFERROR(__xludf.DUMMYFUNCTION("""COMPUTED_VALUE"""),4250150.0)</f>
        <v>4250150</v>
      </c>
      <c r="G2187" s="2">
        <f>IFERROR(__xludf.DUMMYFUNCTION("""COMPUTED_VALUE"""),20.4849)</f>
        <v>20.4849</v>
      </c>
    </row>
    <row r="2188">
      <c r="A2188" s="1" t="s">
        <v>2187</v>
      </c>
      <c r="D2188" s="3">
        <f>IFERROR(__xludf.DUMMYFUNCTION("SPLIT(A2188, ""|"")"),43157.0)</f>
        <v>43157</v>
      </c>
      <c r="E2188" s="2">
        <f>IFERROR(__xludf.DUMMYFUNCTION("""COMPUTED_VALUE"""),1261383.0)</f>
        <v>1261383</v>
      </c>
      <c r="F2188" s="2">
        <f>IFERROR(__xludf.DUMMYFUNCTION("""COMPUTED_VALUE"""),4248159.0)</f>
        <v>4248159</v>
      </c>
      <c r="G2188" s="2">
        <f>IFERROR(__xludf.DUMMYFUNCTION("""COMPUTED_VALUE"""),128.4222)</f>
        <v>128.4222</v>
      </c>
    </row>
    <row r="2189">
      <c r="A2189" s="1" t="s">
        <v>2188</v>
      </c>
      <c r="D2189" s="3">
        <f>IFERROR(__xludf.DUMMYFUNCTION("SPLIT(A2189, ""|"")"),43413.0)</f>
        <v>43413</v>
      </c>
      <c r="E2189" s="2">
        <f>IFERROR(__xludf.DUMMYFUNCTION("""COMPUTED_VALUE"""),1737153.0)</f>
        <v>1737153</v>
      </c>
      <c r="F2189" s="2">
        <f>IFERROR(__xludf.DUMMYFUNCTION("""COMPUTED_VALUE"""),5040309.0)</f>
        <v>5040309</v>
      </c>
      <c r="G2189" s="2">
        <f>IFERROR(__xludf.DUMMYFUNCTION("""COMPUTED_VALUE"""),34.8134)</f>
        <v>34.8134</v>
      </c>
    </row>
    <row r="2190">
      <c r="A2190" s="1" t="s">
        <v>2189</v>
      </c>
      <c r="D2190" s="3">
        <f>IFERROR(__xludf.DUMMYFUNCTION("SPLIT(A2190, ""|"")"),43413.0)</f>
        <v>43413</v>
      </c>
      <c r="E2190" s="2">
        <f>IFERROR(__xludf.DUMMYFUNCTION("""COMPUTED_VALUE"""),1739193.0)</f>
        <v>1739193</v>
      </c>
      <c r="F2190" s="2">
        <f>IFERROR(__xludf.DUMMYFUNCTION("""COMPUTED_VALUE"""),5043999.0)</f>
        <v>5043999</v>
      </c>
      <c r="G2190" s="2">
        <f>IFERROR(__xludf.DUMMYFUNCTION("""COMPUTED_VALUE"""),7.123)</f>
        <v>7.123</v>
      </c>
    </row>
    <row r="2191">
      <c r="A2191" s="1" t="s">
        <v>2190</v>
      </c>
      <c r="D2191" s="3">
        <f>IFERROR(__xludf.DUMMYFUNCTION("SPLIT(A2191, ""|"")"),43413.0)</f>
        <v>43413</v>
      </c>
      <c r="E2191" s="2">
        <f>IFERROR(__xludf.DUMMYFUNCTION("""COMPUTED_VALUE"""),1604373.0)</f>
        <v>1604373</v>
      </c>
      <c r="F2191" s="2">
        <f>IFERROR(__xludf.DUMMYFUNCTION("""COMPUTED_VALUE"""),5043408.0)</f>
        <v>5043408</v>
      </c>
      <c r="G2191" s="2">
        <f>IFERROR(__xludf.DUMMYFUNCTION("""COMPUTED_VALUE"""),69.3674999999999)</f>
        <v>69.3675</v>
      </c>
    </row>
    <row r="2192">
      <c r="A2192" s="1" t="s">
        <v>2191</v>
      </c>
      <c r="D2192" s="3">
        <f>IFERROR(__xludf.DUMMYFUNCTION("SPLIT(A2192, ""|"")"),43413.0)</f>
        <v>43413</v>
      </c>
      <c r="E2192" s="2">
        <f>IFERROR(__xludf.DUMMYFUNCTION("""COMPUTED_VALUE"""),1739073.0)</f>
        <v>1739073</v>
      </c>
      <c r="F2192" s="2">
        <f>IFERROR(__xludf.DUMMYFUNCTION("""COMPUTED_VALUE"""),5043555.0)</f>
        <v>5043555</v>
      </c>
      <c r="G2192" s="2">
        <f>IFERROR(__xludf.DUMMYFUNCTION("""COMPUTED_VALUE"""),25.5799)</f>
        <v>25.5799</v>
      </c>
    </row>
    <row r="2193">
      <c r="A2193" s="1" t="s">
        <v>2192</v>
      </c>
      <c r="D2193" s="3">
        <f>IFERROR(__xludf.DUMMYFUNCTION("SPLIT(A2193, ""|"")"),43413.0)</f>
        <v>43413</v>
      </c>
      <c r="E2193" s="2">
        <f>IFERROR(__xludf.DUMMYFUNCTION("""COMPUTED_VALUE"""),1678863.0)</f>
        <v>1678863</v>
      </c>
      <c r="F2193" s="2">
        <f>IFERROR(__xludf.DUMMYFUNCTION("""COMPUTED_VALUE"""),5040588.0)</f>
        <v>5040588</v>
      </c>
      <c r="G2193" s="2">
        <f>IFERROR(__xludf.DUMMYFUNCTION("""COMPUTED_VALUE"""),49.2912)</f>
        <v>49.2912</v>
      </c>
    </row>
    <row r="2194">
      <c r="A2194" s="1" t="s">
        <v>2193</v>
      </c>
      <c r="D2194" s="3">
        <f>IFERROR(__xludf.DUMMYFUNCTION("SPLIT(A2194, ""|"")"),43413.0)</f>
        <v>43413</v>
      </c>
      <c r="E2194" s="2">
        <f>IFERROR(__xludf.DUMMYFUNCTION("""COMPUTED_VALUE"""),1737723.0)</f>
        <v>1737723</v>
      </c>
      <c r="F2194" s="2">
        <f>IFERROR(__xludf.DUMMYFUNCTION("""COMPUTED_VALUE"""),5038503.0)</f>
        <v>5038503</v>
      </c>
      <c r="G2194" s="2">
        <f>IFERROR(__xludf.DUMMYFUNCTION("""COMPUTED_VALUE"""),39.0833)</f>
        <v>39.0833</v>
      </c>
    </row>
    <row r="2195">
      <c r="A2195" s="1" t="s">
        <v>2194</v>
      </c>
      <c r="D2195" s="3">
        <f>IFERROR(__xludf.DUMMYFUNCTION("SPLIT(A2195, ""|"")"),43413.0)</f>
        <v>43413</v>
      </c>
      <c r="E2195" s="2">
        <f>IFERROR(__xludf.DUMMYFUNCTION("""COMPUTED_VALUE"""),1738623.0)</f>
        <v>1738623</v>
      </c>
      <c r="F2195" s="2">
        <f>IFERROR(__xludf.DUMMYFUNCTION("""COMPUTED_VALUE"""),5041920.0)</f>
        <v>5041920</v>
      </c>
      <c r="G2195" s="2">
        <f>IFERROR(__xludf.DUMMYFUNCTION("""COMPUTED_VALUE"""),7.1175)</f>
        <v>7.1175</v>
      </c>
    </row>
    <row r="2196">
      <c r="A2196" s="1" t="s">
        <v>2195</v>
      </c>
      <c r="D2196" s="3">
        <f>IFERROR(__xludf.DUMMYFUNCTION("SPLIT(A2196, ""|"")"),43413.0)</f>
        <v>43413</v>
      </c>
      <c r="E2196" s="2">
        <f>IFERROR(__xludf.DUMMYFUNCTION("""COMPUTED_VALUE"""),1630143.0)</f>
        <v>1630143</v>
      </c>
      <c r="F2196" s="2">
        <f>IFERROR(__xludf.DUMMYFUNCTION("""COMPUTED_VALUE"""),5038026.0)</f>
        <v>5038026</v>
      </c>
      <c r="G2196" s="2">
        <f>IFERROR(__xludf.DUMMYFUNCTION("""COMPUTED_VALUE"""),13.8)</f>
        <v>13.8</v>
      </c>
    </row>
    <row r="2197">
      <c r="A2197" s="1" t="s">
        <v>2196</v>
      </c>
      <c r="D2197" s="3">
        <f>IFERROR(__xludf.DUMMYFUNCTION("SPLIT(A2197, ""|"")"),43413.0)</f>
        <v>43413</v>
      </c>
      <c r="E2197" s="2">
        <f>IFERROR(__xludf.DUMMYFUNCTION("""COMPUTED_VALUE"""),1626093.0)</f>
        <v>1626093</v>
      </c>
      <c r="F2197" s="2">
        <f>IFERROR(__xludf.DUMMYFUNCTION("""COMPUTED_VALUE"""),5045655.0)</f>
        <v>5045655</v>
      </c>
      <c r="G2197" s="2">
        <f>IFERROR(__xludf.DUMMYFUNCTION("""COMPUTED_VALUE"""),94.0054)</f>
        <v>94.0054</v>
      </c>
    </row>
    <row r="2198">
      <c r="A2198" s="1" t="s">
        <v>2197</v>
      </c>
      <c r="D2198" s="3">
        <f>IFERROR(__xludf.DUMMYFUNCTION("SPLIT(A2198, ""|"")"),43158.0)</f>
        <v>43158</v>
      </c>
      <c r="E2198" s="2">
        <f>IFERROR(__xludf.DUMMYFUNCTION("""COMPUTED_VALUE"""),481893.0)</f>
        <v>481893</v>
      </c>
      <c r="F2198" s="2">
        <f>IFERROR(__xludf.DUMMYFUNCTION("""COMPUTED_VALUE"""),4251056.0)</f>
        <v>4251056</v>
      </c>
      <c r="G2198" s="2">
        <f>IFERROR(__xludf.DUMMYFUNCTION("""COMPUTED_VALUE"""),88.2918)</f>
        <v>88.2918</v>
      </c>
    </row>
    <row r="2199">
      <c r="A2199" s="1" t="s">
        <v>2198</v>
      </c>
      <c r="D2199" s="3">
        <f>IFERROR(__xludf.DUMMYFUNCTION("SPLIT(A2199, ""|"")"),43158.0)</f>
        <v>43158</v>
      </c>
      <c r="E2199" s="2">
        <f>IFERROR(__xludf.DUMMYFUNCTION("""COMPUTED_VALUE"""),1427553.0)</f>
        <v>1427553</v>
      </c>
      <c r="F2199" s="2">
        <f>IFERROR(__xludf.DUMMYFUNCTION("""COMPUTED_VALUE"""),4251787.0)</f>
        <v>4251787</v>
      </c>
      <c r="G2199" s="2">
        <f>IFERROR(__xludf.DUMMYFUNCTION("""COMPUTED_VALUE"""),96.7128)</f>
        <v>96.7128</v>
      </c>
    </row>
    <row r="2200">
      <c r="A2200" s="1" t="s">
        <v>2199</v>
      </c>
      <c r="D2200" s="3">
        <f>IFERROR(__xludf.DUMMYFUNCTION("SPLIT(A2200, ""|"")"),43158.0)</f>
        <v>43158</v>
      </c>
      <c r="E2200" s="2">
        <f>IFERROR(__xludf.DUMMYFUNCTION("""COMPUTED_VALUE"""),1151883.0)</f>
        <v>1151883</v>
      </c>
      <c r="F2200" s="2">
        <f>IFERROR(__xludf.DUMMYFUNCTION("""COMPUTED_VALUE"""),4250452.0)</f>
        <v>4250452</v>
      </c>
      <c r="G2200" s="2">
        <f>IFERROR(__xludf.DUMMYFUNCTION("""COMPUTED_VALUE"""),68.6422999999999)</f>
        <v>68.6423</v>
      </c>
    </row>
    <row r="2201">
      <c r="A2201" s="1" t="s">
        <v>2200</v>
      </c>
      <c r="D2201" s="3">
        <f>IFERROR(__xludf.DUMMYFUNCTION("SPLIT(A2201, ""|"")"),43158.0)</f>
        <v>43158</v>
      </c>
      <c r="E2201" s="2">
        <f>IFERROR(__xludf.DUMMYFUNCTION("""COMPUTED_VALUE"""),323583.0)</f>
        <v>323583</v>
      </c>
      <c r="F2201" s="2">
        <f>IFERROR(__xludf.DUMMYFUNCTION("""COMPUTED_VALUE"""),4252001.0)</f>
        <v>4252001</v>
      </c>
      <c r="G2201" s="2">
        <f>IFERROR(__xludf.DUMMYFUNCTION("""COMPUTED_VALUE"""),120.2137)</f>
        <v>120.2137</v>
      </c>
    </row>
    <row r="2202">
      <c r="A2202" s="1" t="s">
        <v>2201</v>
      </c>
      <c r="D2202" s="3">
        <f>IFERROR(__xludf.DUMMYFUNCTION("SPLIT(A2202, ""|"")"),43158.0)</f>
        <v>43158</v>
      </c>
      <c r="E2202" s="2">
        <f>IFERROR(__xludf.DUMMYFUNCTION("""COMPUTED_VALUE"""),1537083.0)</f>
        <v>1537083</v>
      </c>
      <c r="F2202" s="2">
        <f>IFERROR(__xludf.DUMMYFUNCTION("""COMPUTED_VALUE"""),4252460.0)</f>
        <v>4252460</v>
      </c>
      <c r="G2202" s="2">
        <f>IFERROR(__xludf.DUMMYFUNCTION("""COMPUTED_VALUE"""),23.1787)</f>
        <v>23.1787</v>
      </c>
    </row>
    <row r="2203">
      <c r="A2203" s="1" t="s">
        <v>2202</v>
      </c>
      <c r="D2203" s="3">
        <f>IFERROR(__xludf.DUMMYFUNCTION("SPLIT(A2203, ""|"")"),43158.0)</f>
        <v>43158</v>
      </c>
      <c r="E2203" s="2">
        <f>IFERROR(__xludf.DUMMYFUNCTION("""COMPUTED_VALUE"""),1536903.0)</f>
        <v>1536903</v>
      </c>
      <c r="F2203" s="2">
        <f>IFERROR(__xludf.DUMMYFUNCTION("""COMPUTED_VALUE"""),4251840.0)</f>
        <v>4251840</v>
      </c>
      <c r="G2203" s="2">
        <f>IFERROR(__xludf.DUMMYFUNCTION("""COMPUTED_VALUE"""),49.2479)</f>
        <v>49.2479</v>
      </c>
    </row>
    <row r="2204">
      <c r="A2204" s="1" t="s">
        <v>2203</v>
      </c>
      <c r="D2204" s="3">
        <f>IFERROR(__xludf.DUMMYFUNCTION("SPLIT(A2204, ""|"")"),43158.0)</f>
        <v>43158</v>
      </c>
      <c r="E2204" s="2">
        <f>IFERROR(__xludf.DUMMYFUNCTION("""COMPUTED_VALUE"""),1440333.0)</f>
        <v>1440333</v>
      </c>
      <c r="F2204" s="2">
        <f>IFERROR(__xludf.DUMMYFUNCTION("""COMPUTED_VALUE"""),4252138.0)</f>
        <v>4252138</v>
      </c>
      <c r="G2204" s="2">
        <f>IFERROR(__xludf.DUMMYFUNCTION("""COMPUTED_VALUE"""),62.9332)</f>
        <v>62.9332</v>
      </c>
    </row>
    <row r="2205">
      <c r="A2205" s="1" t="s">
        <v>2204</v>
      </c>
      <c r="D2205" s="3">
        <f>IFERROR(__xludf.DUMMYFUNCTION("SPLIT(A2205, ""|"")"),43158.0)</f>
        <v>43158</v>
      </c>
      <c r="E2205" s="2">
        <f>IFERROR(__xludf.DUMMYFUNCTION("""COMPUTED_VALUE"""),1536813.0)</f>
        <v>1536813</v>
      </c>
      <c r="F2205" s="2">
        <f>IFERROR(__xludf.DUMMYFUNCTION("""COMPUTED_VALUE"""),4251568.0)</f>
        <v>4251568</v>
      </c>
      <c r="G2205" s="2">
        <f>IFERROR(__xludf.DUMMYFUNCTION("""COMPUTED_VALUE"""),13.825)</f>
        <v>13.825</v>
      </c>
    </row>
    <row r="2206">
      <c r="A2206" s="1" t="s">
        <v>2205</v>
      </c>
      <c r="D2206" s="3">
        <f>IFERROR(__xludf.DUMMYFUNCTION("SPLIT(A2206, ""|"")"),43158.0)</f>
        <v>43158</v>
      </c>
      <c r="E2206" s="2">
        <f>IFERROR(__xludf.DUMMYFUNCTION("""COMPUTED_VALUE"""),1447083.0)</f>
        <v>1447083</v>
      </c>
      <c r="F2206" s="2">
        <f>IFERROR(__xludf.DUMMYFUNCTION("""COMPUTED_VALUE"""),4253213.0)</f>
        <v>4253213</v>
      </c>
      <c r="G2206" s="2">
        <f>IFERROR(__xludf.DUMMYFUNCTION("""COMPUTED_VALUE"""),129.0496)</f>
        <v>129.0496</v>
      </c>
    </row>
    <row r="2207">
      <c r="A2207" s="1" t="s">
        <v>2206</v>
      </c>
      <c r="D2207" s="3">
        <f>IFERROR(__xludf.DUMMYFUNCTION("SPLIT(A2207, ""|"")"),43158.0)</f>
        <v>43158</v>
      </c>
      <c r="E2207" s="2">
        <f>IFERROR(__xludf.DUMMYFUNCTION("""COMPUTED_VALUE"""),1537203.0)</f>
        <v>1537203</v>
      </c>
      <c r="F2207" s="2">
        <f>IFERROR(__xludf.DUMMYFUNCTION("""COMPUTED_VALUE"""),4253124.0)</f>
        <v>4253124</v>
      </c>
      <c r="G2207" s="2">
        <f>IFERROR(__xludf.DUMMYFUNCTION("""COMPUTED_VALUE"""),30.59)</f>
        <v>30.59</v>
      </c>
    </row>
    <row r="2208">
      <c r="A2208" s="1" t="s">
        <v>2207</v>
      </c>
      <c r="D2208" s="3">
        <f>IFERROR(__xludf.DUMMYFUNCTION("SPLIT(A2208, ""|"")"),43414.0)</f>
        <v>43414</v>
      </c>
      <c r="E2208" s="2">
        <f>IFERROR(__xludf.DUMMYFUNCTION("""COMPUTED_VALUE"""),1197873.0)</f>
        <v>1197873</v>
      </c>
      <c r="F2208" s="2">
        <f>IFERROR(__xludf.DUMMYFUNCTION("""COMPUTED_VALUE"""),5051592.0)</f>
        <v>5051592</v>
      </c>
      <c r="G2208" s="2">
        <f>IFERROR(__xludf.DUMMYFUNCTION("""COMPUTED_VALUE"""),54.5919)</f>
        <v>54.5919</v>
      </c>
    </row>
    <row r="2209">
      <c r="A2209" s="1" t="s">
        <v>2208</v>
      </c>
      <c r="D2209" s="3">
        <f>IFERROR(__xludf.DUMMYFUNCTION("SPLIT(A2209, ""|"")"),43414.0)</f>
        <v>43414</v>
      </c>
      <c r="E2209" s="2">
        <f>IFERROR(__xludf.DUMMYFUNCTION("""COMPUTED_VALUE"""),1738983.0)</f>
        <v>1738983</v>
      </c>
      <c r="F2209" s="2">
        <f>IFERROR(__xludf.DUMMYFUNCTION("""COMPUTED_VALUE"""),5047890.0)</f>
        <v>5047890</v>
      </c>
      <c r="G2209" s="2">
        <f>IFERROR(__xludf.DUMMYFUNCTION("""COMPUTED_VALUE"""),108.8089)</f>
        <v>108.8089</v>
      </c>
    </row>
    <row r="2210">
      <c r="A2210" s="1" t="s">
        <v>2209</v>
      </c>
      <c r="D2210" s="3">
        <f>IFERROR(__xludf.DUMMYFUNCTION("SPLIT(A2210, ""|"")"),43414.0)</f>
        <v>43414</v>
      </c>
      <c r="E2210" s="2">
        <f>IFERROR(__xludf.DUMMYFUNCTION("""COMPUTED_VALUE"""),1740243.0)</f>
        <v>1740243</v>
      </c>
      <c r="F2210" s="2">
        <f>IFERROR(__xludf.DUMMYFUNCTION("""COMPUTED_VALUE"""),5051352.0)</f>
        <v>5051352</v>
      </c>
      <c r="G2210" s="2">
        <f>IFERROR(__xludf.DUMMYFUNCTION("""COMPUTED_VALUE"""),64.7388)</f>
        <v>64.7388</v>
      </c>
    </row>
    <row r="2211">
      <c r="A2211" s="1" t="s">
        <v>2210</v>
      </c>
      <c r="D2211" s="3">
        <f>IFERROR(__xludf.DUMMYFUNCTION("SPLIT(A2211, ""|"")"),43414.0)</f>
        <v>43414</v>
      </c>
      <c r="E2211" s="2">
        <f>IFERROR(__xludf.DUMMYFUNCTION("""COMPUTED_VALUE"""),1740963.0)</f>
        <v>1740963</v>
      </c>
      <c r="F2211" s="2">
        <f>IFERROR(__xludf.DUMMYFUNCTION("""COMPUTED_VALUE"""),5049714.0)</f>
        <v>5049714</v>
      </c>
      <c r="G2211" s="2">
        <f>IFERROR(__xludf.DUMMYFUNCTION("""COMPUTED_VALUE"""),5.6881)</f>
        <v>5.6881</v>
      </c>
    </row>
    <row r="2212">
      <c r="A2212" s="1" t="s">
        <v>2211</v>
      </c>
      <c r="D2212" s="3">
        <f>IFERROR(__xludf.DUMMYFUNCTION("SPLIT(A2212, ""|"")"),43414.0)</f>
        <v>43414</v>
      </c>
      <c r="E2212" s="2">
        <f>IFERROR(__xludf.DUMMYFUNCTION("""COMPUTED_VALUE"""),1741833.0)</f>
        <v>1741833</v>
      </c>
      <c r="F2212" s="2">
        <f>IFERROR(__xludf.DUMMYFUNCTION("""COMPUTED_VALUE"""),5052600.0)</f>
        <v>5052600</v>
      </c>
      <c r="G2212" s="2">
        <f>IFERROR(__xludf.DUMMYFUNCTION("""COMPUTED_VALUE"""),28.2)</f>
        <v>28.2</v>
      </c>
    </row>
    <row r="2213">
      <c r="A2213" s="1" t="s">
        <v>2212</v>
      </c>
      <c r="D2213" s="3">
        <f>IFERROR(__xludf.DUMMYFUNCTION("SPLIT(A2213, ""|"")"),43414.0)</f>
        <v>43414</v>
      </c>
      <c r="E2213" s="2">
        <f>IFERROR(__xludf.DUMMYFUNCTION("""COMPUTED_VALUE"""),1607913.0)</f>
        <v>1607913</v>
      </c>
      <c r="F2213" s="2">
        <f>IFERROR(__xludf.DUMMYFUNCTION("""COMPUTED_VALUE"""),5051721.0)</f>
        <v>5051721</v>
      </c>
      <c r="G2213" s="2">
        <f>IFERROR(__xludf.DUMMYFUNCTION("""COMPUTED_VALUE"""),216.6608)</f>
        <v>216.6608</v>
      </c>
    </row>
    <row r="2214">
      <c r="A2214" s="1" t="s">
        <v>2213</v>
      </c>
      <c r="D2214" s="3">
        <f>IFERROR(__xludf.DUMMYFUNCTION("SPLIT(A2214, ""|"")"),43414.0)</f>
        <v>43414</v>
      </c>
      <c r="E2214" s="2">
        <f>IFERROR(__xludf.DUMMYFUNCTION("""COMPUTED_VALUE"""),1740453.0)</f>
        <v>1740453</v>
      </c>
      <c r="F2214" s="2">
        <f>IFERROR(__xludf.DUMMYFUNCTION("""COMPUTED_VALUE"""),5048148.0)</f>
        <v>5048148</v>
      </c>
      <c r="G2214" s="2">
        <f>IFERROR(__xludf.DUMMYFUNCTION("""COMPUTED_VALUE"""),85.8334)</f>
        <v>85.8334</v>
      </c>
    </row>
    <row r="2215">
      <c r="A2215" s="1" t="s">
        <v>2214</v>
      </c>
      <c r="D2215" s="3">
        <f>IFERROR(__xludf.DUMMYFUNCTION("SPLIT(A2215, ""|"")"),43414.0)</f>
        <v>43414</v>
      </c>
      <c r="E2215" s="2">
        <f>IFERROR(__xludf.DUMMYFUNCTION("""COMPUTED_VALUE"""),1138083.0)</f>
        <v>1138083</v>
      </c>
      <c r="F2215" s="2">
        <f>IFERROR(__xludf.DUMMYFUNCTION("""COMPUTED_VALUE"""),5052156.0)</f>
        <v>5052156</v>
      </c>
      <c r="G2215" s="2">
        <f>IFERROR(__xludf.DUMMYFUNCTION("""COMPUTED_VALUE"""),149.9933)</f>
        <v>149.9933</v>
      </c>
    </row>
    <row r="2216">
      <c r="A2216" s="1" t="s">
        <v>2215</v>
      </c>
      <c r="D2216" s="3">
        <f>IFERROR(__xludf.DUMMYFUNCTION("SPLIT(A2216, ""|"")"),43159.0)</f>
        <v>43159</v>
      </c>
      <c r="E2216" s="2">
        <f>IFERROR(__xludf.DUMMYFUNCTION("""COMPUTED_VALUE"""),1478823.0)</f>
        <v>1478823</v>
      </c>
      <c r="F2216" s="2">
        <f>IFERROR(__xludf.DUMMYFUNCTION("""COMPUTED_VALUE"""),4253760.0)</f>
        <v>4253760</v>
      </c>
      <c r="G2216" s="2">
        <f>IFERROR(__xludf.DUMMYFUNCTION("""COMPUTED_VALUE"""),69.7266)</f>
        <v>69.7266</v>
      </c>
    </row>
    <row r="2217">
      <c r="A2217" s="1" t="s">
        <v>2216</v>
      </c>
      <c r="D2217" s="3">
        <f>IFERROR(__xludf.DUMMYFUNCTION("SPLIT(A2217, ""|"")"),43159.0)</f>
        <v>43159</v>
      </c>
      <c r="E2217" s="2">
        <f>IFERROR(__xludf.DUMMYFUNCTION("""COMPUTED_VALUE"""),1339833.0)</f>
        <v>1339833</v>
      </c>
      <c r="F2217" s="2">
        <f>IFERROR(__xludf.DUMMYFUNCTION("""COMPUTED_VALUE"""),4255698.0)</f>
        <v>4255698</v>
      </c>
      <c r="G2217" s="2">
        <f>IFERROR(__xludf.DUMMYFUNCTION("""COMPUTED_VALUE"""),44.8109999999999)</f>
        <v>44.811</v>
      </c>
    </row>
    <row r="2218">
      <c r="A2218" s="1" t="s">
        <v>2217</v>
      </c>
      <c r="D2218" s="3">
        <f>IFERROR(__xludf.DUMMYFUNCTION("SPLIT(A2218, ""|"")"),43159.0)</f>
        <v>43159</v>
      </c>
      <c r="E2218" s="2">
        <f>IFERROR(__xludf.DUMMYFUNCTION("""COMPUTED_VALUE"""),473733.0)</f>
        <v>473733</v>
      </c>
      <c r="F2218" s="2">
        <f>IFERROR(__xludf.DUMMYFUNCTION("""COMPUTED_VALUE"""),4254211.0)</f>
        <v>4254211</v>
      </c>
      <c r="G2218" s="2">
        <f>IFERROR(__xludf.DUMMYFUNCTION("""COMPUTED_VALUE"""),29.04)</f>
        <v>29.04</v>
      </c>
    </row>
    <row r="2219">
      <c r="A2219" s="1" t="s">
        <v>2218</v>
      </c>
      <c r="D2219" s="3">
        <f>IFERROR(__xludf.DUMMYFUNCTION("SPLIT(A2219, ""|"")"),43159.0)</f>
        <v>43159</v>
      </c>
      <c r="E2219" s="2">
        <f>IFERROR(__xludf.DUMMYFUNCTION("""COMPUTED_VALUE"""),1405383.0)</f>
        <v>1405383</v>
      </c>
      <c r="F2219" s="2">
        <f>IFERROR(__xludf.DUMMYFUNCTION("""COMPUTED_VALUE"""),4253765.0)</f>
        <v>4253765</v>
      </c>
      <c r="G2219" s="2">
        <f>IFERROR(__xludf.DUMMYFUNCTION("""COMPUTED_VALUE"""),111.9592)</f>
        <v>111.9592</v>
      </c>
    </row>
    <row r="2220">
      <c r="A2220" s="1" t="s">
        <v>2219</v>
      </c>
      <c r="D2220" s="3">
        <f>IFERROR(__xludf.DUMMYFUNCTION("SPLIT(A2220, ""|"")"),43159.0)</f>
        <v>43159</v>
      </c>
      <c r="E2220" s="2">
        <f>IFERROR(__xludf.DUMMYFUNCTION("""COMPUTED_VALUE"""),359103.0)</f>
        <v>359103</v>
      </c>
      <c r="F2220" s="2">
        <f>IFERROR(__xludf.DUMMYFUNCTION("""COMPUTED_VALUE"""),4253645.0)</f>
        <v>4253645</v>
      </c>
      <c r="G2220" s="2">
        <f>IFERROR(__xludf.DUMMYFUNCTION("""COMPUTED_VALUE"""),2.75)</f>
        <v>2.75</v>
      </c>
    </row>
    <row r="2221">
      <c r="A2221" s="1" t="s">
        <v>2220</v>
      </c>
      <c r="D2221" s="3">
        <f>IFERROR(__xludf.DUMMYFUNCTION("SPLIT(A2221, ""|"")"),43159.0)</f>
        <v>43159</v>
      </c>
      <c r="E2221" s="2">
        <f>IFERROR(__xludf.DUMMYFUNCTION("""COMPUTED_VALUE"""),1335123.0)</f>
        <v>1335123</v>
      </c>
      <c r="F2221" s="2">
        <f>IFERROR(__xludf.DUMMYFUNCTION("""COMPUTED_VALUE"""),4254075.0)</f>
        <v>4254075</v>
      </c>
      <c r="G2221" s="2">
        <f>IFERROR(__xludf.DUMMYFUNCTION("""COMPUTED_VALUE"""),87.7316999999999)</f>
        <v>87.7317</v>
      </c>
    </row>
    <row r="2222">
      <c r="A2222" s="1" t="s">
        <v>2221</v>
      </c>
      <c r="D2222" s="3">
        <f>IFERROR(__xludf.DUMMYFUNCTION("SPLIT(A2222, ""|"")"),43159.0)</f>
        <v>43159</v>
      </c>
      <c r="E2222" s="2">
        <f>IFERROR(__xludf.DUMMYFUNCTION("""COMPUTED_VALUE"""),1058073.0)</f>
        <v>1058073</v>
      </c>
      <c r="F2222" s="2">
        <f>IFERROR(__xludf.DUMMYFUNCTION("""COMPUTED_VALUE"""),4253943.0)</f>
        <v>4253943</v>
      </c>
      <c r="G2222" s="2">
        <f>IFERROR(__xludf.DUMMYFUNCTION("""COMPUTED_VALUE"""),96.4122)</f>
        <v>96.4122</v>
      </c>
    </row>
    <row r="2223">
      <c r="A2223" s="1" t="s">
        <v>2222</v>
      </c>
      <c r="D2223" s="3">
        <f>IFERROR(__xludf.DUMMYFUNCTION("SPLIT(A2223, ""|"")"),43415.0)</f>
        <v>43415</v>
      </c>
      <c r="E2223" s="2">
        <f>IFERROR(__xludf.DUMMYFUNCTION("""COMPUTED_VALUE"""),1744533.0)</f>
        <v>1744533</v>
      </c>
      <c r="F2223" s="2">
        <f>IFERROR(__xludf.DUMMYFUNCTION("""COMPUTED_VALUE"""),5061690.0)</f>
        <v>5061690</v>
      </c>
      <c r="G2223" s="2">
        <f>IFERROR(__xludf.DUMMYFUNCTION("""COMPUTED_VALUE"""),12.6792)</f>
        <v>12.6792</v>
      </c>
    </row>
    <row r="2224">
      <c r="A2224" s="1" t="s">
        <v>2223</v>
      </c>
      <c r="D2224" s="3">
        <f>IFERROR(__xludf.DUMMYFUNCTION("SPLIT(A2224, ""|"")"),43415.0)</f>
        <v>43415</v>
      </c>
      <c r="E2224" s="2">
        <f>IFERROR(__xludf.DUMMYFUNCTION("""COMPUTED_VALUE"""),1496013.0)</f>
        <v>1496013</v>
      </c>
      <c r="F2224" s="2">
        <f>IFERROR(__xludf.DUMMYFUNCTION("""COMPUTED_VALUE"""),5055957.0)</f>
        <v>5055957</v>
      </c>
      <c r="G2224" s="2">
        <f>IFERROR(__xludf.DUMMYFUNCTION("""COMPUTED_VALUE"""),169.729599999999)</f>
        <v>169.7296</v>
      </c>
    </row>
    <row r="2225">
      <c r="A2225" s="1" t="s">
        <v>2224</v>
      </c>
      <c r="D2225" s="3">
        <f>IFERROR(__xludf.DUMMYFUNCTION("SPLIT(A2225, ""|"")"),43415.0)</f>
        <v>43415</v>
      </c>
      <c r="E2225" s="2">
        <f>IFERROR(__xludf.DUMMYFUNCTION("""COMPUTED_VALUE"""),1744983.0)</f>
        <v>1744983</v>
      </c>
      <c r="F2225" s="2">
        <f>IFERROR(__xludf.DUMMYFUNCTION("""COMPUTED_VALUE"""),5063154.0)</f>
        <v>5063154</v>
      </c>
      <c r="G2225" s="2">
        <f>IFERROR(__xludf.DUMMYFUNCTION("""COMPUTED_VALUE"""),28.2084)</f>
        <v>28.2084</v>
      </c>
    </row>
    <row r="2226">
      <c r="A2226" s="1" t="s">
        <v>2225</v>
      </c>
      <c r="D2226" s="3">
        <f>IFERROR(__xludf.DUMMYFUNCTION("SPLIT(A2226, ""|"")"),43415.0)</f>
        <v>43415</v>
      </c>
      <c r="E2226" s="2">
        <f>IFERROR(__xludf.DUMMYFUNCTION("""COMPUTED_VALUE"""),1073343.0)</f>
        <v>1073343</v>
      </c>
      <c r="F2226" s="2">
        <f>IFERROR(__xludf.DUMMYFUNCTION("""COMPUTED_VALUE"""),5064483.0)</f>
        <v>5064483</v>
      </c>
      <c r="G2226" s="2">
        <f>IFERROR(__xludf.DUMMYFUNCTION("""COMPUTED_VALUE"""),29.2499999999999)</f>
        <v>29.25</v>
      </c>
    </row>
    <row r="2227">
      <c r="A2227" s="1" t="s">
        <v>2226</v>
      </c>
      <c r="D2227" s="3">
        <f>IFERROR(__xludf.DUMMYFUNCTION("SPLIT(A2227, ""|"")"),43415.0)</f>
        <v>43415</v>
      </c>
      <c r="E2227" s="2">
        <f>IFERROR(__xludf.DUMMYFUNCTION("""COMPUTED_VALUE"""),359853.0)</f>
        <v>359853</v>
      </c>
      <c r="F2227" s="2">
        <f>IFERROR(__xludf.DUMMYFUNCTION("""COMPUTED_VALUE"""),5066556.0)</f>
        <v>5066556</v>
      </c>
      <c r="G2227" s="2">
        <f>IFERROR(__xludf.DUMMYFUNCTION("""COMPUTED_VALUE"""),203.3333)</f>
        <v>203.3333</v>
      </c>
    </row>
    <row r="2228">
      <c r="A2228" s="1" t="s">
        <v>2227</v>
      </c>
      <c r="D2228" s="3">
        <f>IFERROR(__xludf.DUMMYFUNCTION("SPLIT(A2228, ""|"")"),43415.0)</f>
        <v>43415</v>
      </c>
      <c r="E2228" s="2">
        <f>IFERROR(__xludf.DUMMYFUNCTION("""COMPUTED_VALUE"""),1151013.0)</f>
        <v>1151013</v>
      </c>
      <c r="F2228" s="2">
        <f>IFERROR(__xludf.DUMMYFUNCTION("""COMPUTED_VALUE"""),5056890.0)</f>
        <v>5056890</v>
      </c>
      <c r="G2228" s="2">
        <f>IFERROR(__xludf.DUMMYFUNCTION("""COMPUTED_VALUE"""),133.0804)</f>
        <v>133.0804</v>
      </c>
    </row>
    <row r="2229">
      <c r="A2229" s="1" t="s">
        <v>2228</v>
      </c>
      <c r="D2229" s="3">
        <f>IFERROR(__xludf.DUMMYFUNCTION("SPLIT(A2229, ""|"")"),43415.0)</f>
        <v>43415</v>
      </c>
      <c r="E2229" s="2">
        <f>IFERROR(__xludf.DUMMYFUNCTION("""COMPUTED_VALUE"""),1745733.0)</f>
        <v>1745733</v>
      </c>
      <c r="F2229" s="2">
        <f>IFERROR(__xludf.DUMMYFUNCTION("""COMPUTED_VALUE"""),5065905.0)</f>
        <v>5065905</v>
      </c>
      <c r="G2229" s="2">
        <f>IFERROR(__xludf.DUMMYFUNCTION("""COMPUTED_VALUE"""),52.8938)</f>
        <v>52.8938</v>
      </c>
    </row>
    <row r="2230">
      <c r="A2230" s="1" t="s">
        <v>2229</v>
      </c>
      <c r="D2230" s="3">
        <f>IFERROR(__xludf.DUMMYFUNCTION("SPLIT(A2230, ""|"")"),43415.0)</f>
        <v>43415</v>
      </c>
      <c r="E2230" s="2">
        <f>IFERROR(__xludf.DUMMYFUNCTION("""COMPUTED_VALUE"""),1741923.0)</f>
        <v>1741923</v>
      </c>
      <c r="F2230" s="2">
        <f>IFERROR(__xludf.DUMMYFUNCTION("""COMPUTED_VALUE"""),5055984.0)</f>
        <v>5055984</v>
      </c>
      <c r="G2230" s="2">
        <f>IFERROR(__xludf.DUMMYFUNCTION("""COMPUTED_VALUE"""),31.8679)</f>
        <v>31.8679</v>
      </c>
    </row>
    <row r="2231">
      <c r="A2231" s="1" t="s">
        <v>2230</v>
      </c>
      <c r="D2231" s="3">
        <f>IFERROR(__xludf.DUMMYFUNCTION("SPLIT(A2231, ""|"")"),43415.0)</f>
        <v>43415</v>
      </c>
      <c r="E2231" s="2">
        <f>IFERROR(__xludf.DUMMYFUNCTION("""COMPUTED_VALUE"""),1625403.0)</f>
        <v>1625403</v>
      </c>
      <c r="F2231" s="2">
        <f>IFERROR(__xludf.DUMMYFUNCTION("""COMPUTED_VALUE"""),5056821.0)</f>
        <v>5056821</v>
      </c>
      <c r="G2231" s="2">
        <f>IFERROR(__xludf.DUMMYFUNCTION("""COMPUTED_VALUE"""),38.7392)</f>
        <v>38.7392</v>
      </c>
    </row>
    <row r="2232">
      <c r="A2232" s="1" t="s">
        <v>2231</v>
      </c>
      <c r="D2232" s="3">
        <f>IFERROR(__xludf.DUMMYFUNCTION("SPLIT(A2232, ""|"")"),43415.0)</f>
        <v>43415</v>
      </c>
      <c r="E2232" s="2">
        <f>IFERROR(__xludf.DUMMYFUNCTION("""COMPUTED_VALUE"""),228423.0)</f>
        <v>228423</v>
      </c>
      <c r="F2232" s="2">
        <f>IFERROR(__xludf.DUMMYFUNCTION("""COMPUTED_VALUE"""),5063478.0)</f>
        <v>5063478</v>
      </c>
      <c r="G2232" s="2">
        <f>IFERROR(__xludf.DUMMYFUNCTION("""COMPUTED_VALUE"""),216.0071)</f>
        <v>216.0071</v>
      </c>
    </row>
    <row r="2233">
      <c r="A2233" s="1" t="s">
        <v>2232</v>
      </c>
      <c r="D2233" s="3">
        <f>IFERROR(__xludf.DUMMYFUNCTION("SPLIT(A2233, ""|"")"),43415.0)</f>
        <v>43415</v>
      </c>
      <c r="E2233" s="2">
        <f>IFERROR(__xludf.DUMMYFUNCTION("""COMPUTED_VALUE"""),1745193.0)</f>
        <v>1745193</v>
      </c>
      <c r="F2233" s="2">
        <f>IFERROR(__xludf.DUMMYFUNCTION("""COMPUTED_VALUE"""),5064225.0)</f>
        <v>5064225</v>
      </c>
      <c r="G2233" s="2">
        <f>IFERROR(__xludf.DUMMYFUNCTION("""COMPUTED_VALUE"""),39.626)</f>
        <v>39.626</v>
      </c>
    </row>
    <row r="2234">
      <c r="A2234" s="1" t="s">
        <v>2233</v>
      </c>
      <c r="D2234" s="3">
        <f>IFERROR(__xludf.DUMMYFUNCTION("SPLIT(A2234, ""|"")"),43415.0)</f>
        <v>43415</v>
      </c>
      <c r="E2234" s="2">
        <f>IFERROR(__xludf.DUMMYFUNCTION("""COMPUTED_VALUE"""),1743963.0)</f>
        <v>1743963</v>
      </c>
      <c r="F2234" s="2">
        <f>IFERROR(__xludf.DUMMYFUNCTION("""COMPUTED_VALUE"""),5059869.0)</f>
        <v>5059869</v>
      </c>
      <c r="G2234" s="2">
        <f>IFERROR(__xludf.DUMMYFUNCTION("""COMPUTED_VALUE"""),20.186)</f>
        <v>20.186</v>
      </c>
    </row>
    <row r="2235">
      <c r="A2235" s="1" t="s">
        <v>2234</v>
      </c>
      <c r="D2235" s="3">
        <f>IFERROR(__xludf.DUMMYFUNCTION("SPLIT(A2235, ""|"")"),43415.0)</f>
        <v>43415</v>
      </c>
      <c r="E2235" s="2">
        <f>IFERROR(__xludf.DUMMYFUNCTION("""COMPUTED_VALUE"""),1744563.0)</f>
        <v>1744563</v>
      </c>
      <c r="F2235" s="2">
        <f>IFERROR(__xludf.DUMMYFUNCTION("""COMPUTED_VALUE"""),5066946.0)</f>
        <v>5066946</v>
      </c>
      <c r="G2235" s="2">
        <f>IFERROR(__xludf.DUMMYFUNCTION("""COMPUTED_VALUE"""),70.1958)</f>
        <v>70.1958</v>
      </c>
    </row>
    <row r="2236">
      <c r="A2236" s="1" t="s">
        <v>2235</v>
      </c>
      <c r="D2236" s="3">
        <f>IFERROR(__xludf.DUMMYFUNCTION("SPLIT(A2236, ""|"")"),43415.0)</f>
        <v>43415</v>
      </c>
      <c r="E2236" s="2">
        <f>IFERROR(__xludf.DUMMYFUNCTION("""COMPUTED_VALUE"""),1745163.0)</f>
        <v>1745163</v>
      </c>
      <c r="F2236" s="2">
        <f>IFERROR(__xludf.DUMMYFUNCTION("""COMPUTED_VALUE"""),5063793.0)</f>
        <v>5063793</v>
      </c>
      <c r="G2236" s="2">
        <f>IFERROR(__xludf.DUMMYFUNCTION("""COMPUTED_VALUE"""),19.485)</f>
        <v>19.485</v>
      </c>
    </row>
    <row r="2237">
      <c r="A2237" s="1" t="s">
        <v>2236</v>
      </c>
      <c r="D2237" s="3">
        <f>IFERROR(__xludf.DUMMYFUNCTION("SPLIT(A2237, ""|"")"),43415.0)</f>
        <v>43415</v>
      </c>
      <c r="E2237" s="2">
        <f>IFERROR(__xludf.DUMMYFUNCTION("""COMPUTED_VALUE"""),1743453.0)</f>
        <v>1743453</v>
      </c>
      <c r="F2237" s="2">
        <f>IFERROR(__xludf.DUMMYFUNCTION("""COMPUTED_VALUE"""),5058084.0)</f>
        <v>5058084</v>
      </c>
      <c r="G2237" s="2">
        <f>IFERROR(__xludf.DUMMYFUNCTION("""COMPUTED_VALUE"""),28.9834)</f>
        <v>28.9834</v>
      </c>
    </row>
    <row r="2238">
      <c r="A2238" s="1" t="s">
        <v>2237</v>
      </c>
      <c r="D2238" s="3">
        <f>IFERROR(__xludf.DUMMYFUNCTION("SPLIT(A2238, ""|"")"),43415.0)</f>
        <v>43415</v>
      </c>
      <c r="E2238" s="2">
        <f>IFERROR(__xludf.DUMMYFUNCTION("""COMPUTED_VALUE"""),423153.0)</f>
        <v>423153</v>
      </c>
      <c r="F2238" s="2">
        <f>IFERROR(__xludf.DUMMYFUNCTION("""COMPUTED_VALUE"""),5057751.0)</f>
        <v>5057751</v>
      </c>
      <c r="G2238" s="2">
        <f>IFERROR(__xludf.DUMMYFUNCTION("""COMPUTED_VALUE"""),152.2211)</f>
        <v>152.2211</v>
      </c>
    </row>
    <row r="2239">
      <c r="A2239" s="1" t="s">
        <v>2238</v>
      </c>
      <c r="D2239" s="3">
        <f>IFERROR(__xludf.DUMMYFUNCTION("SPLIT(A2239, ""|"")"),43415.0)</f>
        <v>43415</v>
      </c>
      <c r="E2239" s="2">
        <f>IFERROR(__xludf.DUMMYFUNCTION("""COMPUTED_VALUE"""),1744893.0)</f>
        <v>1744893</v>
      </c>
      <c r="F2239" s="2">
        <f>IFERROR(__xludf.DUMMYFUNCTION("""COMPUTED_VALUE"""),5062782.0)</f>
        <v>5062782</v>
      </c>
      <c r="G2239" s="2">
        <f>IFERROR(__xludf.DUMMYFUNCTION("""COMPUTED_VALUE"""),118.653999999999)</f>
        <v>118.654</v>
      </c>
    </row>
    <row r="2240">
      <c r="A2240" s="1" t="s">
        <v>2239</v>
      </c>
      <c r="D2240" s="3">
        <f>IFERROR(__xludf.DUMMYFUNCTION("SPLIT(A2240, ""|"")"),43415.0)</f>
        <v>43415</v>
      </c>
      <c r="E2240" s="2">
        <f>IFERROR(__xludf.DUMMYFUNCTION("""COMPUTED_VALUE"""),1744383.0)</f>
        <v>1744383</v>
      </c>
      <c r="F2240" s="2">
        <f>IFERROR(__xludf.DUMMYFUNCTION("""COMPUTED_VALUE"""),5061162.0)</f>
        <v>5061162</v>
      </c>
      <c r="G2240" s="2">
        <f>IFERROR(__xludf.DUMMYFUNCTION("""COMPUTED_VALUE"""),19.7499)</f>
        <v>19.7499</v>
      </c>
    </row>
    <row r="2241">
      <c r="A2241" s="1" t="s">
        <v>2240</v>
      </c>
      <c r="D2241" s="3">
        <f>IFERROR(__xludf.DUMMYFUNCTION("SPLIT(A2241, ""|"")"),43415.0)</f>
        <v>43415</v>
      </c>
      <c r="E2241" s="2">
        <f>IFERROR(__xludf.DUMMYFUNCTION("""COMPUTED_VALUE"""),1741863.0)</f>
        <v>1741863</v>
      </c>
      <c r="F2241" s="2">
        <f>IFERROR(__xludf.DUMMYFUNCTION("""COMPUTED_VALUE"""),5055894.0)</f>
        <v>5055894</v>
      </c>
      <c r="G2241" s="2">
        <f>IFERROR(__xludf.DUMMYFUNCTION("""COMPUTED_VALUE"""),11.925)</f>
        <v>11.925</v>
      </c>
    </row>
    <row r="2242">
      <c r="A2242" s="1" t="s">
        <v>2241</v>
      </c>
      <c r="D2242" s="3">
        <f>IFERROR(__xludf.DUMMYFUNCTION("SPLIT(A2242, ""|"")"),43415.0)</f>
        <v>43415</v>
      </c>
      <c r="E2242" s="2">
        <f>IFERROR(__xludf.DUMMYFUNCTION("""COMPUTED_VALUE"""),1746063.0)</f>
        <v>1746063</v>
      </c>
      <c r="F2242" s="2">
        <f>IFERROR(__xludf.DUMMYFUNCTION("""COMPUTED_VALUE"""),5067201.0)</f>
        <v>5067201</v>
      </c>
      <c r="G2242" s="2">
        <f>IFERROR(__xludf.DUMMYFUNCTION("""COMPUTED_VALUE"""),53.7346)</f>
        <v>53.7346</v>
      </c>
    </row>
    <row r="2243">
      <c r="A2243" s="1" t="s">
        <v>2242</v>
      </c>
      <c r="D2243" s="3">
        <f>IFERROR(__xludf.DUMMYFUNCTION("SPLIT(A2243, ""|"")"),43415.0)</f>
        <v>43415</v>
      </c>
      <c r="E2243" s="2">
        <f>IFERROR(__xludf.DUMMYFUNCTION("""COMPUTED_VALUE"""),1455903.0)</f>
        <v>1455903</v>
      </c>
      <c r="F2243" s="2">
        <f>IFERROR(__xludf.DUMMYFUNCTION("""COMPUTED_VALUE"""),5061933.0)</f>
        <v>5061933</v>
      </c>
      <c r="G2243" s="2">
        <f>IFERROR(__xludf.DUMMYFUNCTION("""COMPUTED_VALUE"""),74.9951)</f>
        <v>74.9951</v>
      </c>
    </row>
    <row r="2244">
      <c r="A2244" s="1" t="s">
        <v>2243</v>
      </c>
      <c r="D2244" s="3">
        <f>IFERROR(__xludf.DUMMYFUNCTION("SPLIT(A2244, ""|"")"),43160.0)</f>
        <v>43160</v>
      </c>
      <c r="E2244" s="2">
        <f>IFERROR(__xludf.DUMMYFUNCTION("""COMPUTED_VALUE"""),63963.0)</f>
        <v>63963</v>
      </c>
      <c r="F2244" s="2">
        <f>IFERROR(__xludf.DUMMYFUNCTION("""COMPUTED_VALUE"""),4258897.0)</f>
        <v>4258897</v>
      </c>
      <c r="G2244" s="2">
        <f>IFERROR(__xludf.DUMMYFUNCTION("""COMPUTED_VALUE"""),38.9617)</f>
        <v>38.9617</v>
      </c>
    </row>
    <row r="2245">
      <c r="A2245" s="1" t="s">
        <v>2244</v>
      </c>
      <c r="D2245" s="3">
        <f>IFERROR(__xludf.DUMMYFUNCTION("SPLIT(A2245, ""|"")"),43160.0)</f>
        <v>43160</v>
      </c>
      <c r="E2245" s="2">
        <f>IFERROR(__xludf.DUMMYFUNCTION("""COMPUTED_VALUE"""),91623.0)</f>
        <v>91623</v>
      </c>
      <c r="F2245" s="2">
        <f>IFERROR(__xludf.DUMMYFUNCTION("""COMPUTED_VALUE"""),4256827.0)</f>
        <v>4256827</v>
      </c>
      <c r="G2245" s="2">
        <f>IFERROR(__xludf.DUMMYFUNCTION("""COMPUTED_VALUE"""),37.5816)</f>
        <v>37.5816</v>
      </c>
    </row>
    <row r="2246">
      <c r="A2246" s="1" t="s">
        <v>2245</v>
      </c>
      <c r="D2246" s="3">
        <f>IFERROR(__xludf.DUMMYFUNCTION("SPLIT(A2246, ""|"")"),43160.0)</f>
        <v>43160</v>
      </c>
      <c r="E2246" s="2">
        <f>IFERROR(__xludf.DUMMYFUNCTION("""COMPUTED_VALUE"""),1539003.0)</f>
        <v>1539003</v>
      </c>
      <c r="F2246" s="2">
        <f>IFERROR(__xludf.DUMMYFUNCTION("""COMPUTED_VALUE"""),4259936.0)</f>
        <v>4259936</v>
      </c>
      <c r="G2246" s="2">
        <f>IFERROR(__xludf.DUMMYFUNCTION("""COMPUTED_VALUE"""),51.51)</f>
        <v>51.51</v>
      </c>
    </row>
    <row r="2247">
      <c r="A2247" s="1" t="s">
        <v>2246</v>
      </c>
      <c r="D2247" s="3">
        <f>IFERROR(__xludf.DUMMYFUNCTION("SPLIT(A2247, ""|"")"),43160.0)</f>
        <v>43160</v>
      </c>
      <c r="E2247" s="2">
        <f>IFERROR(__xludf.DUMMYFUNCTION("""COMPUTED_VALUE"""),477483.0)</f>
        <v>477483</v>
      </c>
      <c r="F2247" s="2">
        <f>IFERROR(__xludf.DUMMYFUNCTION("""COMPUTED_VALUE"""),4257682.0)</f>
        <v>4257682</v>
      </c>
      <c r="G2247" s="2">
        <f>IFERROR(__xludf.DUMMYFUNCTION("""COMPUTED_VALUE"""),69.0351999999999)</f>
        <v>69.0352</v>
      </c>
    </row>
    <row r="2248">
      <c r="A2248" s="1" t="s">
        <v>2247</v>
      </c>
      <c r="D2248" s="3">
        <f>IFERROR(__xludf.DUMMYFUNCTION("SPLIT(A2248, ""|"")"),43160.0)</f>
        <v>43160</v>
      </c>
      <c r="E2248" s="2">
        <f>IFERROR(__xludf.DUMMYFUNCTION("""COMPUTED_VALUE"""),1538223.0)</f>
        <v>1538223</v>
      </c>
      <c r="F2248" s="2">
        <f>IFERROR(__xludf.DUMMYFUNCTION("""COMPUTED_VALUE"""),4256777.0)</f>
        <v>4256777</v>
      </c>
      <c r="G2248" s="2">
        <f>IFERROR(__xludf.DUMMYFUNCTION("""COMPUTED_VALUE"""),15.825)</f>
        <v>15.825</v>
      </c>
    </row>
    <row r="2249">
      <c r="A2249" s="1" t="s">
        <v>2248</v>
      </c>
      <c r="D2249" s="3">
        <f>IFERROR(__xludf.DUMMYFUNCTION("SPLIT(A2249, ""|"")"),43160.0)</f>
        <v>43160</v>
      </c>
      <c r="E2249" s="2">
        <f>IFERROR(__xludf.DUMMYFUNCTION("""COMPUTED_VALUE"""),1539063.0)</f>
        <v>1539063</v>
      </c>
      <c r="F2249" s="2">
        <f>IFERROR(__xludf.DUMMYFUNCTION("""COMPUTED_VALUE"""),4260154.0)</f>
        <v>4260154</v>
      </c>
      <c r="G2249" s="2">
        <f>IFERROR(__xludf.DUMMYFUNCTION("""COMPUTED_VALUE"""),12.276)</f>
        <v>12.276</v>
      </c>
    </row>
    <row r="2250">
      <c r="A2250" s="1" t="s">
        <v>2249</v>
      </c>
      <c r="D2250" s="3">
        <f>IFERROR(__xludf.DUMMYFUNCTION("SPLIT(A2250, ""|"")"),43416.0)</f>
        <v>43416</v>
      </c>
      <c r="E2250" s="2">
        <f>IFERROR(__xludf.DUMMYFUNCTION("""COMPUTED_VALUE"""),1748823.0)</f>
        <v>1748823</v>
      </c>
      <c r="F2250" s="2">
        <f>IFERROR(__xludf.DUMMYFUNCTION("""COMPUTED_VALUE"""),5077821.0)</f>
        <v>5077821</v>
      </c>
      <c r="G2250" s="2">
        <f>IFERROR(__xludf.DUMMYFUNCTION("""COMPUTED_VALUE"""),36.3786)</f>
        <v>36.3786</v>
      </c>
    </row>
    <row r="2251">
      <c r="A2251" s="1" t="s">
        <v>2250</v>
      </c>
      <c r="D2251" s="3">
        <f>IFERROR(__xludf.DUMMYFUNCTION("SPLIT(A2251, ""|"")"),43416.0)</f>
        <v>43416</v>
      </c>
      <c r="E2251" s="2">
        <f>IFERROR(__xludf.DUMMYFUNCTION("""COMPUTED_VALUE"""),1748163.0)</f>
        <v>1748163</v>
      </c>
      <c r="F2251" s="2">
        <f>IFERROR(__xludf.DUMMYFUNCTION("""COMPUTED_VALUE"""),5075238.0)</f>
        <v>5075238</v>
      </c>
      <c r="G2251" s="2">
        <f>IFERROR(__xludf.DUMMYFUNCTION("""COMPUTED_VALUE"""),40.4829)</f>
        <v>40.4829</v>
      </c>
    </row>
    <row r="2252">
      <c r="A2252" s="1" t="s">
        <v>2251</v>
      </c>
      <c r="D2252" s="3">
        <f>IFERROR(__xludf.DUMMYFUNCTION("SPLIT(A2252, ""|"")"),43416.0)</f>
        <v>43416</v>
      </c>
      <c r="E2252" s="2">
        <f>IFERROR(__xludf.DUMMYFUNCTION("""COMPUTED_VALUE"""),1748493.0)</f>
        <v>1748493</v>
      </c>
      <c r="F2252" s="2">
        <f>IFERROR(__xludf.DUMMYFUNCTION("""COMPUTED_VALUE"""),5076462.0)</f>
        <v>5076462</v>
      </c>
      <c r="G2252" s="2">
        <f>IFERROR(__xludf.DUMMYFUNCTION("""COMPUTED_VALUE"""),21.6083)</f>
        <v>21.6083</v>
      </c>
    </row>
    <row r="2253">
      <c r="A2253" s="1" t="s">
        <v>2252</v>
      </c>
      <c r="D2253" s="3">
        <f>IFERROR(__xludf.DUMMYFUNCTION("SPLIT(A2253, ""|"")"),43416.0)</f>
        <v>43416</v>
      </c>
      <c r="E2253" s="2">
        <f>IFERROR(__xludf.DUMMYFUNCTION("""COMPUTED_VALUE"""),996933.0)</f>
        <v>996933</v>
      </c>
      <c r="F2253" s="2">
        <f>IFERROR(__xludf.DUMMYFUNCTION("""COMPUTED_VALUE"""),5074290.0)</f>
        <v>5074290</v>
      </c>
      <c r="G2253" s="2">
        <f>IFERROR(__xludf.DUMMYFUNCTION("""COMPUTED_VALUE"""),252.419299999999)</f>
        <v>252.4193</v>
      </c>
    </row>
    <row r="2254">
      <c r="A2254" s="1" t="s">
        <v>2253</v>
      </c>
      <c r="D2254" s="3">
        <f>IFERROR(__xludf.DUMMYFUNCTION("SPLIT(A2254, ""|"")"),43416.0)</f>
        <v>43416</v>
      </c>
      <c r="E2254" s="2">
        <f>IFERROR(__xludf.DUMMYFUNCTION("""COMPUTED_VALUE"""),1533513.0)</f>
        <v>1533513</v>
      </c>
      <c r="F2254" s="2">
        <f>IFERROR(__xludf.DUMMYFUNCTION("""COMPUTED_VALUE"""),5069709.0)</f>
        <v>5069709</v>
      </c>
      <c r="G2254" s="2">
        <f>IFERROR(__xludf.DUMMYFUNCTION("""COMPUTED_VALUE"""),124.359599999999)</f>
        <v>124.3596</v>
      </c>
    </row>
    <row r="2255">
      <c r="A2255" s="1" t="s">
        <v>2254</v>
      </c>
      <c r="D2255" s="3">
        <f>IFERROR(__xludf.DUMMYFUNCTION("SPLIT(A2255, ""|"")"),43416.0)</f>
        <v>43416</v>
      </c>
      <c r="E2255" s="2">
        <f>IFERROR(__xludf.DUMMYFUNCTION("""COMPUTED_VALUE"""),1409553.0)</f>
        <v>1409553</v>
      </c>
      <c r="F2255" s="2">
        <f>IFERROR(__xludf.DUMMYFUNCTION("""COMPUTED_VALUE"""),5069094.0)</f>
        <v>5069094</v>
      </c>
      <c r="G2255" s="2">
        <f>IFERROR(__xludf.DUMMYFUNCTION("""COMPUTED_VALUE"""),95.8068999999999)</f>
        <v>95.8069</v>
      </c>
    </row>
    <row r="2256">
      <c r="A2256" s="1" t="s">
        <v>2255</v>
      </c>
      <c r="D2256" s="3">
        <f>IFERROR(__xludf.DUMMYFUNCTION("SPLIT(A2256, ""|"")"),43416.0)</f>
        <v>43416</v>
      </c>
      <c r="E2256" s="2">
        <f>IFERROR(__xludf.DUMMYFUNCTION("""COMPUTED_VALUE"""),1749123.0)</f>
        <v>1749123</v>
      </c>
      <c r="F2256" s="2">
        <f>IFERROR(__xludf.DUMMYFUNCTION("""COMPUTED_VALUE"""),5079285.0)</f>
        <v>5079285</v>
      </c>
      <c r="G2256" s="2">
        <f>IFERROR(__xludf.DUMMYFUNCTION("""COMPUTED_VALUE"""),24.9251999999999)</f>
        <v>24.9252</v>
      </c>
    </row>
    <row r="2257">
      <c r="A2257" s="1" t="s">
        <v>2256</v>
      </c>
      <c r="D2257" s="3">
        <f>IFERROR(__xludf.DUMMYFUNCTION("SPLIT(A2257, ""|"")"),43416.0)</f>
        <v>43416</v>
      </c>
      <c r="E2257" s="2">
        <f>IFERROR(__xludf.DUMMYFUNCTION("""COMPUTED_VALUE"""),1615683.0)</f>
        <v>1615683</v>
      </c>
      <c r="F2257" s="2">
        <f>IFERROR(__xludf.DUMMYFUNCTION("""COMPUTED_VALUE"""),5077995.0)</f>
        <v>5077995</v>
      </c>
      <c r="G2257" s="2">
        <f>IFERROR(__xludf.DUMMYFUNCTION("""COMPUTED_VALUE"""),20.8708)</f>
        <v>20.8708</v>
      </c>
    </row>
    <row r="2258">
      <c r="A2258" s="1" t="s">
        <v>2257</v>
      </c>
      <c r="D2258" s="3">
        <f>IFERROR(__xludf.DUMMYFUNCTION("SPLIT(A2258, ""|"")"),43416.0)</f>
        <v>43416</v>
      </c>
      <c r="E2258" s="2">
        <f>IFERROR(__xludf.DUMMYFUNCTION("""COMPUTED_VALUE"""),1588893.0)</f>
        <v>1588893</v>
      </c>
      <c r="F2258" s="2">
        <f>IFERROR(__xludf.DUMMYFUNCTION("""COMPUTED_VALUE"""),5073861.0)</f>
        <v>5073861</v>
      </c>
      <c r="G2258" s="2">
        <f>IFERROR(__xludf.DUMMYFUNCTION("""COMPUTED_VALUE"""),22.524)</f>
        <v>22.524</v>
      </c>
    </row>
    <row r="2259">
      <c r="A2259" s="1" t="s">
        <v>2258</v>
      </c>
      <c r="D2259" s="3">
        <f>IFERROR(__xludf.DUMMYFUNCTION("SPLIT(A2259, ""|"")"),43416.0)</f>
        <v>43416</v>
      </c>
      <c r="E2259" s="2">
        <f>IFERROR(__xludf.DUMMYFUNCTION("""COMPUTED_VALUE"""),146283.0)</f>
        <v>146283</v>
      </c>
      <c r="F2259" s="2">
        <f>IFERROR(__xludf.DUMMYFUNCTION("""COMPUTED_VALUE"""),5076405.0)</f>
        <v>5076405</v>
      </c>
      <c r="G2259" s="2">
        <f>IFERROR(__xludf.DUMMYFUNCTION("""COMPUTED_VALUE"""),120.0834)</f>
        <v>120.0834</v>
      </c>
    </row>
    <row r="2260">
      <c r="A2260" s="1" t="s">
        <v>2259</v>
      </c>
      <c r="D2260" s="3">
        <f>IFERROR(__xludf.DUMMYFUNCTION("SPLIT(A2260, ""|"")"),43416.0)</f>
        <v>43416</v>
      </c>
      <c r="E2260" s="2">
        <f>IFERROR(__xludf.DUMMYFUNCTION("""COMPUTED_VALUE"""),306303.0)</f>
        <v>306303</v>
      </c>
      <c r="F2260" s="2">
        <f>IFERROR(__xludf.DUMMYFUNCTION("""COMPUTED_VALUE"""),5077800.0)</f>
        <v>5077800</v>
      </c>
      <c r="G2260" s="2">
        <f>IFERROR(__xludf.DUMMYFUNCTION("""COMPUTED_VALUE"""),97.0921)</f>
        <v>97.0921</v>
      </c>
    </row>
    <row r="2261">
      <c r="A2261" s="1" t="s">
        <v>2260</v>
      </c>
      <c r="D2261" s="3">
        <f>IFERROR(__xludf.DUMMYFUNCTION("SPLIT(A2261, ""|"")"),43416.0)</f>
        <v>43416</v>
      </c>
      <c r="E2261" s="2">
        <f>IFERROR(__xludf.DUMMYFUNCTION("""COMPUTED_VALUE"""),77973.0)</f>
        <v>77973</v>
      </c>
      <c r="F2261" s="2">
        <f>IFERROR(__xludf.DUMMYFUNCTION("""COMPUTED_VALUE"""),5068383.0)</f>
        <v>5068383</v>
      </c>
      <c r="G2261" s="2">
        <f>IFERROR(__xludf.DUMMYFUNCTION("""COMPUTED_VALUE"""),15.7332)</f>
        <v>15.7332</v>
      </c>
    </row>
    <row r="2262">
      <c r="A2262" s="1" t="s">
        <v>2261</v>
      </c>
      <c r="D2262" s="3">
        <f>IFERROR(__xludf.DUMMYFUNCTION("SPLIT(A2262, ""|"")"),43416.0)</f>
        <v>43416</v>
      </c>
      <c r="E2262" s="2">
        <f>IFERROR(__xludf.DUMMYFUNCTION("""COMPUTED_VALUE"""),1236333.0)</f>
        <v>1236333</v>
      </c>
      <c r="F2262" s="2">
        <f>IFERROR(__xludf.DUMMYFUNCTION("""COMPUTED_VALUE"""),5076342.0)</f>
        <v>5076342</v>
      </c>
      <c r="G2262" s="2">
        <f>IFERROR(__xludf.DUMMYFUNCTION("""COMPUTED_VALUE"""),83.5784999999999)</f>
        <v>83.5785</v>
      </c>
    </row>
    <row r="2263">
      <c r="A2263" s="1" t="s">
        <v>2262</v>
      </c>
      <c r="D2263" s="3">
        <f>IFERROR(__xludf.DUMMYFUNCTION("SPLIT(A2263, ""|"")"),43416.0)</f>
        <v>43416</v>
      </c>
      <c r="E2263" s="2">
        <f>IFERROR(__xludf.DUMMYFUNCTION("""COMPUTED_VALUE"""),1736523.0)</f>
        <v>1736523</v>
      </c>
      <c r="F2263" s="2">
        <f>IFERROR(__xludf.DUMMYFUNCTION("""COMPUTED_VALUE"""),5069304.0)</f>
        <v>5069304</v>
      </c>
      <c r="G2263" s="2">
        <f>IFERROR(__xludf.DUMMYFUNCTION("""COMPUTED_VALUE"""),52.2549)</f>
        <v>52.2549</v>
      </c>
    </row>
    <row r="2264">
      <c r="A2264" s="1" t="s">
        <v>2263</v>
      </c>
      <c r="D2264" s="3">
        <f>IFERROR(__xludf.DUMMYFUNCTION("SPLIT(A2264, ""|"")"),43416.0)</f>
        <v>43416</v>
      </c>
      <c r="E2264" s="2">
        <f>IFERROR(__xludf.DUMMYFUNCTION("""COMPUTED_VALUE"""),1747713.0)</f>
        <v>1747713</v>
      </c>
      <c r="F2264" s="2">
        <f>IFERROR(__xludf.DUMMYFUNCTION("""COMPUTED_VALUE"""),5073891.0)</f>
        <v>5073891</v>
      </c>
      <c r="G2264" s="2">
        <f>IFERROR(__xludf.DUMMYFUNCTION("""COMPUTED_VALUE"""),29.5951)</f>
        <v>29.5951</v>
      </c>
    </row>
    <row r="2265">
      <c r="A2265" s="1" t="s">
        <v>2264</v>
      </c>
      <c r="D2265" s="3">
        <f>IFERROR(__xludf.DUMMYFUNCTION("SPLIT(A2265, ""|"")"),43161.0)</f>
        <v>43161</v>
      </c>
      <c r="E2265" s="2">
        <f>IFERROR(__xludf.DUMMYFUNCTION("""COMPUTED_VALUE"""),1296513.0)</f>
        <v>1296513</v>
      </c>
      <c r="F2265" s="2">
        <f>IFERROR(__xludf.DUMMYFUNCTION("""COMPUTED_VALUE"""),4260995.0)</f>
        <v>4260995</v>
      </c>
      <c r="G2265" s="2">
        <f>IFERROR(__xludf.DUMMYFUNCTION("""COMPUTED_VALUE"""),45.003)</f>
        <v>45.003</v>
      </c>
    </row>
    <row r="2266">
      <c r="A2266" s="1" t="s">
        <v>2265</v>
      </c>
      <c r="D2266" s="3">
        <f>IFERROR(__xludf.DUMMYFUNCTION("SPLIT(A2266, ""|"")"),43161.0)</f>
        <v>43161</v>
      </c>
      <c r="E2266" s="2">
        <f>IFERROR(__xludf.DUMMYFUNCTION("""COMPUTED_VALUE"""),1327233.0)</f>
        <v>1327233</v>
      </c>
      <c r="F2266" s="2">
        <f>IFERROR(__xludf.DUMMYFUNCTION("""COMPUTED_VALUE"""),4260861.0)</f>
        <v>4260861</v>
      </c>
      <c r="G2266" s="2">
        <f>IFERROR(__xludf.DUMMYFUNCTION("""COMPUTED_VALUE"""),41.962)</f>
        <v>41.962</v>
      </c>
    </row>
    <row r="2267">
      <c r="A2267" s="1" t="s">
        <v>2266</v>
      </c>
      <c r="D2267" s="3">
        <f>IFERROR(__xludf.DUMMYFUNCTION("SPLIT(A2267, ""|"")"),43161.0)</f>
        <v>43161</v>
      </c>
      <c r="E2267" s="2">
        <f>IFERROR(__xludf.DUMMYFUNCTION("""COMPUTED_VALUE"""),1188093.0)</f>
        <v>1188093</v>
      </c>
      <c r="F2267" s="2">
        <f>IFERROR(__xludf.DUMMYFUNCTION("""COMPUTED_VALUE"""),4262623.0)</f>
        <v>4262623</v>
      </c>
      <c r="G2267" s="2">
        <f>IFERROR(__xludf.DUMMYFUNCTION("""COMPUTED_VALUE"""),36.0433)</f>
        <v>36.0433</v>
      </c>
    </row>
    <row r="2268">
      <c r="A2268" s="1" t="s">
        <v>2267</v>
      </c>
      <c r="D2268" s="3">
        <f>IFERROR(__xludf.DUMMYFUNCTION("SPLIT(A2268, ""|"")"),43161.0)</f>
        <v>43161</v>
      </c>
      <c r="E2268" s="2">
        <f>IFERROR(__xludf.DUMMYFUNCTION("""COMPUTED_VALUE"""),1539153.0)</f>
        <v>1539153</v>
      </c>
      <c r="F2268" s="2">
        <f>IFERROR(__xludf.DUMMYFUNCTION("""COMPUTED_VALUE"""),4260471.0)</f>
        <v>4260471</v>
      </c>
      <c r="G2268" s="2">
        <f>IFERROR(__xludf.DUMMYFUNCTION("""COMPUTED_VALUE"""),14.8096)</f>
        <v>14.8096</v>
      </c>
    </row>
    <row r="2269">
      <c r="A2269" s="1" t="s">
        <v>2268</v>
      </c>
      <c r="D2269" s="3">
        <f>IFERROR(__xludf.DUMMYFUNCTION("SPLIT(A2269, ""|"")"),43161.0)</f>
        <v>43161</v>
      </c>
      <c r="E2269" s="2">
        <f>IFERROR(__xludf.DUMMYFUNCTION("""COMPUTED_VALUE"""),1030023.0)</f>
        <v>1030023</v>
      </c>
      <c r="F2269" s="2">
        <f>IFERROR(__xludf.DUMMYFUNCTION("""COMPUTED_VALUE"""),4260798.0)</f>
        <v>4260798</v>
      </c>
      <c r="G2269" s="2">
        <f>IFERROR(__xludf.DUMMYFUNCTION("""COMPUTED_VALUE"""),76.8113)</f>
        <v>76.8113</v>
      </c>
    </row>
    <row r="2270">
      <c r="A2270" s="1" t="s">
        <v>2269</v>
      </c>
      <c r="D2270" s="3">
        <f>IFERROR(__xludf.DUMMYFUNCTION("SPLIT(A2270, ""|"")"),43161.0)</f>
        <v>43161</v>
      </c>
      <c r="E2270" s="2">
        <f>IFERROR(__xludf.DUMMYFUNCTION("""COMPUTED_VALUE"""),1210233.0)</f>
        <v>1210233</v>
      </c>
      <c r="F2270" s="2">
        <f>IFERROR(__xludf.DUMMYFUNCTION("""COMPUTED_VALUE"""),4261754.0)</f>
        <v>4261754</v>
      </c>
      <c r="G2270" s="2">
        <f>IFERROR(__xludf.DUMMYFUNCTION("""COMPUTED_VALUE"""),33.7818)</f>
        <v>33.7818</v>
      </c>
    </row>
    <row r="2271">
      <c r="A2271" s="1" t="s">
        <v>2270</v>
      </c>
      <c r="D2271" s="3">
        <f>IFERROR(__xludf.DUMMYFUNCTION("SPLIT(A2271, ""|"")"),43161.0)</f>
        <v>43161</v>
      </c>
      <c r="E2271" s="2">
        <f>IFERROR(__xludf.DUMMYFUNCTION("""COMPUTED_VALUE"""),1407333.0)</f>
        <v>1407333</v>
      </c>
      <c r="F2271" s="2">
        <f>IFERROR(__xludf.DUMMYFUNCTION("""COMPUTED_VALUE"""),4262022.0)</f>
        <v>4262022</v>
      </c>
      <c r="G2271" s="2">
        <f>IFERROR(__xludf.DUMMYFUNCTION("""COMPUTED_VALUE"""),57.1016999999999)</f>
        <v>57.1017</v>
      </c>
    </row>
    <row r="2272">
      <c r="A2272" s="1" t="s">
        <v>2271</v>
      </c>
      <c r="D2272" s="3">
        <f>IFERROR(__xludf.DUMMYFUNCTION("SPLIT(A2272, ""|"")"),43417.0)</f>
        <v>43417</v>
      </c>
      <c r="E2272" s="2">
        <f>IFERROR(__xludf.DUMMYFUNCTION("""COMPUTED_VALUE"""),1749693.0)</f>
        <v>1749693</v>
      </c>
      <c r="F2272" s="2">
        <f>IFERROR(__xludf.DUMMYFUNCTION("""COMPUTED_VALUE"""),5082060.0)</f>
        <v>5082060</v>
      </c>
      <c r="G2272" s="2">
        <f>IFERROR(__xludf.DUMMYFUNCTION("""COMPUTED_VALUE"""),65.403)</f>
        <v>65.403</v>
      </c>
    </row>
    <row r="2273">
      <c r="A2273" s="1" t="s">
        <v>2272</v>
      </c>
      <c r="D2273" s="3">
        <f>IFERROR(__xludf.DUMMYFUNCTION("SPLIT(A2273, ""|"")"),43417.0)</f>
        <v>43417</v>
      </c>
      <c r="E2273" s="2">
        <f>IFERROR(__xludf.DUMMYFUNCTION("""COMPUTED_VALUE"""),1505163.0)</f>
        <v>1505163</v>
      </c>
      <c r="F2273" s="2">
        <f>IFERROR(__xludf.DUMMYFUNCTION("""COMPUTED_VALUE"""),5080434.0)</f>
        <v>5080434</v>
      </c>
      <c r="G2273" s="2">
        <f>IFERROR(__xludf.DUMMYFUNCTION("""COMPUTED_VALUE"""),101.101099999999)</f>
        <v>101.1011</v>
      </c>
    </row>
    <row r="2274">
      <c r="A2274" s="1" t="s">
        <v>2273</v>
      </c>
      <c r="D2274" s="3">
        <f>IFERROR(__xludf.DUMMYFUNCTION("SPLIT(A2274, ""|"")"),43417.0)</f>
        <v>43417</v>
      </c>
      <c r="E2274" s="2">
        <f>IFERROR(__xludf.DUMMYFUNCTION("""COMPUTED_VALUE"""),1750653.0)</f>
        <v>1750653</v>
      </c>
      <c r="F2274" s="2">
        <f>IFERROR(__xludf.DUMMYFUNCTION("""COMPUTED_VALUE"""),5085018.0)</f>
        <v>5085018</v>
      </c>
      <c r="G2274" s="2">
        <f>IFERROR(__xludf.DUMMYFUNCTION("""COMPUTED_VALUE"""),31.9417999999999)</f>
        <v>31.9418</v>
      </c>
    </row>
    <row r="2275">
      <c r="A2275" s="1" t="s">
        <v>2274</v>
      </c>
      <c r="D2275" s="3">
        <f>IFERROR(__xludf.DUMMYFUNCTION("SPLIT(A2275, ""|"")"),43417.0)</f>
        <v>43417</v>
      </c>
      <c r="E2275" s="2">
        <f>IFERROR(__xludf.DUMMYFUNCTION("""COMPUTED_VALUE"""),1750683.0)</f>
        <v>1750683</v>
      </c>
      <c r="F2275" s="2">
        <f>IFERROR(__xludf.DUMMYFUNCTION("""COMPUTED_VALUE"""),5085102.0)</f>
        <v>5085102</v>
      </c>
      <c r="G2275" s="2">
        <f>IFERROR(__xludf.DUMMYFUNCTION("""COMPUTED_VALUE"""),20.838)</f>
        <v>20.838</v>
      </c>
    </row>
    <row r="2276">
      <c r="A2276" s="1" t="s">
        <v>2275</v>
      </c>
      <c r="D2276" s="3">
        <f>IFERROR(__xludf.DUMMYFUNCTION("SPLIT(A2276, ""|"")"),43417.0)</f>
        <v>43417</v>
      </c>
      <c r="E2276" s="2">
        <f>IFERROR(__xludf.DUMMYFUNCTION("""COMPUTED_VALUE"""),1750443.0)</f>
        <v>1750443</v>
      </c>
      <c r="F2276" s="2">
        <f>IFERROR(__xludf.DUMMYFUNCTION("""COMPUTED_VALUE"""),5084250.0)</f>
        <v>5084250</v>
      </c>
      <c r="G2276" s="2">
        <f>IFERROR(__xludf.DUMMYFUNCTION("""COMPUTED_VALUE"""),71.7)</f>
        <v>71.7</v>
      </c>
    </row>
    <row r="2277">
      <c r="A2277" s="1" t="s">
        <v>2276</v>
      </c>
      <c r="D2277" s="3">
        <f>IFERROR(__xludf.DUMMYFUNCTION("SPLIT(A2277, ""|"")"),43417.0)</f>
        <v>43417</v>
      </c>
      <c r="E2277" s="2">
        <f>IFERROR(__xludf.DUMMYFUNCTION("""COMPUTED_VALUE"""),1750533.0)</f>
        <v>1750533</v>
      </c>
      <c r="F2277" s="2">
        <f>IFERROR(__xludf.DUMMYFUNCTION("""COMPUTED_VALUE"""),5084574.0)</f>
        <v>5084574</v>
      </c>
      <c r="G2277" s="2">
        <f>IFERROR(__xludf.DUMMYFUNCTION("""COMPUTED_VALUE"""),55.9341)</f>
        <v>55.9341</v>
      </c>
    </row>
    <row r="2278">
      <c r="A2278" s="1" t="s">
        <v>2277</v>
      </c>
      <c r="D2278" s="3">
        <f>IFERROR(__xludf.DUMMYFUNCTION("SPLIT(A2278, ""|"")"),43417.0)</f>
        <v>43417</v>
      </c>
      <c r="E2278" s="2">
        <f>IFERROR(__xludf.DUMMYFUNCTION("""COMPUTED_VALUE"""),1750323.0)</f>
        <v>1750323</v>
      </c>
      <c r="F2278" s="2">
        <f>IFERROR(__xludf.DUMMYFUNCTION("""COMPUTED_VALUE"""),5083827.0)</f>
        <v>5083827</v>
      </c>
      <c r="G2278" s="2">
        <f>IFERROR(__xludf.DUMMYFUNCTION("""COMPUTED_VALUE"""),8.75)</f>
        <v>8.75</v>
      </c>
    </row>
    <row r="2279">
      <c r="A2279" s="1" t="s">
        <v>2278</v>
      </c>
      <c r="D2279" s="3">
        <f>IFERROR(__xludf.DUMMYFUNCTION("SPLIT(A2279, ""|"")"),43417.0)</f>
        <v>43417</v>
      </c>
      <c r="E2279" s="2">
        <f>IFERROR(__xludf.DUMMYFUNCTION("""COMPUTED_VALUE"""),1718313.0)</f>
        <v>1718313</v>
      </c>
      <c r="F2279" s="2">
        <f>IFERROR(__xludf.DUMMYFUNCTION("""COMPUTED_VALUE"""),5086428.0)</f>
        <v>5086428</v>
      </c>
      <c r="G2279" s="2">
        <f>IFERROR(__xludf.DUMMYFUNCTION("""COMPUTED_VALUE"""),90.625)</f>
        <v>90.625</v>
      </c>
    </row>
    <row r="2280">
      <c r="A2280" s="1" t="s">
        <v>2279</v>
      </c>
      <c r="D2280" s="3">
        <f>IFERROR(__xludf.DUMMYFUNCTION("SPLIT(A2280, ""|"")"),43417.0)</f>
        <v>43417</v>
      </c>
      <c r="E2280" s="2">
        <f>IFERROR(__xludf.DUMMYFUNCTION("""COMPUTED_VALUE"""),1751253.0)</f>
        <v>1751253</v>
      </c>
      <c r="F2280" s="2">
        <f>IFERROR(__xludf.DUMMYFUNCTION("""COMPUTED_VALUE"""),5086965.0)</f>
        <v>5086965</v>
      </c>
      <c r="G2280" s="2">
        <f>IFERROR(__xludf.DUMMYFUNCTION("""COMPUTED_VALUE"""),13.8239)</f>
        <v>13.8239</v>
      </c>
    </row>
    <row r="2281">
      <c r="A2281" s="1" t="s">
        <v>2280</v>
      </c>
      <c r="D2281" s="3">
        <f>IFERROR(__xludf.DUMMYFUNCTION("SPLIT(A2281, ""|"")"),43417.0)</f>
        <v>43417</v>
      </c>
      <c r="E2281" s="2">
        <f>IFERROR(__xludf.DUMMYFUNCTION("""COMPUTED_VALUE"""),1519623.0)</f>
        <v>1519623</v>
      </c>
      <c r="F2281" s="2">
        <f>IFERROR(__xludf.DUMMYFUNCTION("""COMPUTED_VALUE"""),5087631.0)</f>
        <v>5087631</v>
      </c>
      <c r="G2281" s="2">
        <f>IFERROR(__xludf.DUMMYFUNCTION("""COMPUTED_VALUE"""),65.0312)</f>
        <v>65.0312</v>
      </c>
    </row>
    <row r="2282">
      <c r="A2282" s="1" t="s">
        <v>2281</v>
      </c>
      <c r="D2282" s="3">
        <f>IFERROR(__xludf.DUMMYFUNCTION("SPLIT(A2282, ""|"")"),43417.0)</f>
        <v>43417</v>
      </c>
      <c r="E2282" s="2">
        <f>IFERROR(__xludf.DUMMYFUNCTION("""COMPUTED_VALUE"""),1669353.0)</f>
        <v>1669353</v>
      </c>
      <c r="F2282" s="2">
        <f>IFERROR(__xludf.DUMMYFUNCTION("""COMPUTED_VALUE"""),5079981.0)</f>
        <v>5079981</v>
      </c>
      <c r="G2282" s="2">
        <f>IFERROR(__xludf.DUMMYFUNCTION("""COMPUTED_VALUE"""),71.8741)</f>
        <v>71.8741</v>
      </c>
    </row>
    <row r="2283">
      <c r="A2283" s="1" t="s">
        <v>2282</v>
      </c>
      <c r="D2283" s="3">
        <f>IFERROR(__xludf.DUMMYFUNCTION("SPLIT(A2283, ""|"")"),43417.0)</f>
        <v>43417</v>
      </c>
      <c r="E2283" s="2">
        <f>IFERROR(__xludf.DUMMYFUNCTION("""COMPUTED_VALUE"""),1407333.0)</f>
        <v>1407333</v>
      </c>
      <c r="F2283" s="2">
        <f>IFERROR(__xludf.DUMMYFUNCTION("""COMPUTED_VALUE"""),5085777.0)</f>
        <v>5085777</v>
      </c>
      <c r="G2283" s="2">
        <f>IFERROR(__xludf.DUMMYFUNCTION("""COMPUTED_VALUE"""),131.982299999999)</f>
        <v>131.9823</v>
      </c>
    </row>
    <row r="2284">
      <c r="A2284" s="1" t="s">
        <v>2283</v>
      </c>
      <c r="D2284" s="3">
        <f>IFERROR(__xludf.DUMMYFUNCTION("SPLIT(A2284, ""|"")"),43417.0)</f>
        <v>43417</v>
      </c>
      <c r="E2284" s="2">
        <f>IFERROR(__xludf.DUMMYFUNCTION("""COMPUTED_VALUE"""),450963.0)</f>
        <v>450963</v>
      </c>
      <c r="F2284" s="2">
        <f>IFERROR(__xludf.DUMMYFUNCTION("""COMPUTED_VALUE"""),5086302.0)</f>
        <v>5086302</v>
      </c>
      <c r="G2284" s="2">
        <f>IFERROR(__xludf.DUMMYFUNCTION("""COMPUTED_VALUE"""),66.421)</f>
        <v>66.421</v>
      </c>
    </row>
    <row r="2285">
      <c r="A2285" s="1" t="s">
        <v>2284</v>
      </c>
      <c r="D2285" s="3">
        <f>IFERROR(__xludf.DUMMYFUNCTION("SPLIT(A2285, ""|"")"),43162.0)</f>
        <v>43162</v>
      </c>
      <c r="E2285" s="2">
        <f>IFERROR(__xludf.DUMMYFUNCTION("""COMPUTED_VALUE"""),1423773.0)</f>
        <v>1423773</v>
      </c>
      <c r="F2285" s="2">
        <f>IFERROR(__xludf.DUMMYFUNCTION("""COMPUTED_VALUE"""),4263934.0)</f>
        <v>4263934</v>
      </c>
      <c r="G2285" s="2">
        <f>IFERROR(__xludf.DUMMYFUNCTION("""COMPUTED_VALUE"""),86.2032)</f>
        <v>86.2032</v>
      </c>
    </row>
    <row r="2286">
      <c r="A2286" s="1" t="s">
        <v>2285</v>
      </c>
      <c r="D2286" s="3">
        <f>IFERROR(__xludf.DUMMYFUNCTION("SPLIT(A2286, ""|"")"),43162.0)</f>
        <v>43162</v>
      </c>
      <c r="E2286" s="2">
        <f>IFERROR(__xludf.DUMMYFUNCTION("""COMPUTED_VALUE"""),1046973.0)</f>
        <v>1046973</v>
      </c>
      <c r="F2286" s="2">
        <f>IFERROR(__xludf.DUMMYFUNCTION("""COMPUTED_VALUE"""),4263943.0)</f>
        <v>4263943</v>
      </c>
      <c r="G2286" s="2">
        <f>IFERROR(__xludf.DUMMYFUNCTION("""COMPUTED_VALUE"""),7.1104)</f>
        <v>7.1104</v>
      </c>
    </row>
    <row r="2287">
      <c r="A2287" s="1" t="s">
        <v>2286</v>
      </c>
      <c r="D2287" s="3">
        <f>IFERROR(__xludf.DUMMYFUNCTION("SPLIT(A2287, ""|"")"),43162.0)</f>
        <v>43162</v>
      </c>
      <c r="E2287" s="2">
        <f>IFERROR(__xludf.DUMMYFUNCTION("""COMPUTED_VALUE"""),1434813.0)</f>
        <v>1434813</v>
      </c>
      <c r="F2287" s="2">
        <f>IFERROR(__xludf.DUMMYFUNCTION("""COMPUTED_VALUE"""),4263710.0)</f>
        <v>4263710</v>
      </c>
      <c r="G2287" s="2">
        <f>IFERROR(__xludf.DUMMYFUNCTION("""COMPUTED_VALUE"""),298.7627)</f>
        <v>298.7627</v>
      </c>
    </row>
    <row r="2288">
      <c r="A2288" s="1" t="s">
        <v>2287</v>
      </c>
      <c r="D2288" s="3">
        <f>IFERROR(__xludf.DUMMYFUNCTION("SPLIT(A2288, ""|"")"),43162.0)</f>
        <v>43162</v>
      </c>
      <c r="E2288" s="2">
        <f>IFERROR(__xludf.DUMMYFUNCTION("""COMPUTED_VALUE"""),1167393.0)</f>
        <v>1167393</v>
      </c>
      <c r="F2288" s="2">
        <f>IFERROR(__xludf.DUMMYFUNCTION("""COMPUTED_VALUE"""),4264485.0)</f>
        <v>4264485</v>
      </c>
      <c r="G2288" s="2">
        <f>IFERROR(__xludf.DUMMYFUNCTION("""COMPUTED_VALUE"""),96.2865)</f>
        <v>96.2865</v>
      </c>
    </row>
    <row r="2289">
      <c r="A2289" s="1" t="s">
        <v>2288</v>
      </c>
      <c r="D2289" s="3">
        <f>IFERROR(__xludf.DUMMYFUNCTION("SPLIT(A2289, ""|"")"),43162.0)</f>
        <v>43162</v>
      </c>
      <c r="E2289" s="2">
        <f>IFERROR(__xludf.DUMMYFUNCTION("""COMPUTED_VALUE"""),1441353.0)</f>
        <v>1441353</v>
      </c>
      <c r="F2289" s="2">
        <f>IFERROR(__xludf.DUMMYFUNCTION("""COMPUTED_VALUE"""),4264146.0)</f>
        <v>4264146</v>
      </c>
      <c r="G2289" s="2">
        <f>IFERROR(__xludf.DUMMYFUNCTION("""COMPUTED_VALUE"""),112.7866)</f>
        <v>112.7866</v>
      </c>
    </row>
    <row r="2290">
      <c r="A2290" s="1" t="s">
        <v>2289</v>
      </c>
      <c r="D2290" s="3">
        <f>IFERROR(__xludf.DUMMYFUNCTION("SPLIT(A2290, ""|"")"),43162.0)</f>
        <v>43162</v>
      </c>
      <c r="E2290" s="2">
        <f>IFERROR(__xludf.DUMMYFUNCTION("""COMPUTED_VALUE"""),1458843.0)</f>
        <v>1458843</v>
      </c>
      <c r="F2290" s="2">
        <f>IFERROR(__xludf.DUMMYFUNCTION("""COMPUTED_VALUE"""),4263636.0)</f>
        <v>4263636</v>
      </c>
      <c r="G2290" s="2">
        <f>IFERROR(__xludf.DUMMYFUNCTION("""COMPUTED_VALUE"""),34.3700999999999)</f>
        <v>34.3701</v>
      </c>
    </row>
    <row r="2291">
      <c r="A2291" s="1" t="s">
        <v>2290</v>
      </c>
      <c r="D2291" s="3">
        <f>IFERROR(__xludf.DUMMYFUNCTION("SPLIT(A2291, ""|"")"),43418.0)</f>
        <v>43418</v>
      </c>
      <c r="E2291" s="2">
        <f>IFERROR(__xludf.DUMMYFUNCTION("""COMPUTED_VALUE"""),1754043.0)</f>
        <v>1754043</v>
      </c>
      <c r="F2291" s="2">
        <f>IFERROR(__xludf.DUMMYFUNCTION("""COMPUTED_VALUE"""),5096802.0)</f>
        <v>5096802</v>
      </c>
      <c r="G2291" s="2">
        <f>IFERROR(__xludf.DUMMYFUNCTION("""COMPUTED_VALUE"""),78.1847)</f>
        <v>78.1847</v>
      </c>
    </row>
    <row r="2292">
      <c r="A2292" s="1" t="s">
        <v>2291</v>
      </c>
      <c r="D2292" s="3">
        <f>IFERROR(__xludf.DUMMYFUNCTION("SPLIT(A2292, ""|"")"),43418.0)</f>
        <v>43418</v>
      </c>
      <c r="E2292" s="2">
        <f>IFERROR(__xludf.DUMMYFUNCTION("""COMPUTED_VALUE"""),1332093.0)</f>
        <v>1332093</v>
      </c>
      <c r="F2292" s="2">
        <f>IFERROR(__xludf.DUMMYFUNCTION("""COMPUTED_VALUE"""),5089167.0)</f>
        <v>5089167</v>
      </c>
      <c r="G2292" s="2">
        <f>IFERROR(__xludf.DUMMYFUNCTION("""COMPUTED_VALUE"""),38.5596)</f>
        <v>38.5596</v>
      </c>
    </row>
    <row r="2293">
      <c r="A2293" s="1" t="s">
        <v>2292</v>
      </c>
      <c r="D2293" s="3">
        <f>IFERROR(__xludf.DUMMYFUNCTION("SPLIT(A2293, ""|"")"),43418.0)</f>
        <v>43418</v>
      </c>
      <c r="E2293" s="2">
        <f>IFERROR(__xludf.DUMMYFUNCTION("""COMPUTED_VALUE"""),1753053.0)</f>
        <v>1753053</v>
      </c>
      <c r="F2293" s="2">
        <f>IFERROR(__xludf.DUMMYFUNCTION("""COMPUTED_VALUE"""),5093655.0)</f>
        <v>5093655</v>
      </c>
      <c r="G2293" s="2">
        <f>IFERROR(__xludf.DUMMYFUNCTION("""COMPUTED_VALUE"""),25.0165)</f>
        <v>25.0165</v>
      </c>
    </row>
    <row r="2294">
      <c r="A2294" s="1" t="s">
        <v>2293</v>
      </c>
      <c r="D2294" s="3">
        <f>IFERROR(__xludf.DUMMYFUNCTION("SPLIT(A2294, ""|"")"),43418.0)</f>
        <v>43418</v>
      </c>
      <c r="E2294" s="2">
        <f>IFERROR(__xludf.DUMMYFUNCTION("""COMPUTED_VALUE"""),217743.0)</f>
        <v>217743</v>
      </c>
      <c r="F2294" s="2">
        <f>IFERROR(__xludf.DUMMYFUNCTION("""COMPUTED_VALUE"""),5094702.0)</f>
        <v>5094702</v>
      </c>
      <c r="G2294" s="2">
        <f>IFERROR(__xludf.DUMMYFUNCTION("""COMPUTED_VALUE"""),128.1811)</f>
        <v>128.1811</v>
      </c>
    </row>
    <row r="2295">
      <c r="A2295" s="1" t="s">
        <v>2294</v>
      </c>
      <c r="D2295" s="3">
        <f>IFERROR(__xludf.DUMMYFUNCTION("SPLIT(A2295, ""|"")"),43418.0)</f>
        <v>43418</v>
      </c>
      <c r="E2295" s="2">
        <f>IFERROR(__xludf.DUMMYFUNCTION("""COMPUTED_VALUE"""),1752333.0)</f>
        <v>1752333</v>
      </c>
      <c r="F2295" s="2">
        <f>IFERROR(__xludf.DUMMYFUNCTION("""COMPUTED_VALUE"""),5091009.0)</f>
        <v>5091009</v>
      </c>
      <c r="G2295" s="2">
        <f>IFERROR(__xludf.DUMMYFUNCTION("""COMPUTED_VALUE"""),33.2917)</f>
        <v>33.2917</v>
      </c>
    </row>
    <row r="2296">
      <c r="A2296" s="1" t="s">
        <v>2295</v>
      </c>
      <c r="D2296" s="3">
        <f>IFERROR(__xludf.DUMMYFUNCTION("SPLIT(A2296, ""|"")"),43418.0)</f>
        <v>43418</v>
      </c>
      <c r="E2296" s="2">
        <f>IFERROR(__xludf.DUMMYFUNCTION("""COMPUTED_VALUE"""),1754103.0)</f>
        <v>1754103</v>
      </c>
      <c r="F2296" s="2">
        <f>IFERROR(__xludf.DUMMYFUNCTION("""COMPUTED_VALUE"""),5097078.0)</f>
        <v>5097078</v>
      </c>
      <c r="G2296" s="2">
        <f>IFERROR(__xludf.DUMMYFUNCTION("""COMPUTED_VALUE"""),50.6261)</f>
        <v>50.6261</v>
      </c>
    </row>
    <row r="2297">
      <c r="A2297" s="1" t="s">
        <v>2296</v>
      </c>
      <c r="D2297" s="3">
        <f>IFERROR(__xludf.DUMMYFUNCTION("SPLIT(A2297, ""|"")"),43418.0)</f>
        <v>43418</v>
      </c>
      <c r="E2297" s="2">
        <f>IFERROR(__xludf.DUMMYFUNCTION("""COMPUTED_VALUE"""),1535193.0)</f>
        <v>1535193</v>
      </c>
      <c r="F2297" s="2">
        <f>IFERROR(__xludf.DUMMYFUNCTION("""COMPUTED_VALUE"""),5092110.0)</f>
        <v>5092110</v>
      </c>
      <c r="G2297" s="2">
        <f>IFERROR(__xludf.DUMMYFUNCTION("""COMPUTED_VALUE"""),30.0199)</f>
        <v>30.0199</v>
      </c>
    </row>
    <row r="2298">
      <c r="A2298" s="1" t="s">
        <v>2297</v>
      </c>
      <c r="D2298" s="3">
        <f>IFERROR(__xludf.DUMMYFUNCTION("SPLIT(A2298, ""|"")"),43418.0)</f>
        <v>43418</v>
      </c>
      <c r="E2298" s="2">
        <f>IFERROR(__xludf.DUMMYFUNCTION("""COMPUTED_VALUE"""),1752663.0)</f>
        <v>1752663</v>
      </c>
      <c r="F2298" s="2">
        <f>IFERROR(__xludf.DUMMYFUNCTION("""COMPUTED_VALUE"""),5092173.0)</f>
        <v>5092173</v>
      </c>
      <c r="G2298" s="2">
        <f>IFERROR(__xludf.DUMMYFUNCTION("""COMPUTED_VALUE"""),35.5522999999999)</f>
        <v>35.5523</v>
      </c>
    </row>
    <row r="2299">
      <c r="A2299" s="1" t="s">
        <v>2298</v>
      </c>
      <c r="D2299" s="3">
        <f>IFERROR(__xludf.DUMMYFUNCTION("SPLIT(A2299, ""|"")"),43418.0)</f>
        <v>43418</v>
      </c>
      <c r="E2299" s="2">
        <f>IFERROR(__xludf.DUMMYFUNCTION("""COMPUTED_VALUE"""),1753773.0)</f>
        <v>1753773</v>
      </c>
      <c r="F2299" s="2">
        <f>IFERROR(__xludf.DUMMYFUNCTION("""COMPUTED_VALUE"""),5095848.0)</f>
        <v>5095848</v>
      </c>
      <c r="G2299" s="2">
        <f>IFERROR(__xludf.DUMMYFUNCTION("""COMPUTED_VALUE"""),54.5764)</f>
        <v>54.5764</v>
      </c>
    </row>
    <row r="2300">
      <c r="A2300" s="1" t="s">
        <v>2299</v>
      </c>
      <c r="D2300" s="3">
        <f>IFERROR(__xludf.DUMMYFUNCTION("SPLIT(A2300, ""|"")"),43418.0)</f>
        <v>43418</v>
      </c>
      <c r="E2300" s="2">
        <f>IFERROR(__xludf.DUMMYFUNCTION("""COMPUTED_VALUE"""),62733.0)</f>
        <v>62733</v>
      </c>
      <c r="F2300" s="2">
        <f>IFERROR(__xludf.DUMMYFUNCTION("""COMPUTED_VALUE"""),5096391.0)</f>
        <v>5096391</v>
      </c>
      <c r="G2300" s="2">
        <f>IFERROR(__xludf.DUMMYFUNCTION("""COMPUTED_VALUE"""),29.7)</f>
        <v>29.7</v>
      </c>
    </row>
    <row r="2301">
      <c r="A2301" s="1" t="s">
        <v>2300</v>
      </c>
      <c r="D2301" s="3">
        <f>IFERROR(__xludf.DUMMYFUNCTION("SPLIT(A2301, ""|"")"),43418.0)</f>
        <v>43418</v>
      </c>
      <c r="E2301" s="2">
        <f>IFERROR(__xludf.DUMMYFUNCTION("""COMPUTED_VALUE"""),1753443.0)</f>
        <v>1753443</v>
      </c>
      <c r="F2301" s="2">
        <f>IFERROR(__xludf.DUMMYFUNCTION("""COMPUTED_VALUE"""),5094837.0)</f>
        <v>5094837</v>
      </c>
      <c r="G2301" s="2">
        <f>IFERROR(__xludf.DUMMYFUNCTION("""COMPUTED_VALUE"""),35.0721)</f>
        <v>35.0721</v>
      </c>
    </row>
    <row r="2302">
      <c r="A2302" s="1" t="s">
        <v>2301</v>
      </c>
      <c r="D2302" s="3">
        <f>IFERROR(__xludf.DUMMYFUNCTION("SPLIT(A2302, ""|"")"),43418.0)</f>
        <v>43418</v>
      </c>
      <c r="E2302" s="2">
        <f>IFERROR(__xludf.DUMMYFUNCTION("""COMPUTED_VALUE"""),1752153.0)</f>
        <v>1752153</v>
      </c>
      <c r="F2302" s="2">
        <f>IFERROR(__xludf.DUMMYFUNCTION("""COMPUTED_VALUE"""),5090427.0)</f>
        <v>5090427</v>
      </c>
      <c r="G2302" s="2">
        <f>IFERROR(__xludf.DUMMYFUNCTION("""COMPUTED_VALUE"""),78.8539)</f>
        <v>78.8539</v>
      </c>
    </row>
    <row r="2303">
      <c r="A2303" s="1" t="s">
        <v>2302</v>
      </c>
      <c r="D2303" s="3">
        <f>IFERROR(__xludf.DUMMYFUNCTION("SPLIT(A2303, ""|"")"),43163.0)</f>
        <v>43163</v>
      </c>
      <c r="E2303" s="2">
        <f>IFERROR(__xludf.DUMMYFUNCTION("""COMPUTED_VALUE"""),257913.0)</f>
        <v>257913</v>
      </c>
      <c r="F2303" s="2">
        <f>IFERROR(__xludf.DUMMYFUNCTION("""COMPUTED_VALUE"""),4269055.0)</f>
        <v>4269055</v>
      </c>
      <c r="G2303" s="2">
        <f>IFERROR(__xludf.DUMMYFUNCTION("""COMPUTED_VALUE"""),209.484899999999)</f>
        <v>209.4849</v>
      </c>
    </row>
    <row r="2304">
      <c r="A2304" s="1" t="s">
        <v>2303</v>
      </c>
      <c r="D2304" s="3">
        <f>IFERROR(__xludf.DUMMYFUNCTION("SPLIT(A2304, ""|"")"),43163.0)</f>
        <v>43163</v>
      </c>
      <c r="E2304" s="2">
        <f>IFERROR(__xludf.DUMMYFUNCTION("""COMPUTED_VALUE"""),1530873.0)</f>
        <v>1530873</v>
      </c>
      <c r="F2304" s="2">
        <f>IFERROR(__xludf.DUMMYFUNCTION("""COMPUTED_VALUE"""),4267949.0)</f>
        <v>4267949</v>
      </c>
      <c r="G2304" s="2">
        <f>IFERROR(__xludf.DUMMYFUNCTION("""COMPUTED_VALUE"""),17.7327999999999)</f>
        <v>17.7328</v>
      </c>
    </row>
    <row r="2305">
      <c r="A2305" s="1" t="s">
        <v>2304</v>
      </c>
      <c r="D2305" s="3">
        <f>IFERROR(__xludf.DUMMYFUNCTION("SPLIT(A2305, ""|"")"),43163.0)</f>
        <v>43163</v>
      </c>
      <c r="E2305" s="2">
        <f>IFERROR(__xludf.DUMMYFUNCTION("""COMPUTED_VALUE"""),1397703.0)</f>
        <v>1397703</v>
      </c>
      <c r="F2305" s="2">
        <f>IFERROR(__xludf.DUMMYFUNCTION("""COMPUTED_VALUE"""),4265624.0)</f>
        <v>4265624</v>
      </c>
      <c r="G2305" s="2">
        <f>IFERROR(__xludf.DUMMYFUNCTION("""COMPUTED_VALUE"""),44.6046)</f>
        <v>44.6046</v>
      </c>
    </row>
    <row r="2306">
      <c r="A2306" s="1" t="s">
        <v>2305</v>
      </c>
      <c r="D2306" s="3">
        <f>IFERROR(__xludf.DUMMYFUNCTION("SPLIT(A2306, ""|"")"),43163.0)</f>
        <v>43163</v>
      </c>
      <c r="E2306" s="2">
        <f>IFERROR(__xludf.DUMMYFUNCTION("""COMPUTED_VALUE"""),1333263.0)</f>
        <v>1333263</v>
      </c>
      <c r="F2306" s="2">
        <f>IFERROR(__xludf.DUMMYFUNCTION("""COMPUTED_VALUE"""),4265496.0)</f>
        <v>4265496</v>
      </c>
      <c r="G2306" s="2">
        <f>IFERROR(__xludf.DUMMYFUNCTION("""COMPUTED_VALUE"""),110.5713)</f>
        <v>110.5713</v>
      </c>
    </row>
    <row r="2307">
      <c r="A2307" s="1" t="s">
        <v>2306</v>
      </c>
      <c r="D2307" s="3">
        <f>IFERROR(__xludf.DUMMYFUNCTION("SPLIT(A2307, ""|"")"),43163.0)</f>
        <v>43163</v>
      </c>
      <c r="E2307" s="2">
        <f>IFERROR(__xludf.DUMMYFUNCTION("""COMPUTED_VALUE"""),491733.0)</f>
        <v>491733</v>
      </c>
      <c r="F2307" s="2">
        <f>IFERROR(__xludf.DUMMYFUNCTION("""COMPUTED_VALUE"""),4267144.0)</f>
        <v>4267144</v>
      </c>
      <c r="G2307" s="2">
        <f>IFERROR(__xludf.DUMMYFUNCTION("""COMPUTED_VALUE"""),80.3816)</f>
        <v>80.3816</v>
      </c>
    </row>
    <row r="2308">
      <c r="A2308" s="1" t="s">
        <v>2307</v>
      </c>
      <c r="D2308" s="3">
        <f>IFERROR(__xludf.DUMMYFUNCTION("SPLIT(A2308, ""|"")"),43419.0)</f>
        <v>43419</v>
      </c>
      <c r="E2308" s="2">
        <f>IFERROR(__xludf.DUMMYFUNCTION("""COMPUTED_VALUE"""),120213.0)</f>
        <v>120213</v>
      </c>
      <c r="F2308" s="2">
        <f>IFERROR(__xludf.DUMMYFUNCTION("""COMPUTED_VALUE"""),5098704.0)</f>
        <v>5098704</v>
      </c>
      <c r="G2308" s="2">
        <f>IFERROR(__xludf.DUMMYFUNCTION("""COMPUTED_VALUE"""),65.6198)</f>
        <v>65.6198</v>
      </c>
    </row>
    <row r="2309">
      <c r="A2309" s="1" t="s">
        <v>2308</v>
      </c>
      <c r="D2309" s="3">
        <f>IFERROR(__xludf.DUMMYFUNCTION("SPLIT(A2309, ""|"")"),43419.0)</f>
        <v>43419</v>
      </c>
      <c r="E2309" s="2">
        <f>IFERROR(__xludf.DUMMYFUNCTION("""COMPUTED_VALUE"""),1752903.0)</f>
        <v>1752903</v>
      </c>
      <c r="F2309" s="2">
        <f>IFERROR(__xludf.DUMMYFUNCTION("""COMPUTED_VALUE"""),5098719.0)</f>
        <v>5098719</v>
      </c>
      <c r="G2309" s="2">
        <f>IFERROR(__xludf.DUMMYFUNCTION("""COMPUTED_VALUE"""),65.7805999999999)</f>
        <v>65.7806</v>
      </c>
    </row>
    <row r="2310">
      <c r="A2310" s="1" t="s">
        <v>2309</v>
      </c>
      <c r="D2310" s="3">
        <f>IFERROR(__xludf.DUMMYFUNCTION("SPLIT(A2310, ""|"")"),43419.0)</f>
        <v>43419</v>
      </c>
      <c r="E2310" s="2">
        <f>IFERROR(__xludf.DUMMYFUNCTION("""COMPUTED_VALUE"""),1360233.0)</f>
        <v>1360233</v>
      </c>
      <c r="F2310" s="2">
        <f>IFERROR(__xludf.DUMMYFUNCTION("""COMPUTED_VALUE"""),5103993.0)</f>
        <v>5103993</v>
      </c>
      <c r="G2310" s="2">
        <f>IFERROR(__xludf.DUMMYFUNCTION("""COMPUTED_VALUE"""),60.6553999999999)</f>
        <v>60.6554</v>
      </c>
    </row>
    <row r="2311">
      <c r="A2311" s="1" t="s">
        <v>2310</v>
      </c>
      <c r="D2311" s="3">
        <f>IFERROR(__xludf.DUMMYFUNCTION("SPLIT(A2311, ""|"")"),43419.0)</f>
        <v>43419</v>
      </c>
      <c r="E2311" s="2">
        <f>IFERROR(__xludf.DUMMYFUNCTION("""COMPUTED_VALUE"""),334263.0)</f>
        <v>334263</v>
      </c>
      <c r="F2311" s="2">
        <f>IFERROR(__xludf.DUMMYFUNCTION("""COMPUTED_VALUE"""),5099856.0)</f>
        <v>5099856</v>
      </c>
      <c r="G2311" s="2">
        <f>IFERROR(__xludf.DUMMYFUNCTION("""COMPUTED_VALUE"""),53.5336)</f>
        <v>53.5336</v>
      </c>
    </row>
    <row r="2312">
      <c r="A2312" s="1" t="s">
        <v>2311</v>
      </c>
      <c r="D2312" s="3">
        <f>IFERROR(__xludf.DUMMYFUNCTION("SPLIT(A2312, ""|"")"),43419.0)</f>
        <v>43419</v>
      </c>
      <c r="E2312" s="2">
        <f>IFERROR(__xludf.DUMMYFUNCTION("""COMPUTED_VALUE"""),1756143.0)</f>
        <v>1756143</v>
      </c>
      <c r="F2312" s="2">
        <f>IFERROR(__xludf.DUMMYFUNCTION("""COMPUTED_VALUE"""),5105115.0)</f>
        <v>5105115</v>
      </c>
      <c r="G2312" s="2">
        <f>IFERROR(__xludf.DUMMYFUNCTION("""COMPUTED_VALUE"""),72.2358)</f>
        <v>72.2358</v>
      </c>
    </row>
    <row r="2313">
      <c r="A2313" s="1" t="s">
        <v>2312</v>
      </c>
      <c r="D2313" s="3">
        <f>IFERROR(__xludf.DUMMYFUNCTION("SPLIT(A2313, ""|"")"),43419.0)</f>
        <v>43419</v>
      </c>
      <c r="E2313" s="2">
        <f>IFERROR(__xludf.DUMMYFUNCTION("""COMPUTED_VALUE"""),1755453.0)</f>
        <v>1755453</v>
      </c>
      <c r="F2313" s="2">
        <f>IFERROR(__xludf.DUMMYFUNCTION("""COMPUTED_VALUE"""),5102163.0)</f>
        <v>5102163</v>
      </c>
      <c r="G2313" s="2">
        <f>IFERROR(__xludf.DUMMYFUNCTION("""COMPUTED_VALUE"""),28.3263)</f>
        <v>28.3263</v>
      </c>
    </row>
    <row r="2314">
      <c r="A2314" s="1" t="s">
        <v>2313</v>
      </c>
      <c r="D2314" s="3">
        <f>IFERROR(__xludf.DUMMYFUNCTION("SPLIT(A2314, ""|"")"),43419.0)</f>
        <v>43419</v>
      </c>
      <c r="E2314" s="2">
        <f>IFERROR(__xludf.DUMMYFUNCTION("""COMPUTED_VALUE"""),1754433.0)</f>
        <v>1754433</v>
      </c>
      <c r="F2314" s="2">
        <f>IFERROR(__xludf.DUMMYFUNCTION("""COMPUTED_VALUE"""),5098143.0)</f>
        <v>5098143</v>
      </c>
      <c r="G2314" s="2">
        <f>IFERROR(__xludf.DUMMYFUNCTION("""COMPUTED_VALUE"""),17.2763)</f>
        <v>17.2763</v>
      </c>
    </row>
    <row r="2315">
      <c r="A2315" s="1" t="s">
        <v>2314</v>
      </c>
      <c r="D2315" s="3">
        <f>IFERROR(__xludf.DUMMYFUNCTION("SPLIT(A2315, ""|"")"),43419.0)</f>
        <v>43419</v>
      </c>
      <c r="E2315" s="2">
        <f>IFERROR(__xludf.DUMMYFUNCTION("""COMPUTED_VALUE"""),1367703.0)</f>
        <v>1367703</v>
      </c>
      <c r="F2315" s="2">
        <f>IFERROR(__xludf.DUMMYFUNCTION("""COMPUTED_VALUE"""),5102112.0)</f>
        <v>5102112</v>
      </c>
      <c r="G2315" s="2">
        <f>IFERROR(__xludf.DUMMYFUNCTION("""COMPUTED_VALUE"""),42.8498)</f>
        <v>42.8498</v>
      </c>
    </row>
    <row r="2316">
      <c r="A2316" s="1" t="s">
        <v>2315</v>
      </c>
      <c r="D2316" s="3">
        <f>IFERROR(__xludf.DUMMYFUNCTION("SPLIT(A2316, ""|"")"),43164.0)</f>
        <v>43164</v>
      </c>
      <c r="E2316" s="2">
        <f>IFERROR(__xludf.DUMMYFUNCTION("""COMPUTED_VALUE"""),1541583.0)</f>
        <v>1541583</v>
      </c>
      <c r="F2316" s="2">
        <f>IFERROR(__xludf.DUMMYFUNCTION("""COMPUTED_VALUE"""),4269377.0)</f>
        <v>4269377</v>
      </c>
      <c r="G2316" s="2">
        <f>IFERROR(__xludf.DUMMYFUNCTION("""COMPUTED_VALUE"""),25.7361)</f>
        <v>25.7361</v>
      </c>
    </row>
    <row r="2317">
      <c r="A2317" s="1" t="s">
        <v>2316</v>
      </c>
      <c r="D2317" s="3">
        <f>IFERROR(__xludf.DUMMYFUNCTION("SPLIT(A2317, ""|"")"),43164.0)</f>
        <v>43164</v>
      </c>
      <c r="E2317" s="2">
        <f>IFERROR(__xludf.DUMMYFUNCTION("""COMPUTED_VALUE"""),1058073.0)</f>
        <v>1058073</v>
      </c>
      <c r="F2317" s="2">
        <f>IFERROR(__xludf.DUMMYFUNCTION("""COMPUTED_VALUE"""),4270740.0)</f>
        <v>4270740</v>
      </c>
      <c r="G2317" s="2">
        <f>IFERROR(__xludf.DUMMYFUNCTION("""COMPUTED_VALUE"""),5.7333)</f>
        <v>5.7333</v>
      </c>
    </row>
    <row r="2318">
      <c r="A2318" s="1" t="s">
        <v>2317</v>
      </c>
      <c r="D2318" s="3">
        <f>IFERROR(__xludf.DUMMYFUNCTION("SPLIT(A2318, ""|"")"),43164.0)</f>
        <v>43164</v>
      </c>
      <c r="E2318" s="2">
        <f>IFERROR(__xludf.DUMMYFUNCTION("""COMPUTED_VALUE"""),1418553.0)</f>
        <v>1418553</v>
      </c>
      <c r="F2318" s="2">
        <f>IFERROR(__xludf.DUMMYFUNCTION("""COMPUTED_VALUE"""),4269637.0)</f>
        <v>4269637</v>
      </c>
      <c r="G2318" s="2">
        <f>IFERROR(__xludf.DUMMYFUNCTION("""COMPUTED_VALUE"""),57.4128)</f>
        <v>57.4128</v>
      </c>
    </row>
    <row r="2319">
      <c r="A2319" s="1" t="s">
        <v>2318</v>
      </c>
      <c r="D2319" s="3">
        <f>IFERROR(__xludf.DUMMYFUNCTION("SPLIT(A2319, ""|"")"),43164.0)</f>
        <v>43164</v>
      </c>
      <c r="E2319" s="2">
        <f>IFERROR(__xludf.DUMMYFUNCTION("""COMPUTED_VALUE"""),1542183.0)</f>
        <v>1542183</v>
      </c>
      <c r="F2319" s="2">
        <f>IFERROR(__xludf.DUMMYFUNCTION("""COMPUTED_VALUE"""),4271813.0)</f>
        <v>4271813</v>
      </c>
      <c r="G2319" s="2">
        <f>IFERROR(__xludf.DUMMYFUNCTION("""COMPUTED_VALUE"""),87.427)</f>
        <v>87.427</v>
      </c>
    </row>
    <row r="2320">
      <c r="A2320" s="1" t="s">
        <v>2319</v>
      </c>
      <c r="D2320" s="3">
        <f>IFERROR(__xludf.DUMMYFUNCTION("SPLIT(A2320, ""|"")"),43164.0)</f>
        <v>43164</v>
      </c>
      <c r="E2320" s="2">
        <f>IFERROR(__xludf.DUMMYFUNCTION("""COMPUTED_VALUE"""),1344573.0)</f>
        <v>1344573</v>
      </c>
      <c r="F2320" s="2">
        <f>IFERROR(__xludf.DUMMYFUNCTION("""COMPUTED_VALUE"""),4269663.0)</f>
        <v>4269663</v>
      </c>
      <c r="G2320" s="2">
        <f>IFERROR(__xludf.DUMMYFUNCTION("""COMPUTED_VALUE"""),93.0666)</f>
        <v>93.0666</v>
      </c>
    </row>
    <row r="2321">
      <c r="A2321" s="1" t="s">
        <v>2320</v>
      </c>
      <c r="D2321" s="3">
        <f>IFERROR(__xludf.DUMMYFUNCTION("SPLIT(A2321, ""|"")"),43164.0)</f>
        <v>43164</v>
      </c>
      <c r="E2321" s="2">
        <f>IFERROR(__xludf.DUMMYFUNCTION("""COMPUTED_VALUE"""),1286103.0)</f>
        <v>1286103</v>
      </c>
      <c r="F2321" s="2">
        <f>IFERROR(__xludf.DUMMYFUNCTION("""COMPUTED_VALUE"""),4269301.0)</f>
        <v>4269301</v>
      </c>
      <c r="G2321" s="2">
        <f>IFERROR(__xludf.DUMMYFUNCTION("""COMPUTED_VALUE"""),180.393)</f>
        <v>180.393</v>
      </c>
    </row>
    <row r="2322">
      <c r="A2322" s="1" t="s">
        <v>2321</v>
      </c>
      <c r="D2322" s="3">
        <f>IFERROR(__xludf.DUMMYFUNCTION("SPLIT(A2322, ""|"")"),43164.0)</f>
        <v>43164</v>
      </c>
      <c r="E2322" s="2">
        <f>IFERROR(__xludf.DUMMYFUNCTION("""COMPUTED_VALUE"""),1542243.0)</f>
        <v>1542243</v>
      </c>
      <c r="F2322" s="2">
        <f>IFERROR(__xludf.DUMMYFUNCTION("""COMPUTED_VALUE"""),4271939.0)</f>
        <v>4271939</v>
      </c>
      <c r="G2322" s="2">
        <f>IFERROR(__xludf.DUMMYFUNCTION("""COMPUTED_VALUE"""),12.3667)</f>
        <v>12.3667</v>
      </c>
    </row>
    <row r="2323">
      <c r="A2323" s="1" t="s">
        <v>2322</v>
      </c>
      <c r="D2323" s="3">
        <f>IFERROR(__xludf.DUMMYFUNCTION("SPLIT(A2323, ""|"")"),43164.0)</f>
        <v>43164</v>
      </c>
      <c r="E2323" s="2">
        <f>IFERROR(__xludf.DUMMYFUNCTION("""COMPUTED_VALUE"""),242553.0)</f>
        <v>242553</v>
      </c>
      <c r="F2323" s="2">
        <f>IFERROR(__xludf.DUMMYFUNCTION("""COMPUTED_VALUE"""),4272076.0)</f>
        <v>4272076</v>
      </c>
      <c r="G2323" s="2">
        <f>IFERROR(__xludf.DUMMYFUNCTION("""COMPUTED_VALUE"""),49.8576)</f>
        <v>49.8576</v>
      </c>
    </row>
    <row r="2324">
      <c r="A2324" s="1" t="s">
        <v>2323</v>
      </c>
      <c r="D2324" s="3">
        <f>IFERROR(__xludf.DUMMYFUNCTION("SPLIT(A2324, ""|"")"),43420.0)</f>
        <v>43420</v>
      </c>
      <c r="E2324" s="2">
        <f>IFERROR(__xludf.DUMMYFUNCTION("""COMPUTED_VALUE"""),1757463.0)</f>
        <v>1757463</v>
      </c>
      <c r="F2324" s="2">
        <f>IFERROR(__xludf.DUMMYFUNCTION("""COMPUTED_VALUE"""),5109249.0)</f>
        <v>5109249</v>
      </c>
      <c r="G2324" s="2">
        <f>IFERROR(__xludf.DUMMYFUNCTION("""COMPUTED_VALUE"""),57.2068)</f>
        <v>57.2068</v>
      </c>
    </row>
    <row r="2325">
      <c r="A2325" s="1" t="s">
        <v>2324</v>
      </c>
      <c r="D2325" s="3">
        <f>IFERROR(__xludf.DUMMYFUNCTION("SPLIT(A2325, ""|"")"),43420.0)</f>
        <v>43420</v>
      </c>
      <c r="E2325" s="2">
        <f>IFERROR(__xludf.DUMMYFUNCTION("""COMPUTED_VALUE"""),423153.0)</f>
        <v>423153</v>
      </c>
      <c r="F2325" s="2">
        <f>IFERROR(__xludf.DUMMYFUNCTION("""COMPUTED_VALUE"""),5112255.0)</f>
        <v>5112255</v>
      </c>
      <c r="G2325" s="2">
        <f>IFERROR(__xludf.DUMMYFUNCTION("""COMPUTED_VALUE"""),60.5423)</f>
        <v>60.5423</v>
      </c>
    </row>
    <row r="2326">
      <c r="A2326" s="1" t="s">
        <v>2325</v>
      </c>
      <c r="D2326" s="3">
        <f>IFERROR(__xludf.DUMMYFUNCTION("SPLIT(A2326, ""|"")"),43420.0)</f>
        <v>43420</v>
      </c>
      <c r="E2326" s="2">
        <f>IFERROR(__xludf.DUMMYFUNCTION("""COMPUTED_VALUE"""),1341933.0)</f>
        <v>1341933</v>
      </c>
      <c r="F2326" s="2">
        <f>IFERROR(__xludf.DUMMYFUNCTION("""COMPUTED_VALUE"""),5110290.0)</f>
        <v>5110290</v>
      </c>
      <c r="G2326" s="2">
        <f>IFERROR(__xludf.DUMMYFUNCTION("""COMPUTED_VALUE"""),34.8904)</f>
        <v>34.8904</v>
      </c>
    </row>
    <row r="2327">
      <c r="A2327" s="1" t="s">
        <v>2326</v>
      </c>
      <c r="D2327" s="3">
        <f>IFERROR(__xludf.DUMMYFUNCTION("SPLIT(A2327, ""|"")"),43420.0)</f>
        <v>43420</v>
      </c>
      <c r="E2327" s="2">
        <f>IFERROR(__xludf.DUMMYFUNCTION("""COMPUTED_VALUE"""),1738923.0)</f>
        <v>1738923</v>
      </c>
      <c r="F2327" s="2">
        <f>IFERROR(__xludf.DUMMYFUNCTION("""COMPUTED_VALUE"""),5111967.0)</f>
        <v>5111967</v>
      </c>
      <c r="G2327" s="2">
        <f>IFERROR(__xludf.DUMMYFUNCTION("""COMPUTED_VALUE"""),53.068)</f>
        <v>53.068</v>
      </c>
    </row>
    <row r="2328">
      <c r="A2328" s="1" t="s">
        <v>2327</v>
      </c>
      <c r="D2328" s="3">
        <f>IFERROR(__xludf.DUMMYFUNCTION("SPLIT(A2328, ""|"")"),43420.0)</f>
        <v>43420</v>
      </c>
      <c r="E2328" s="2">
        <f>IFERROR(__xludf.DUMMYFUNCTION("""COMPUTED_VALUE"""),63723.0)</f>
        <v>63723</v>
      </c>
      <c r="F2328" s="2">
        <f>IFERROR(__xludf.DUMMYFUNCTION("""COMPUTED_VALUE"""),5107212.0)</f>
        <v>5107212</v>
      </c>
      <c r="G2328" s="2">
        <f>IFERROR(__xludf.DUMMYFUNCTION("""COMPUTED_VALUE"""),51.8204)</f>
        <v>51.8204</v>
      </c>
    </row>
    <row r="2329">
      <c r="A2329" s="1" t="s">
        <v>2328</v>
      </c>
      <c r="D2329" s="3">
        <f>IFERROR(__xludf.DUMMYFUNCTION("SPLIT(A2329, ""|"")"),43420.0)</f>
        <v>43420</v>
      </c>
      <c r="E2329" s="2">
        <f>IFERROR(__xludf.DUMMYFUNCTION("""COMPUTED_VALUE"""),1757493.0)</f>
        <v>1757493</v>
      </c>
      <c r="F2329" s="2">
        <f>IFERROR(__xludf.DUMMYFUNCTION("""COMPUTED_VALUE"""),5109231.0)</f>
        <v>5109231</v>
      </c>
      <c r="G2329" s="2">
        <f>IFERROR(__xludf.DUMMYFUNCTION("""COMPUTED_VALUE"""),53.0427)</f>
        <v>53.0427</v>
      </c>
    </row>
    <row r="2330">
      <c r="A2330" s="1" t="s">
        <v>2329</v>
      </c>
      <c r="D2330" s="3">
        <f>IFERROR(__xludf.DUMMYFUNCTION("SPLIT(A2330, ""|"")"),43420.0)</f>
        <v>43420</v>
      </c>
      <c r="E2330" s="2">
        <f>IFERROR(__xludf.DUMMYFUNCTION("""COMPUTED_VALUE"""),1746933.0)</f>
        <v>1746933</v>
      </c>
      <c r="F2330" s="2">
        <f>IFERROR(__xludf.DUMMYFUNCTION("""COMPUTED_VALUE"""),5109831.0)</f>
        <v>5109831</v>
      </c>
      <c r="G2330" s="2">
        <f>IFERROR(__xludf.DUMMYFUNCTION("""COMPUTED_VALUE"""),58.3553)</f>
        <v>58.3553</v>
      </c>
    </row>
    <row r="2331">
      <c r="A2331" s="1" t="s">
        <v>2330</v>
      </c>
      <c r="D2331" s="3">
        <f>IFERROR(__xludf.DUMMYFUNCTION("SPLIT(A2331, ""|"")"),43420.0)</f>
        <v>43420</v>
      </c>
      <c r="E2331" s="2">
        <f>IFERROR(__xludf.DUMMYFUNCTION("""COMPUTED_VALUE"""),1757193.0)</f>
        <v>1757193</v>
      </c>
      <c r="F2331" s="2">
        <f>IFERROR(__xludf.DUMMYFUNCTION("""COMPUTED_VALUE"""),5108364.0)</f>
        <v>5108364</v>
      </c>
      <c r="G2331" s="2">
        <f>IFERROR(__xludf.DUMMYFUNCTION("""COMPUTED_VALUE"""),99.033)</f>
        <v>99.033</v>
      </c>
    </row>
    <row r="2332">
      <c r="A2332" s="1" t="s">
        <v>2331</v>
      </c>
      <c r="D2332" s="3">
        <f>IFERROR(__xludf.DUMMYFUNCTION("SPLIT(A2332, ""|"")"),43420.0)</f>
        <v>43420</v>
      </c>
      <c r="E2332" s="2">
        <f>IFERROR(__xludf.DUMMYFUNCTION("""COMPUTED_VALUE"""),1757973.0)</f>
        <v>1757973</v>
      </c>
      <c r="F2332" s="2">
        <f>IFERROR(__xludf.DUMMYFUNCTION("""COMPUTED_VALUE"""),5110875.0)</f>
        <v>5110875</v>
      </c>
      <c r="G2332" s="2">
        <f>IFERROR(__xludf.DUMMYFUNCTION("""COMPUTED_VALUE"""),45.9166)</f>
        <v>45.9166</v>
      </c>
    </row>
    <row r="2333">
      <c r="A2333" s="1" t="s">
        <v>2332</v>
      </c>
      <c r="D2333" s="3">
        <f>IFERROR(__xludf.DUMMYFUNCTION("SPLIT(A2333, ""|"")"),43420.0)</f>
        <v>43420</v>
      </c>
      <c r="E2333" s="2">
        <f>IFERROR(__xludf.DUMMYFUNCTION("""COMPUTED_VALUE"""),1758423.0)</f>
        <v>1758423</v>
      </c>
      <c r="F2333" s="2">
        <f>IFERROR(__xludf.DUMMYFUNCTION("""COMPUTED_VALUE"""),5112333.0)</f>
        <v>5112333</v>
      </c>
      <c r="G2333" s="2">
        <f>IFERROR(__xludf.DUMMYFUNCTION("""COMPUTED_VALUE"""),17.5355)</f>
        <v>17.5355</v>
      </c>
    </row>
    <row r="2334">
      <c r="A2334" s="1" t="s">
        <v>2333</v>
      </c>
      <c r="D2334" s="3">
        <f>IFERROR(__xludf.DUMMYFUNCTION("SPLIT(A2334, ""|"")"),43165.0)</f>
        <v>43165</v>
      </c>
      <c r="E2334" s="2">
        <f>IFERROR(__xludf.DUMMYFUNCTION("""COMPUTED_VALUE"""),1543143.0)</f>
        <v>1543143</v>
      </c>
      <c r="F2334" s="2">
        <f>IFERROR(__xludf.DUMMYFUNCTION("""COMPUTED_VALUE"""),4275340.0)</f>
        <v>4275340</v>
      </c>
      <c r="G2334" s="2">
        <f>IFERROR(__xludf.DUMMYFUNCTION("""COMPUTED_VALUE"""),64.4381)</f>
        <v>64.4381</v>
      </c>
    </row>
    <row r="2335">
      <c r="A2335" s="1" t="s">
        <v>2334</v>
      </c>
      <c r="D2335" s="3">
        <f>IFERROR(__xludf.DUMMYFUNCTION("SPLIT(A2335, ""|"")"),43165.0)</f>
        <v>43165</v>
      </c>
      <c r="E2335" s="2">
        <f>IFERROR(__xludf.DUMMYFUNCTION("""COMPUTED_VALUE"""),1185603.0)</f>
        <v>1185603</v>
      </c>
      <c r="F2335" s="2">
        <f>IFERROR(__xludf.DUMMYFUNCTION("""COMPUTED_VALUE"""),4274771.0)</f>
        <v>4274771</v>
      </c>
      <c r="G2335" s="2">
        <f>IFERROR(__xludf.DUMMYFUNCTION("""COMPUTED_VALUE"""),58.7314)</f>
        <v>58.7314</v>
      </c>
    </row>
    <row r="2336">
      <c r="A2336" s="1" t="s">
        <v>2335</v>
      </c>
      <c r="D2336" s="3">
        <f>IFERROR(__xludf.DUMMYFUNCTION("SPLIT(A2336, ""|"")"),43165.0)</f>
        <v>43165</v>
      </c>
      <c r="E2336" s="2">
        <f>IFERROR(__xludf.DUMMYFUNCTION("""COMPUTED_VALUE"""),366003.0)</f>
        <v>366003</v>
      </c>
      <c r="F2336" s="2">
        <f>IFERROR(__xludf.DUMMYFUNCTION("""COMPUTED_VALUE"""),4274384.0)</f>
        <v>4274384</v>
      </c>
      <c r="G2336" s="2">
        <f>IFERROR(__xludf.DUMMYFUNCTION("""COMPUTED_VALUE"""),99.5199999999999)</f>
        <v>99.52</v>
      </c>
    </row>
    <row r="2337">
      <c r="A2337" s="1" t="s">
        <v>2336</v>
      </c>
      <c r="D2337" s="3">
        <f>IFERROR(__xludf.DUMMYFUNCTION("SPLIT(A2337, ""|"")"),43165.0)</f>
        <v>43165</v>
      </c>
      <c r="E2337" s="2">
        <f>IFERROR(__xludf.DUMMYFUNCTION("""COMPUTED_VALUE"""),1543353.0)</f>
        <v>1543353</v>
      </c>
      <c r="F2337" s="2">
        <f>IFERROR(__xludf.DUMMYFUNCTION("""COMPUTED_VALUE"""),4276005.0)</f>
        <v>4276005</v>
      </c>
      <c r="G2337" s="2">
        <f>IFERROR(__xludf.DUMMYFUNCTION("""COMPUTED_VALUE"""),25.7338)</f>
        <v>25.7338</v>
      </c>
    </row>
    <row r="2338">
      <c r="A2338" s="1" t="s">
        <v>2337</v>
      </c>
      <c r="D2338" s="3">
        <f>IFERROR(__xludf.DUMMYFUNCTION("SPLIT(A2338, ""|"")"),43165.0)</f>
        <v>43165</v>
      </c>
      <c r="E2338" s="2">
        <f>IFERROR(__xludf.DUMMYFUNCTION("""COMPUTED_VALUE"""),1542783.0)</f>
        <v>1542783</v>
      </c>
      <c r="F2338" s="2">
        <f>IFERROR(__xludf.DUMMYFUNCTION("""COMPUTED_VALUE"""),4274593.0)</f>
        <v>4274593</v>
      </c>
      <c r="G2338" s="2">
        <f>IFERROR(__xludf.DUMMYFUNCTION("""COMPUTED_VALUE"""),36.875)</f>
        <v>36.875</v>
      </c>
    </row>
    <row r="2339">
      <c r="A2339" s="1" t="s">
        <v>2338</v>
      </c>
      <c r="D2339" s="3">
        <f>IFERROR(__xludf.DUMMYFUNCTION("SPLIT(A2339, ""|"")"),43165.0)</f>
        <v>43165</v>
      </c>
      <c r="E2339" s="2">
        <f>IFERROR(__xludf.DUMMYFUNCTION("""COMPUTED_VALUE"""),1542573.0)</f>
        <v>1542573</v>
      </c>
      <c r="F2339" s="2">
        <f>IFERROR(__xludf.DUMMYFUNCTION("""COMPUTED_VALUE"""),4273404.0)</f>
        <v>4273404</v>
      </c>
      <c r="G2339" s="2">
        <f>IFERROR(__xludf.DUMMYFUNCTION("""COMPUTED_VALUE"""),14.9917)</f>
        <v>14.9917</v>
      </c>
    </row>
    <row r="2340">
      <c r="A2340" s="1" t="s">
        <v>2339</v>
      </c>
      <c r="D2340" s="3">
        <f>IFERROR(__xludf.DUMMYFUNCTION("SPLIT(A2340, ""|"")"),43165.0)</f>
        <v>43165</v>
      </c>
      <c r="E2340" s="2">
        <f>IFERROR(__xludf.DUMMYFUNCTION("""COMPUTED_VALUE"""),318843.0)</f>
        <v>318843</v>
      </c>
      <c r="F2340" s="2">
        <f>IFERROR(__xludf.DUMMYFUNCTION("""COMPUTED_VALUE"""),4274927.0)</f>
        <v>4274927</v>
      </c>
      <c r="G2340" s="2">
        <f>IFERROR(__xludf.DUMMYFUNCTION("""COMPUTED_VALUE"""),38.1946)</f>
        <v>38.1946</v>
      </c>
    </row>
    <row r="2341">
      <c r="A2341" s="1" t="s">
        <v>2340</v>
      </c>
      <c r="D2341" s="3">
        <f>IFERROR(__xludf.DUMMYFUNCTION("SPLIT(A2341, ""|"")"),43165.0)</f>
        <v>43165</v>
      </c>
      <c r="E2341" s="2">
        <f>IFERROR(__xludf.DUMMYFUNCTION("""COMPUTED_VALUE"""),1542813.0)</f>
        <v>1542813</v>
      </c>
      <c r="F2341" s="2">
        <f>IFERROR(__xludf.DUMMYFUNCTION("""COMPUTED_VALUE"""),4274215.0)</f>
        <v>4274215</v>
      </c>
      <c r="G2341" s="2">
        <f>IFERROR(__xludf.DUMMYFUNCTION("""COMPUTED_VALUE"""),29.9834)</f>
        <v>29.9834</v>
      </c>
    </row>
    <row r="2342">
      <c r="A2342" s="1" t="s">
        <v>2341</v>
      </c>
      <c r="D2342" s="3">
        <f>IFERROR(__xludf.DUMMYFUNCTION("SPLIT(A2342, ""|"")"),43421.0)</f>
        <v>43421</v>
      </c>
      <c r="E2342" s="2">
        <f>IFERROR(__xludf.DUMMYFUNCTION("""COMPUTED_VALUE"""),1760403.0)</f>
        <v>1760403</v>
      </c>
      <c r="F2342" s="2">
        <f>IFERROR(__xludf.DUMMYFUNCTION("""COMPUTED_VALUE"""),5119611.0)</f>
        <v>5119611</v>
      </c>
      <c r="G2342" s="2">
        <f>IFERROR(__xludf.DUMMYFUNCTION("""COMPUTED_VALUE"""),115.8333)</f>
        <v>115.8333</v>
      </c>
    </row>
    <row r="2343">
      <c r="A2343" s="1" t="s">
        <v>2342</v>
      </c>
      <c r="D2343" s="3">
        <f>IFERROR(__xludf.DUMMYFUNCTION("SPLIT(A2343, ""|"")"),43421.0)</f>
        <v>43421</v>
      </c>
      <c r="E2343" s="2">
        <f>IFERROR(__xludf.DUMMYFUNCTION("""COMPUTED_VALUE"""),1759473.0)</f>
        <v>1759473</v>
      </c>
      <c r="F2343" s="2">
        <f>IFERROR(__xludf.DUMMYFUNCTION("""COMPUTED_VALUE"""),5116098.0)</f>
        <v>5116098</v>
      </c>
      <c r="G2343" s="2">
        <f>IFERROR(__xludf.DUMMYFUNCTION("""COMPUTED_VALUE"""),31.6666)</f>
        <v>31.6666</v>
      </c>
    </row>
    <row r="2344">
      <c r="A2344" s="1" t="s">
        <v>2343</v>
      </c>
      <c r="D2344" s="3">
        <f>IFERROR(__xludf.DUMMYFUNCTION("SPLIT(A2344, ""|"")"),43421.0)</f>
        <v>43421</v>
      </c>
      <c r="E2344" s="2">
        <f>IFERROR(__xludf.DUMMYFUNCTION("""COMPUTED_VALUE"""),1759143.0)</f>
        <v>1759143</v>
      </c>
      <c r="F2344" s="2">
        <f>IFERROR(__xludf.DUMMYFUNCTION("""COMPUTED_VALUE"""),5114967.0)</f>
        <v>5114967</v>
      </c>
      <c r="G2344" s="2">
        <f>IFERROR(__xludf.DUMMYFUNCTION("""COMPUTED_VALUE"""),27.1191)</f>
        <v>27.1191</v>
      </c>
    </row>
    <row r="2345">
      <c r="A2345" s="1" t="s">
        <v>2344</v>
      </c>
      <c r="D2345" s="3">
        <f>IFERROR(__xludf.DUMMYFUNCTION("SPLIT(A2345, ""|"")"),43421.0)</f>
        <v>43421</v>
      </c>
      <c r="E2345" s="2">
        <f>IFERROR(__xludf.DUMMYFUNCTION("""COMPUTED_VALUE"""),1759533.0)</f>
        <v>1759533</v>
      </c>
      <c r="F2345" s="2">
        <f>IFERROR(__xludf.DUMMYFUNCTION("""COMPUTED_VALUE"""),5116644.0)</f>
        <v>5116644</v>
      </c>
      <c r="G2345" s="2">
        <f>IFERROR(__xludf.DUMMYFUNCTION("""COMPUTED_VALUE"""),57.8018999999999)</f>
        <v>57.8019</v>
      </c>
    </row>
    <row r="2346">
      <c r="A2346" s="1" t="s">
        <v>2345</v>
      </c>
      <c r="D2346" s="3">
        <f>IFERROR(__xludf.DUMMYFUNCTION("SPLIT(A2346, ""|"")"),43421.0)</f>
        <v>43421</v>
      </c>
      <c r="E2346" s="2">
        <f>IFERROR(__xludf.DUMMYFUNCTION("""COMPUTED_VALUE"""),1407333.0)</f>
        <v>1407333</v>
      </c>
      <c r="F2346" s="2">
        <f>IFERROR(__xludf.DUMMYFUNCTION("""COMPUTED_VALUE"""),5117631.0)</f>
        <v>5117631</v>
      </c>
      <c r="G2346" s="2">
        <f>IFERROR(__xludf.DUMMYFUNCTION("""COMPUTED_VALUE"""),104.5679)</f>
        <v>104.5679</v>
      </c>
    </row>
    <row r="2347">
      <c r="A2347" s="1" t="s">
        <v>2346</v>
      </c>
      <c r="D2347" s="3">
        <f>IFERROR(__xludf.DUMMYFUNCTION("SPLIT(A2347, ""|"")"),43421.0)</f>
        <v>43421</v>
      </c>
      <c r="E2347" s="2">
        <f>IFERROR(__xludf.DUMMYFUNCTION("""COMPUTED_VALUE"""),1237893.0)</f>
        <v>1237893</v>
      </c>
      <c r="F2347" s="2">
        <f>IFERROR(__xludf.DUMMYFUNCTION("""COMPUTED_VALUE"""),5118333.0)</f>
        <v>5118333</v>
      </c>
      <c r="G2347" s="2">
        <f>IFERROR(__xludf.DUMMYFUNCTION("""COMPUTED_VALUE"""),108.591199999999)</f>
        <v>108.5912</v>
      </c>
    </row>
    <row r="2348">
      <c r="A2348" s="1" t="s">
        <v>2347</v>
      </c>
      <c r="D2348" s="3">
        <f>IFERROR(__xludf.DUMMYFUNCTION("SPLIT(A2348, ""|"")"),43421.0)</f>
        <v>43421</v>
      </c>
      <c r="E2348" s="2">
        <f>IFERROR(__xludf.DUMMYFUNCTION("""COMPUTED_VALUE"""),1510383.0)</f>
        <v>1510383</v>
      </c>
      <c r="F2348" s="2">
        <f>IFERROR(__xludf.DUMMYFUNCTION("""COMPUTED_VALUE"""),5118624.0)</f>
        <v>5118624</v>
      </c>
      <c r="G2348" s="2">
        <f>IFERROR(__xludf.DUMMYFUNCTION("""COMPUTED_VALUE"""),80.5513)</f>
        <v>80.5513</v>
      </c>
    </row>
    <row r="2349">
      <c r="A2349" s="1" t="s">
        <v>2348</v>
      </c>
      <c r="D2349" s="3">
        <f>IFERROR(__xludf.DUMMYFUNCTION("SPLIT(A2349, ""|"")"),43421.0)</f>
        <v>43421</v>
      </c>
      <c r="E2349" s="2">
        <f>IFERROR(__xludf.DUMMYFUNCTION("""COMPUTED_VALUE"""),1759293.0)</f>
        <v>1759293</v>
      </c>
      <c r="F2349" s="2">
        <f>IFERROR(__xludf.DUMMYFUNCTION("""COMPUTED_VALUE"""),5115546.0)</f>
        <v>5115546</v>
      </c>
      <c r="G2349" s="2">
        <f>IFERROR(__xludf.DUMMYFUNCTION("""COMPUTED_VALUE"""),24.9167)</f>
        <v>24.9167</v>
      </c>
    </row>
    <row r="2350">
      <c r="A2350" s="1" t="s">
        <v>2349</v>
      </c>
      <c r="D2350" s="3">
        <f>IFERROR(__xludf.DUMMYFUNCTION("SPLIT(A2350, ""|"")"),43421.0)</f>
        <v>43421</v>
      </c>
      <c r="E2350" s="2">
        <f>IFERROR(__xludf.DUMMYFUNCTION("""COMPUTED_VALUE"""),1245363.0)</f>
        <v>1245363</v>
      </c>
      <c r="F2350" s="2">
        <f>IFERROR(__xludf.DUMMYFUNCTION("""COMPUTED_VALUE"""),5120928.0)</f>
        <v>5120928</v>
      </c>
      <c r="G2350" s="2">
        <f>IFERROR(__xludf.DUMMYFUNCTION("""COMPUTED_VALUE"""),71.651)</f>
        <v>71.651</v>
      </c>
    </row>
    <row r="2351">
      <c r="A2351" s="1" t="s">
        <v>2350</v>
      </c>
      <c r="D2351" s="3">
        <f>IFERROR(__xludf.DUMMYFUNCTION("SPLIT(A2351, ""|"")"),43421.0)</f>
        <v>43421</v>
      </c>
      <c r="E2351" s="2">
        <f>IFERROR(__xludf.DUMMYFUNCTION("""COMPUTED_VALUE"""),1760613.0)</f>
        <v>1760613</v>
      </c>
      <c r="F2351" s="2">
        <f>IFERROR(__xludf.DUMMYFUNCTION("""COMPUTED_VALUE"""),5120085.0)</f>
        <v>5120085</v>
      </c>
      <c r="G2351" s="2">
        <f>IFERROR(__xludf.DUMMYFUNCTION("""COMPUTED_VALUE"""),68.8450999999999)</f>
        <v>68.8451</v>
      </c>
    </row>
    <row r="2352">
      <c r="A2352" s="1" t="s">
        <v>2351</v>
      </c>
      <c r="D2352" s="3">
        <f>IFERROR(__xludf.DUMMYFUNCTION("SPLIT(A2352, ""|"")"),43421.0)</f>
        <v>43421</v>
      </c>
      <c r="E2352" s="2">
        <f>IFERROR(__xludf.DUMMYFUNCTION("""COMPUTED_VALUE"""),1760313.0)</f>
        <v>1760313</v>
      </c>
      <c r="F2352" s="2">
        <f>IFERROR(__xludf.DUMMYFUNCTION("""COMPUTED_VALUE"""),5119047.0)</f>
        <v>5119047</v>
      </c>
      <c r="G2352" s="2">
        <f>IFERROR(__xludf.DUMMYFUNCTION("""COMPUTED_VALUE"""),35.0493)</f>
        <v>35.0493</v>
      </c>
    </row>
    <row r="2353">
      <c r="A2353" s="1" t="s">
        <v>2352</v>
      </c>
      <c r="D2353" s="3">
        <f>IFERROR(__xludf.DUMMYFUNCTION("SPLIT(A2353, ""|"")"),43421.0)</f>
        <v>43421</v>
      </c>
      <c r="E2353" s="2">
        <f>IFERROR(__xludf.DUMMYFUNCTION("""COMPUTED_VALUE"""),1758993.0)</f>
        <v>1758993</v>
      </c>
      <c r="F2353" s="2">
        <f>IFERROR(__xludf.DUMMYFUNCTION("""COMPUTED_VALUE"""),5114592.0)</f>
        <v>5114592</v>
      </c>
      <c r="G2353" s="2">
        <f>IFERROR(__xludf.DUMMYFUNCTION("""COMPUTED_VALUE"""),21.1084)</f>
        <v>21.1084</v>
      </c>
    </row>
    <row r="2354">
      <c r="A2354" s="1" t="s">
        <v>2353</v>
      </c>
      <c r="D2354" s="3">
        <f>IFERROR(__xludf.DUMMYFUNCTION("SPLIT(A2354, ""|"")"),43421.0)</f>
        <v>43421</v>
      </c>
      <c r="E2354" s="2">
        <f>IFERROR(__xludf.DUMMYFUNCTION("""COMPUTED_VALUE"""),1759023.0)</f>
        <v>1759023</v>
      </c>
      <c r="F2354" s="2">
        <f>IFERROR(__xludf.DUMMYFUNCTION("""COMPUTED_VALUE"""),5114637.0)</f>
        <v>5114637</v>
      </c>
      <c r="G2354" s="2">
        <f>IFERROR(__xludf.DUMMYFUNCTION("""COMPUTED_VALUE"""),7.2109)</f>
        <v>7.2109</v>
      </c>
    </row>
    <row r="2355">
      <c r="A2355" s="1" t="s">
        <v>2354</v>
      </c>
      <c r="D2355" s="3">
        <f>IFERROR(__xludf.DUMMYFUNCTION("SPLIT(A2355, ""|"")"),43421.0)</f>
        <v>43421</v>
      </c>
      <c r="E2355" s="2">
        <f>IFERROR(__xludf.DUMMYFUNCTION("""COMPUTED_VALUE"""),1409583.0)</f>
        <v>1409583</v>
      </c>
      <c r="F2355" s="2">
        <f>IFERROR(__xludf.DUMMYFUNCTION("""COMPUTED_VALUE"""),5113572.0)</f>
        <v>5113572</v>
      </c>
      <c r="G2355" s="2">
        <f>IFERROR(__xludf.DUMMYFUNCTION("""COMPUTED_VALUE"""),85.6526)</f>
        <v>85.6526</v>
      </c>
    </row>
    <row r="2356">
      <c r="A2356" s="1" t="s">
        <v>2355</v>
      </c>
      <c r="D2356" s="3">
        <f>IFERROR(__xludf.DUMMYFUNCTION("SPLIT(A2356, ""|"")"),43421.0)</f>
        <v>43421</v>
      </c>
      <c r="E2356" s="2">
        <f>IFERROR(__xludf.DUMMYFUNCTION("""COMPUTED_VALUE"""),1760643.0)</f>
        <v>1760643</v>
      </c>
      <c r="F2356" s="2">
        <f>IFERROR(__xludf.DUMMYFUNCTION("""COMPUTED_VALUE"""),5120187.0)</f>
        <v>5120187</v>
      </c>
      <c r="G2356" s="2">
        <f>IFERROR(__xludf.DUMMYFUNCTION("""COMPUTED_VALUE"""),31.1875)</f>
        <v>31.1875</v>
      </c>
    </row>
    <row r="2357">
      <c r="A2357" s="1" t="s">
        <v>2356</v>
      </c>
      <c r="D2357" s="3">
        <f>IFERROR(__xludf.DUMMYFUNCTION("SPLIT(A2357, ""|"")"),43166.0)</f>
        <v>43166</v>
      </c>
      <c r="E2357" s="2">
        <f>IFERROR(__xludf.DUMMYFUNCTION("""COMPUTED_VALUE"""),1423773.0)</f>
        <v>1423773</v>
      </c>
      <c r="F2357" s="2">
        <f>IFERROR(__xludf.DUMMYFUNCTION("""COMPUTED_VALUE"""),4278428.0)</f>
        <v>4278428</v>
      </c>
      <c r="G2357" s="2">
        <f>IFERROR(__xludf.DUMMYFUNCTION("""COMPUTED_VALUE"""),69.6355)</f>
        <v>69.6355</v>
      </c>
    </row>
    <row r="2358">
      <c r="A2358" s="1" t="s">
        <v>2357</v>
      </c>
      <c r="D2358" s="3">
        <f>IFERROR(__xludf.DUMMYFUNCTION("SPLIT(A2358, ""|"")"),43166.0)</f>
        <v>43166</v>
      </c>
      <c r="E2358" s="2">
        <f>IFERROR(__xludf.DUMMYFUNCTION("""COMPUTED_VALUE"""),1543923.0)</f>
        <v>1543923</v>
      </c>
      <c r="F2358" s="2">
        <f>IFERROR(__xludf.DUMMYFUNCTION("""COMPUTED_VALUE"""),4278089.0)</f>
        <v>4278089</v>
      </c>
      <c r="G2358" s="2">
        <f>IFERROR(__xludf.DUMMYFUNCTION("""COMPUTED_VALUE"""),60.3976)</f>
        <v>60.3976</v>
      </c>
    </row>
    <row r="2359">
      <c r="A2359" s="1" t="s">
        <v>2358</v>
      </c>
      <c r="D2359" s="3">
        <f>IFERROR(__xludf.DUMMYFUNCTION("SPLIT(A2359, ""|"")"),43166.0)</f>
        <v>43166</v>
      </c>
      <c r="E2359" s="2">
        <f>IFERROR(__xludf.DUMMYFUNCTION("""COMPUTED_VALUE"""),1341843.0)</f>
        <v>1341843</v>
      </c>
      <c r="F2359" s="2">
        <f>IFERROR(__xludf.DUMMYFUNCTION("""COMPUTED_VALUE"""),4279128.0)</f>
        <v>4279128</v>
      </c>
      <c r="G2359" s="2">
        <f>IFERROR(__xludf.DUMMYFUNCTION("""COMPUTED_VALUE"""),122.558799999999)</f>
        <v>122.5588</v>
      </c>
    </row>
    <row r="2360">
      <c r="A2360" s="1" t="s">
        <v>2359</v>
      </c>
      <c r="D2360" s="3">
        <f>IFERROR(__xludf.DUMMYFUNCTION("SPLIT(A2360, ""|"")"),43166.0)</f>
        <v>43166</v>
      </c>
      <c r="E2360" s="2">
        <f>IFERROR(__xludf.DUMMYFUNCTION("""COMPUTED_VALUE"""),1291233.0)</f>
        <v>1291233</v>
      </c>
      <c r="F2360" s="2">
        <f>IFERROR(__xludf.DUMMYFUNCTION("""COMPUTED_VALUE"""),4278107.0)</f>
        <v>4278107</v>
      </c>
      <c r="G2360" s="2">
        <f>IFERROR(__xludf.DUMMYFUNCTION("""COMPUTED_VALUE"""),80.2308999999999)</f>
        <v>80.2309</v>
      </c>
    </row>
    <row r="2361">
      <c r="A2361" s="1" t="s">
        <v>2360</v>
      </c>
      <c r="D2361" s="3">
        <f>IFERROR(__xludf.DUMMYFUNCTION("SPLIT(A2361, ""|"")"),43166.0)</f>
        <v>43166</v>
      </c>
      <c r="E2361" s="2">
        <f>IFERROR(__xludf.DUMMYFUNCTION("""COMPUTED_VALUE"""),1368123.0)</f>
        <v>1368123</v>
      </c>
      <c r="F2361" s="2">
        <f>IFERROR(__xludf.DUMMYFUNCTION("""COMPUTED_VALUE"""),4276826.0)</f>
        <v>4276826</v>
      </c>
      <c r="G2361" s="2">
        <f>IFERROR(__xludf.DUMMYFUNCTION("""COMPUTED_VALUE"""),39.4393)</f>
        <v>39.4393</v>
      </c>
    </row>
    <row r="2362">
      <c r="A2362" s="1" t="s">
        <v>2361</v>
      </c>
      <c r="D2362" s="3">
        <f>IFERROR(__xludf.DUMMYFUNCTION("SPLIT(A2362, ""|"")"),43166.0)</f>
        <v>43166</v>
      </c>
      <c r="E2362" s="2">
        <f>IFERROR(__xludf.DUMMYFUNCTION("""COMPUTED_VALUE"""),1544253.0)</f>
        <v>1544253</v>
      </c>
      <c r="F2362" s="2">
        <f>IFERROR(__xludf.DUMMYFUNCTION("""COMPUTED_VALUE"""),4279189.0)</f>
        <v>4279189</v>
      </c>
      <c r="G2362" s="2">
        <f>IFERROR(__xludf.DUMMYFUNCTION("""COMPUTED_VALUE"""),82.1712)</f>
        <v>82.1712</v>
      </c>
    </row>
    <row r="2363">
      <c r="A2363" s="1" t="s">
        <v>2362</v>
      </c>
      <c r="D2363" s="3">
        <f>IFERROR(__xludf.DUMMYFUNCTION("SPLIT(A2363, ""|"")"),43166.0)</f>
        <v>43166</v>
      </c>
      <c r="E2363" s="2">
        <f>IFERROR(__xludf.DUMMYFUNCTION("""COMPUTED_VALUE"""),1543953.0)</f>
        <v>1543953</v>
      </c>
      <c r="F2363" s="2">
        <f>IFERROR(__xludf.DUMMYFUNCTION("""COMPUTED_VALUE"""),4278170.0)</f>
        <v>4278170</v>
      </c>
      <c r="G2363" s="2">
        <f>IFERROR(__xludf.DUMMYFUNCTION("""COMPUTED_VALUE"""),13.2365)</f>
        <v>13.2365</v>
      </c>
    </row>
    <row r="2364">
      <c r="A2364" s="1" t="s">
        <v>2363</v>
      </c>
      <c r="D2364" s="3">
        <f>IFERROR(__xludf.DUMMYFUNCTION("SPLIT(A2364, ""|"")"),43422.0)</f>
        <v>43422</v>
      </c>
      <c r="E2364" s="2">
        <f>IFERROR(__xludf.DUMMYFUNCTION("""COMPUTED_VALUE"""),1762653.0)</f>
        <v>1762653</v>
      </c>
      <c r="F2364" s="2">
        <f>IFERROR(__xludf.DUMMYFUNCTION("""COMPUTED_VALUE"""),5127111.0)</f>
        <v>5127111</v>
      </c>
      <c r="G2364" s="2">
        <f>IFERROR(__xludf.DUMMYFUNCTION("""COMPUTED_VALUE"""),46.0346)</f>
        <v>46.0346</v>
      </c>
    </row>
    <row r="2365">
      <c r="A2365" s="1" t="s">
        <v>2364</v>
      </c>
      <c r="D2365" s="3">
        <f>IFERROR(__xludf.DUMMYFUNCTION("SPLIT(A2365, ""|"")"),43422.0)</f>
        <v>43422</v>
      </c>
      <c r="E2365" s="2">
        <f>IFERROR(__xludf.DUMMYFUNCTION("""COMPUTED_VALUE"""),1763853.0)</f>
        <v>1763853</v>
      </c>
      <c r="F2365" s="2">
        <f>IFERROR(__xludf.DUMMYFUNCTION("""COMPUTED_VALUE"""),5131566.0)</f>
        <v>5131566</v>
      </c>
      <c r="G2365" s="2">
        <f>IFERROR(__xludf.DUMMYFUNCTION("""COMPUTED_VALUE"""),27.3583)</f>
        <v>27.3583</v>
      </c>
    </row>
    <row r="2366">
      <c r="A2366" s="1" t="s">
        <v>2365</v>
      </c>
      <c r="D2366" s="3">
        <f>IFERROR(__xludf.DUMMYFUNCTION("SPLIT(A2366, ""|"")"),43422.0)</f>
        <v>43422</v>
      </c>
      <c r="E2366" s="2">
        <f>IFERROR(__xludf.DUMMYFUNCTION("""COMPUTED_VALUE"""),1761573.0)</f>
        <v>1761573</v>
      </c>
      <c r="F2366" s="2">
        <f>IFERROR(__xludf.DUMMYFUNCTION("""COMPUTED_VALUE"""),5123493.0)</f>
        <v>5123493</v>
      </c>
      <c r="G2366" s="2">
        <f>IFERROR(__xludf.DUMMYFUNCTION("""COMPUTED_VALUE"""),74.2334)</f>
        <v>74.2334</v>
      </c>
    </row>
    <row r="2367">
      <c r="A2367" s="1" t="s">
        <v>2366</v>
      </c>
      <c r="D2367" s="3">
        <f>IFERROR(__xludf.DUMMYFUNCTION("SPLIT(A2367, ""|"")"),43422.0)</f>
        <v>43422</v>
      </c>
      <c r="E2367" s="2">
        <f>IFERROR(__xludf.DUMMYFUNCTION("""COMPUTED_VALUE"""),1351803.0)</f>
        <v>1351803</v>
      </c>
      <c r="F2367" s="2">
        <f>IFERROR(__xludf.DUMMYFUNCTION("""COMPUTED_VALUE"""),5125812.0)</f>
        <v>5125812</v>
      </c>
      <c r="G2367" s="2">
        <f>IFERROR(__xludf.DUMMYFUNCTION("""COMPUTED_VALUE"""),100.9053)</f>
        <v>100.9053</v>
      </c>
    </row>
    <row r="2368">
      <c r="A2368" s="1" t="s">
        <v>2367</v>
      </c>
      <c r="D2368" s="3">
        <f>IFERROR(__xludf.DUMMYFUNCTION("SPLIT(A2368, ""|"")"),43422.0)</f>
        <v>43422</v>
      </c>
      <c r="E2368" s="2">
        <f>IFERROR(__xludf.DUMMYFUNCTION("""COMPUTED_VALUE"""),1764093.0)</f>
        <v>1764093</v>
      </c>
      <c r="F2368" s="2">
        <f>IFERROR(__xludf.DUMMYFUNCTION("""COMPUTED_VALUE"""),5132481.0)</f>
        <v>5132481</v>
      </c>
      <c r="G2368" s="2">
        <f>IFERROR(__xludf.DUMMYFUNCTION("""COMPUTED_VALUE"""),38.9667)</f>
        <v>38.9667</v>
      </c>
    </row>
    <row r="2369">
      <c r="A2369" s="1" t="s">
        <v>2368</v>
      </c>
      <c r="D2369" s="3">
        <f>IFERROR(__xludf.DUMMYFUNCTION("SPLIT(A2369, ""|"")"),43422.0)</f>
        <v>43422</v>
      </c>
      <c r="E2369" s="2">
        <f>IFERROR(__xludf.DUMMYFUNCTION("""COMPUTED_VALUE"""),1759203.0)</f>
        <v>1759203</v>
      </c>
      <c r="F2369" s="2">
        <f>IFERROR(__xludf.DUMMYFUNCTION("""COMPUTED_VALUE"""),5124984.0)</f>
        <v>5124984</v>
      </c>
      <c r="G2369" s="2">
        <f>IFERROR(__xludf.DUMMYFUNCTION("""COMPUTED_VALUE"""),53.0542)</f>
        <v>53.0542</v>
      </c>
    </row>
    <row r="2370">
      <c r="A2370" s="1" t="s">
        <v>2369</v>
      </c>
      <c r="D2370" s="3">
        <f>IFERROR(__xludf.DUMMYFUNCTION("SPLIT(A2370, ""|"")"),43422.0)</f>
        <v>43422</v>
      </c>
      <c r="E2370" s="2">
        <f>IFERROR(__xludf.DUMMYFUNCTION("""COMPUTED_VALUE"""),1762683.0)</f>
        <v>1762683</v>
      </c>
      <c r="F2370" s="2">
        <f>IFERROR(__xludf.DUMMYFUNCTION("""COMPUTED_VALUE"""),5127237.0)</f>
        <v>5127237</v>
      </c>
      <c r="G2370" s="2">
        <f>IFERROR(__xludf.DUMMYFUNCTION("""COMPUTED_VALUE"""),26.8458)</f>
        <v>26.8458</v>
      </c>
    </row>
    <row r="2371">
      <c r="A2371" s="1" t="s">
        <v>2370</v>
      </c>
      <c r="D2371" s="3">
        <f>IFERROR(__xludf.DUMMYFUNCTION("SPLIT(A2371, ""|"")"),43422.0)</f>
        <v>43422</v>
      </c>
      <c r="E2371" s="2">
        <f>IFERROR(__xludf.DUMMYFUNCTION("""COMPUTED_VALUE"""),1758333.0)</f>
        <v>1758333</v>
      </c>
      <c r="F2371" s="2">
        <f>IFERROR(__xludf.DUMMYFUNCTION("""COMPUTED_VALUE"""),5125986.0)</f>
        <v>5125986</v>
      </c>
      <c r="G2371" s="2">
        <f>IFERROR(__xludf.DUMMYFUNCTION("""COMPUTED_VALUE"""),72.9057)</f>
        <v>72.9057</v>
      </c>
    </row>
    <row r="2372">
      <c r="A2372" s="1" t="s">
        <v>2371</v>
      </c>
      <c r="D2372" s="3">
        <f>IFERROR(__xludf.DUMMYFUNCTION("SPLIT(A2372, ""|"")"),43422.0)</f>
        <v>43422</v>
      </c>
      <c r="E2372" s="2">
        <f>IFERROR(__xludf.DUMMYFUNCTION("""COMPUTED_VALUE"""),1125543.0)</f>
        <v>1125543</v>
      </c>
      <c r="F2372" s="2">
        <f>IFERROR(__xludf.DUMMYFUNCTION("""COMPUTED_VALUE"""),5132808.0)</f>
        <v>5132808</v>
      </c>
      <c r="G2372" s="2">
        <f>IFERROR(__xludf.DUMMYFUNCTION("""COMPUTED_VALUE"""),64.0038)</f>
        <v>64.0038</v>
      </c>
    </row>
    <row r="2373">
      <c r="A2373" s="1" t="s">
        <v>2372</v>
      </c>
      <c r="D2373" s="3">
        <f>IFERROR(__xludf.DUMMYFUNCTION("SPLIT(A2373, ""|"")"),43422.0)</f>
        <v>43422</v>
      </c>
      <c r="E2373" s="2">
        <f>IFERROR(__xludf.DUMMYFUNCTION("""COMPUTED_VALUE"""),1763583.0)</f>
        <v>1763583</v>
      </c>
      <c r="F2373" s="2">
        <f>IFERROR(__xludf.DUMMYFUNCTION("""COMPUTED_VALUE"""),5130369.0)</f>
        <v>5130369</v>
      </c>
      <c r="G2373" s="2">
        <f>IFERROR(__xludf.DUMMYFUNCTION("""COMPUTED_VALUE"""),71.5873)</f>
        <v>71.5873</v>
      </c>
    </row>
    <row r="2374">
      <c r="A2374" s="1" t="s">
        <v>2373</v>
      </c>
      <c r="D2374" s="3">
        <f>IFERROR(__xludf.DUMMYFUNCTION("SPLIT(A2374, ""|"")"),43422.0)</f>
        <v>43422</v>
      </c>
      <c r="E2374" s="2">
        <f>IFERROR(__xludf.DUMMYFUNCTION("""COMPUTED_VALUE"""),1040523.0)</f>
        <v>1040523</v>
      </c>
      <c r="F2374" s="2">
        <f>IFERROR(__xludf.DUMMYFUNCTION("""COMPUTED_VALUE"""),5126868.0)</f>
        <v>5126868</v>
      </c>
      <c r="G2374" s="2">
        <f>IFERROR(__xludf.DUMMYFUNCTION("""COMPUTED_VALUE"""),67.2817)</f>
        <v>67.2817</v>
      </c>
    </row>
    <row r="2375">
      <c r="A2375" s="1" t="s">
        <v>2374</v>
      </c>
      <c r="D2375" s="3">
        <f>IFERROR(__xludf.DUMMYFUNCTION("SPLIT(A2375, ""|"")"),43422.0)</f>
        <v>43422</v>
      </c>
      <c r="E2375" s="2">
        <f>IFERROR(__xludf.DUMMYFUNCTION("""COMPUTED_VALUE"""),1220073.0)</f>
        <v>1220073</v>
      </c>
      <c r="F2375" s="2">
        <f>IFERROR(__xludf.DUMMYFUNCTION("""COMPUTED_VALUE"""),5124441.0)</f>
        <v>5124441</v>
      </c>
      <c r="G2375" s="2">
        <f>IFERROR(__xludf.DUMMYFUNCTION("""COMPUTED_VALUE"""),118.4296)</f>
        <v>118.4296</v>
      </c>
    </row>
    <row r="2376">
      <c r="A2376" s="1" t="s">
        <v>2375</v>
      </c>
      <c r="D2376" s="3">
        <f>IFERROR(__xludf.DUMMYFUNCTION("SPLIT(A2376, ""|"")"),43422.0)</f>
        <v>43422</v>
      </c>
      <c r="E2376" s="2">
        <f>IFERROR(__xludf.DUMMYFUNCTION("""COMPUTED_VALUE"""),1763553.0)</f>
        <v>1763553</v>
      </c>
      <c r="F2376" s="2">
        <f>IFERROR(__xludf.DUMMYFUNCTION("""COMPUTED_VALUE"""),5130252.0)</f>
        <v>5130252</v>
      </c>
      <c r="G2376" s="2">
        <f>IFERROR(__xludf.DUMMYFUNCTION("""COMPUTED_VALUE"""),19.6288)</f>
        <v>19.6288</v>
      </c>
    </row>
    <row r="2377">
      <c r="A2377" s="1" t="s">
        <v>2376</v>
      </c>
      <c r="D2377" s="3">
        <f>IFERROR(__xludf.DUMMYFUNCTION("SPLIT(A2377, ""|"")"),43422.0)</f>
        <v>43422</v>
      </c>
      <c r="E2377" s="2">
        <f>IFERROR(__xludf.DUMMYFUNCTION("""COMPUTED_VALUE"""),1763133.0)</f>
        <v>1763133</v>
      </c>
      <c r="F2377" s="2">
        <f>IFERROR(__xludf.DUMMYFUNCTION("""COMPUTED_VALUE"""),5128788.0)</f>
        <v>5128788</v>
      </c>
      <c r="G2377" s="2">
        <f>IFERROR(__xludf.DUMMYFUNCTION("""COMPUTED_VALUE"""),27.1154)</f>
        <v>27.1154</v>
      </c>
    </row>
    <row r="2378">
      <c r="A2378" s="1" t="s">
        <v>2377</v>
      </c>
      <c r="D2378" s="3">
        <f>IFERROR(__xludf.DUMMYFUNCTION("SPLIT(A2378, ""|"")"),43422.0)</f>
        <v>43422</v>
      </c>
      <c r="E2378" s="2">
        <f>IFERROR(__xludf.DUMMYFUNCTION("""COMPUTED_VALUE"""),1762263.0)</f>
        <v>1762263</v>
      </c>
      <c r="F2378" s="2">
        <f>IFERROR(__xludf.DUMMYFUNCTION("""COMPUTED_VALUE"""),5125782.0)</f>
        <v>5125782</v>
      </c>
      <c r="G2378" s="2">
        <f>IFERROR(__xludf.DUMMYFUNCTION("""COMPUTED_VALUE"""),31.7536)</f>
        <v>31.7536</v>
      </c>
    </row>
    <row r="2379">
      <c r="A2379" s="1" t="s">
        <v>2378</v>
      </c>
      <c r="D2379" s="3">
        <f>IFERROR(__xludf.DUMMYFUNCTION("SPLIT(A2379, ""|"")"),43422.0)</f>
        <v>43422</v>
      </c>
      <c r="E2379" s="2">
        <f>IFERROR(__xludf.DUMMYFUNCTION("""COMPUTED_VALUE"""),1651263.0)</f>
        <v>1651263</v>
      </c>
      <c r="F2379" s="2">
        <f>IFERROR(__xludf.DUMMYFUNCTION("""COMPUTED_VALUE"""),5126298.0)</f>
        <v>5126298</v>
      </c>
      <c r="G2379" s="2">
        <f>IFERROR(__xludf.DUMMYFUNCTION("""COMPUTED_VALUE"""),29.0167)</f>
        <v>29.0167</v>
      </c>
    </row>
    <row r="2380">
      <c r="A2380" s="1" t="s">
        <v>2379</v>
      </c>
      <c r="D2380" s="3">
        <f>IFERROR(__xludf.DUMMYFUNCTION("SPLIT(A2380, ""|"")"),43422.0)</f>
        <v>43422</v>
      </c>
      <c r="E2380" s="2">
        <f>IFERROR(__xludf.DUMMYFUNCTION("""COMPUTED_VALUE"""),1676103.0)</f>
        <v>1676103</v>
      </c>
      <c r="F2380" s="2">
        <f>IFERROR(__xludf.DUMMYFUNCTION("""COMPUTED_VALUE"""),5132799.0)</f>
        <v>5132799</v>
      </c>
      <c r="G2380" s="2">
        <f>IFERROR(__xludf.DUMMYFUNCTION("""COMPUTED_VALUE"""),113.9623)</f>
        <v>113.9623</v>
      </c>
    </row>
    <row r="2381">
      <c r="A2381" s="1" t="s">
        <v>2380</v>
      </c>
      <c r="D2381" s="3">
        <f>IFERROR(__xludf.DUMMYFUNCTION("SPLIT(A2381, ""|"")"),43422.0)</f>
        <v>43422</v>
      </c>
      <c r="E2381" s="2">
        <f>IFERROR(__xludf.DUMMYFUNCTION("""COMPUTED_VALUE"""),1635813.0)</f>
        <v>1635813</v>
      </c>
      <c r="F2381" s="2">
        <f>IFERROR(__xludf.DUMMYFUNCTION("""COMPUTED_VALUE"""),5124447.0)</f>
        <v>5124447</v>
      </c>
      <c r="G2381" s="2">
        <f>IFERROR(__xludf.DUMMYFUNCTION("""COMPUTED_VALUE"""),84.6518)</f>
        <v>84.6518</v>
      </c>
    </row>
    <row r="2382">
      <c r="A2382" s="1" t="s">
        <v>2381</v>
      </c>
      <c r="D2382" s="3">
        <f>IFERROR(__xludf.DUMMYFUNCTION("SPLIT(A2382, ""|"")"),43422.0)</f>
        <v>43422</v>
      </c>
      <c r="E2382" s="2">
        <f>IFERROR(__xludf.DUMMYFUNCTION("""COMPUTED_VALUE"""),1762443.0)</f>
        <v>1762443</v>
      </c>
      <c r="F2382" s="2">
        <f>IFERROR(__xludf.DUMMYFUNCTION("""COMPUTED_VALUE"""),5126502.0)</f>
        <v>5126502</v>
      </c>
      <c r="G2382" s="2">
        <f>IFERROR(__xludf.DUMMYFUNCTION("""COMPUTED_VALUE"""),5.656)</f>
        <v>5.656</v>
      </c>
    </row>
    <row r="2383">
      <c r="A2383" s="1" t="s">
        <v>2382</v>
      </c>
      <c r="D2383" s="3">
        <f>IFERROR(__xludf.DUMMYFUNCTION("SPLIT(A2383, ""|"")"),43422.0)</f>
        <v>43422</v>
      </c>
      <c r="E2383" s="2">
        <f>IFERROR(__xludf.DUMMYFUNCTION("""COMPUTED_VALUE"""),1761633.0)</f>
        <v>1761633</v>
      </c>
      <c r="F2383" s="2">
        <f>IFERROR(__xludf.DUMMYFUNCTION("""COMPUTED_VALUE"""),5123661.0)</f>
        <v>5123661</v>
      </c>
      <c r="G2383" s="2">
        <f>IFERROR(__xludf.DUMMYFUNCTION("""COMPUTED_VALUE"""),12.4563)</f>
        <v>12.4563</v>
      </c>
    </row>
    <row r="2384">
      <c r="A2384" s="1" t="s">
        <v>2383</v>
      </c>
      <c r="D2384" s="3">
        <f>IFERROR(__xludf.DUMMYFUNCTION("SPLIT(A2384, ""|"")"),43167.0)</f>
        <v>43167</v>
      </c>
      <c r="E2384" s="2">
        <f>IFERROR(__xludf.DUMMYFUNCTION("""COMPUTED_VALUE"""),1544523.0)</f>
        <v>1544523</v>
      </c>
      <c r="F2384" s="2">
        <f>IFERROR(__xludf.DUMMYFUNCTION("""COMPUTED_VALUE"""),4280251.0)</f>
        <v>4280251</v>
      </c>
      <c r="G2384" s="2">
        <f>IFERROR(__xludf.DUMMYFUNCTION("""COMPUTED_VALUE"""),95.26)</f>
        <v>95.26</v>
      </c>
    </row>
    <row r="2385">
      <c r="A2385" s="1" t="s">
        <v>2384</v>
      </c>
      <c r="D2385" s="3">
        <f>IFERROR(__xludf.DUMMYFUNCTION("SPLIT(A2385, ""|"")"),43167.0)</f>
        <v>43167</v>
      </c>
      <c r="E2385" s="2">
        <f>IFERROR(__xludf.DUMMYFUNCTION("""COMPUTED_VALUE"""),1478673.0)</f>
        <v>1478673</v>
      </c>
      <c r="F2385" s="2">
        <f>IFERROR(__xludf.DUMMYFUNCTION("""COMPUTED_VALUE"""),4281781.0)</f>
        <v>4281781</v>
      </c>
      <c r="G2385" s="2">
        <f>IFERROR(__xludf.DUMMYFUNCTION("""COMPUTED_VALUE"""),69.8318)</f>
        <v>69.8318</v>
      </c>
    </row>
    <row r="2386">
      <c r="A2386" s="1" t="s">
        <v>2385</v>
      </c>
      <c r="D2386" s="3">
        <f>IFERROR(__xludf.DUMMYFUNCTION("SPLIT(A2386, ""|"")"),43167.0)</f>
        <v>43167</v>
      </c>
      <c r="E2386" s="2">
        <f>IFERROR(__xludf.DUMMYFUNCTION("""COMPUTED_VALUE"""),1544043.0)</f>
        <v>1544043</v>
      </c>
      <c r="F2386" s="2">
        <f>IFERROR(__xludf.DUMMYFUNCTION("""COMPUTED_VALUE"""),4279493.0)</f>
        <v>4279493</v>
      </c>
      <c r="G2386" s="2">
        <f>IFERROR(__xludf.DUMMYFUNCTION("""COMPUTED_VALUE"""),134.7)</f>
        <v>134.7</v>
      </c>
    </row>
    <row r="2387">
      <c r="A2387" s="1" t="s">
        <v>2386</v>
      </c>
      <c r="D2387" s="3">
        <f>IFERROR(__xludf.DUMMYFUNCTION("SPLIT(A2387, ""|"")"),43167.0)</f>
        <v>43167</v>
      </c>
      <c r="E2387" s="2">
        <f>IFERROR(__xludf.DUMMYFUNCTION("""COMPUTED_VALUE"""),1545003.0)</f>
        <v>1545003</v>
      </c>
      <c r="F2387" s="2">
        <f>IFERROR(__xludf.DUMMYFUNCTION("""COMPUTED_VALUE"""),4282000.0)</f>
        <v>4282000</v>
      </c>
      <c r="G2387" s="2">
        <f>IFERROR(__xludf.DUMMYFUNCTION("""COMPUTED_VALUE"""),23.4603)</f>
        <v>23.4603</v>
      </c>
    </row>
    <row r="2388">
      <c r="A2388" s="1" t="s">
        <v>2387</v>
      </c>
      <c r="D2388" s="3">
        <f>IFERROR(__xludf.DUMMYFUNCTION("SPLIT(A2388, ""|"")"),43167.0)</f>
        <v>43167</v>
      </c>
      <c r="E2388" s="2">
        <f>IFERROR(__xludf.DUMMYFUNCTION("""COMPUTED_VALUE"""),1145583.0)</f>
        <v>1145583</v>
      </c>
      <c r="F2388" s="2">
        <f>IFERROR(__xludf.DUMMYFUNCTION("""COMPUTED_VALUE"""),4281912.0)</f>
        <v>4281912</v>
      </c>
      <c r="G2388" s="2">
        <f>IFERROR(__xludf.DUMMYFUNCTION("""COMPUTED_VALUE"""),64.2482)</f>
        <v>64.2482</v>
      </c>
    </row>
    <row r="2389">
      <c r="A2389" s="1" t="s">
        <v>2388</v>
      </c>
      <c r="D2389" s="3">
        <f>IFERROR(__xludf.DUMMYFUNCTION("SPLIT(A2389, ""|"")"),43423.0)</f>
        <v>43423</v>
      </c>
      <c r="E2389" s="2">
        <f>IFERROR(__xludf.DUMMYFUNCTION("""COMPUTED_VALUE"""),1741203.0)</f>
        <v>1741203</v>
      </c>
      <c r="F2389" s="2">
        <f>IFERROR(__xludf.DUMMYFUNCTION("""COMPUTED_VALUE"""),5140881.0)</f>
        <v>5140881</v>
      </c>
      <c r="G2389" s="2">
        <f>IFERROR(__xludf.DUMMYFUNCTION("""COMPUTED_VALUE"""),50.1415)</f>
        <v>50.1415</v>
      </c>
    </row>
    <row r="2390">
      <c r="A2390" s="1" t="s">
        <v>2389</v>
      </c>
      <c r="D2390" s="3">
        <f>IFERROR(__xludf.DUMMYFUNCTION("SPLIT(A2390, ""|"")"),43423.0)</f>
        <v>43423</v>
      </c>
      <c r="E2390" s="2">
        <f>IFERROR(__xludf.DUMMYFUNCTION("""COMPUTED_VALUE"""),1765713.0)</f>
        <v>1765713</v>
      </c>
      <c r="F2390" s="2">
        <f>IFERROR(__xludf.DUMMYFUNCTION("""COMPUTED_VALUE"""),5139159.0)</f>
        <v>5139159</v>
      </c>
      <c r="G2390" s="2">
        <f>IFERROR(__xludf.DUMMYFUNCTION("""COMPUTED_VALUE"""),8.5806)</f>
        <v>8.5806</v>
      </c>
    </row>
    <row r="2391">
      <c r="A2391" s="1" t="s">
        <v>2390</v>
      </c>
      <c r="D2391" s="3">
        <f>IFERROR(__xludf.DUMMYFUNCTION("SPLIT(A2391, ""|"")"),43423.0)</f>
        <v>43423</v>
      </c>
      <c r="E2391" s="2">
        <f>IFERROR(__xludf.DUMMYFUNCTION("""COMPUTED_VALUE"""),1765233.0)</f>
        <v>1765233</v>
      </c>
      <c r="F2391" s="2">
        <f>IFERROR(__xludf.DUMMYFUNCTION("""COMPUTED_VALUE"""),5137140.0)</f>
        <v>5137140</v>
      </c>
      <c r="G2391" s="2">
        <f>IFERROR(__xludf.DUMMYFUNCTION("""COMPUTED_VALUE"""),47.4209)</f>
        <v>47.4209</v>
      </c>
    </row>
    <row r="2392">
      <c r="A2392" s="1" t="s">
        <v>2391</v>
      </c>
      <c r="D2392" s="3">
        <f>IFERROR(__xludf.DUMMYFUNCTION("SPLIT(A2392, ""|"")"),43423.0)</f>
        <v>43423</v>
      </c>
      <c r="E2392" s="2">
        <f>IFERROR(__xludf.DUMMYFUNCTION("""COMPUTED_VALUE"""),1767423.0)</f>
        <v>1767423</v>
      </c>
      <c r="F2392" s="2">
        <f>IFERROR(__xludf.DUMMYFUNCTION("""COMPUTED_VALUE"""),5145396.0)</f>
        <v>5145396</v>
      </c>
      <c r="G2392" s="2">
        <f>IFERROR(__xludf.DUMMYFUNCTION("""COMPUTED_VALUE"""),11.6167)</f>
        <v>11.6167</v>
      </c>
    </row>
    <row r="2393">
      <c r="A2393" s="1" t="s">
        <v>2392</v>
      </c>
      <c r="D2393" s="3">
        <f>IFERROR(__xludf.DUMMYFUNCTION("SPLIT(A2393, ""|"")"),43423.0)</f>
        <v>43423</v>
      </c>
      <c r="E2393" s="2">
        <f>IFERROR(__xludf.DUMMYFUNCTION("""COMPUTED_VALUE"""),344343.0)</f>
        <v>344343</v>
      </c>
      <c r="F2393" s="2">
        <f>IFERROR(__xludf.DUMMYFUNCTION("""COMPUTED_VALUE"""),5139621.0)</f>
        <v>5139621</v>
      </c>
      <c r="G2393" s="2">
        <f>IFERROR(__xludf.DUMMYFUNCTION("""COMPUTED_VALUE"""),66.4671)</f>
        <v>66.4671</v>
      </c>
    </row>
    <row r="2394">
      <c r="A2394" s="1" t="s">
        <v>2393</v>
      </c>
      <c r="D2394" s="3">
        <f>IFERROR(__xludf.DUMMYFUNCTION("SPLIT(A2394, ""|"")"),43423.0)</f>
        <v>43423</v>
      </c>
      <c r="E2394" s="2">
        <f>IFERROR(__xludf.DUMMYFUNCTION("""COMPUTED_VALUE"""),1722513.0)</f>
        <v>1722513</v>
      </c>
      <c r="F2394" s="2">
        <f>IFERROR(__xludf.DUMMYFUNCTION("""COMPUTED_VALUE"""),5137782.0)</f>
        <v>5137782</v>
      </c>
      <c r="G2394" s="2">
        <f>IFERROR(__xludf.DUMMYFUNCTION("""COMPUTED_VALUE"""),64.3366)</f>
        <v>64.3366</v>
      </c>
    </row>
    <row r="2395">
      <c r="A2395" s="1" t="s">
        <v>2394</v>
      </c>
      <c r="D2395" s="3">
        <f>IFERROR(__xludf.DUMMYFUNCTION("SPLIT(A2395, ""|"")"),43423.0)</f>
        <v>43423</v>
      </c>
      <c r="E2395" s="2">
        <f>IFERROR(__xludf.DUMMYFUNCTION("""COMPUTED_VALUE"""),1602633.0)</f>
        <v>1602633</v>
      </c>
      <c r="F2395" s="2">
        <f>IFERROR(__xludf.DUMMYFUNCTION("""COMPUTED_VALUE"""),5138205.0)</f>
        <v>5138205</v>
      </c>
      <c r="G2395" s="2">
        <f>IFERROR(__xludf.DUMMYFUNCTION("""COMPUTED_VALUE"""),33.0768)</f>
        <v>33.0768</v>
      </c>
    </row>
    <row r="2396">
      <c r="A2396" s="1" t="s">
        <v>2395</v>
      </c>
      <c r="D2396" s="3">
        <f>IFERROR(__xludf.DUMMYFUNCTION("SPLIT(A2396, ""|"")"),43423.0)</f>
        <v>43423</v>
      </c>
      <c r="E2396" s="2">
        <f>IFERROR(__xludf.DUMMYFUNCTION("""COMPUTED_VALUE"""),1442013.0)</f>
        <v>1442013</v>
      </c>
      <c r="F2396" s="2">
        <f>IFERROR(__xludf.DUMMYFUNCTION("""COMPUTED_VALUE"""),5138718.0)</f>
        <v>5138718</v>
      </c>
      <c r="G2396" s="2">
        <f>IFERROR(__xludf.DUMMYFUNCTION("""COMPUTED_VALUE"""),110.6591)</f>
        <v>110.6591</v>
      </c>
    </row>
    <row r="2397">
      <c r="A2397" s="1" t="s">
        <v>2396</v>
      </c>
      <c r="D2397" s="3">
        <f>IFERROR(__xludf.DUMMYFUNCTION("SPLIT(A2397, ""|"")"),43423.0)</f>
        <v>43423</v>
      </c>
      <c r="E2397" s="2">
        <f>IFERROR(__xludf.DUMMYFUNCTION("""COMPUTED_VALUE"""),1767603.0)</f>
        <v>1767603</v>
      </c>
      <c r="F2397" s="2">
        <f>IFERROR(__xludf.DUMMYFUNCTION("""COMPUTED_VALUE"""),5145981.0)</f>
        <v>5145981</v>
      </c>
      <c r="G2397" s="2">
        <f>IFERROR(__xludf.DUMMYFUNCTION("""COMPUTED_VALUE"""),34.5033)</f>
        <v>34.5033</v>
      </c>
    </row>
    <row r="2398">
      <c r="A2398" s="1" t="s">
        <v>2397</v>
      </c>
      <c r="D2398" s="3">
        <f>IFERROR(__xludf.DUMMYFUNCTION("SPLIT(A2398, ""|"")"),43423.0)</f>
        <v>43423</v>
      </c>
      <c r="E2398" s="2">
        <f>IFERROR(__xludf.DUMMYFUNCTION("""COMPUTED_VALUE"""),1766133.0)</f>
        <v>1766133</v>
      </c>
      <c r="F2398" s="2">
        <f>IFERROR(__xludf.DUMMYFUNCTION("""COMPUTED_VALUE"""),5141163.0)</f>
        <v>5141163</v>
      </c>
      <c r="G2398" s="2">
        <f>IFERROR(__xludf.DUMMYFUNCTION("""COMPUTED_VALUE"""),339.625)</f>
        <v>339.625</v>
      </c>
    </row>
    <row r="2399">
      <c r="A2399" s="1" t="s">
        <v>2398</v>
      </c>
      <c r="D2399" s="3">
        <f>IFERROR(__xludf.DUMMYFUNCTION("SPLIT(A2399, ""|"")"),43423.0)</f>
        <v>43423</v>
      </c>
      <c r="E2399" s="2">
        <f>IFERROR(__xludf.DUMMYFUNCTION("""COMPUTED_VALUE"""),1767813.0)</f>
        <v>1767813</v>
      </c>
      <c r="F2399" s="2">
        <f>IFERROR(__xludf.DUMMYFUNCTION("""COMPUTED_VALUE"""),5146773.0)</f>
        <v>5146773</v>
      </c>
      <c r="G2399" s="2">
        <f>IFERROR(__xludf.DUMMYFUNCTION("""COMPUTED_VALUE"""),16.26)</f>
        <v>16.26</v>
      </c>
    </row>
    <row r="2400">
      <c r="A2400" s="1" t="s">
        <v>2399</v>
      </c>
      <c r="D2400" s="3">
        <f>IFERROR(__xludf.DUMMYFUNCTION("SPLIT(A2400, ""|"")"),43423.0)</f>
        <v>43423</v>
      </c>
      <c r="E2400" s="2">
        <f>IFERROR(__xludf.DUMMYFUNCTION("""COMPUTED_VALUE"""),1711593.0)</f>
        <v>1711593</v>
      </c>
      <c r="F2400" s="2">
        <f>IFERROR(__xludf.DUMMYFUNCTION("""COMPUTED_VALUE"""),5143536.0)</f>
        <v>5143536</v>
      </c>
      <c r="G2400" s="2">
        <f>IFERROR(__xludf.DUMMYFUNCTION("""COMPUTED_VALUE"""),57.4)</f>
        <v>57.4</v>
      </c>
    </row>
    <row r="2401">
      <c r="A2401" s="1" t="s">
        <v>2400</v>
      </c>
      <c r="D2401" s="3">
        <f>IFERROR(__xludf.DUMMYFUNCTION("SPLIT(A2401, ""|"")"),43423.0)</f>
        <v>43423</v>
      </c>
      <c r="E2401" s="2">
        <f>IFERROR(__xludf.DUMMYFUNCTION("""COMPUTED_VALUE"""),1764993.0)</f>
        <v>1764993</v>
      </c>
      <c r="F2401" s="2">
        <f>IFERROR(__xludf.DUMMYFUNCTION("""COMPUTED_VALUE"""),5136105.0)</f>
        <v>5136105</v>
      </c>
      <c r="G2401" s="2">
        <f>IFERROR(__xludf.DUMMYFUNCTION("""COMPUTED_VALUE"""),62.7094)</f>
        <v>62.7094</v>
      </c>
    </row>
    <row r="2402">
      <c r="A2402" s="1" t="s">
        <v>2401</v>
      </c>
      <c r="D2402" s="3">
        <f>IFERROR(__xludf.DUMMYFUNCTION("SPLIT(A2402, ""|"")"),43423.0)</f>
        <v>43423</v>
      </c>
      <c r="E2402" s="2">
        <f>IFERROR(__xludf.DUMMYFUNCTION("""COMPUTED_VALUE"""),1766343.0)</f>
        <v>1766343</v>
      </c>
      <c r="F2402" s="2">
        <f>IFERROR(__xludf.DUMMYFUNCTION("""COMPUTED_VALUE"""),5141877.0)</f>
        <v>5141877</v>
      </c>
      <c r="G2402" s="2">
        <f>IFERROR(__xludf.DUMMYFUNCTION("""COMPUTED_VALUE"""),69.111)</f>
        <v>69.111</v>
      </c>
    </row>
    <row r="2403">
      <c r="A2403" s="1" t="s">
        <v>2402</v>
      </c>
      <c r="D2403" s="3">
        <f>IFERROR(__xludf.DUMMYFUNCTION("SPLIT(A2403, ""|"")"),43423.0)</f>
        <v>43423</v>
      </c>
      <c r="E2403" s="2">
        <f>IFERROR(__xludf.DUMMYFUNCTION("""COMPUTED_VALUE"""),1348683.0)</f>
        <v>1348683</v>
      </c>
      <c r="F2403" s="2">
        <f>IFERROR(__xludf.DUMMYFUNCTION("""COMPUTED_VALUE"""),5142702.0)</f>
        <v>5142702</v>
      </c>
      <c r="G2403" s="2">
        <f>IFERROR(__xludf.DUMMYFUNCTION("""COMPUTED_VALUE"""),72.7054)</f>
        <v>72.7054</v>
      </c>
    </row>
    <row r="2404">
      <c r="A2404" s="1" t="s">
        <v>2403</v>
      </c>
      <c r="D2404" s="3">
        <f>IFERROR(__xludf.DUMMYFUNCTION("SPLIT(A2404, ""|"")"),43423.0)</f>
        <v>43423</v>
      </c>
      <c r="E2404" s="2">
        <f>IFERROR(__xludf.DUMMYFUNCTION("""COMPUTED_VALUE"""),1767873.0)</f>
        <v>1767873</v>
      </c>
      <c r="F2404" s="2">
        <f>IFERROR(__xludf.DUMMYFUNCTION("""COMPUTED_VALUE"""),5147379.0)</f>
        <v>5147379</v>
      </c>
      <c r="G2404" s="2">
        <f>IFERROR(__xludf.DUMMYFUNCTION("""COMPUTED_VALUE"""),334.0383)</f>
        <v>334.0383</v>
      </c>
    </row>
    <row r="2405">
      <c r="A2405" s="1" t="s">
        <v>2404</v>
      </c>
      <c r="D2405" s="3">
        <f>IFERROR(__xludf.DUMMYFUNCTION("SPLIT(A2405, ""|"")"),43423.0)</f>
        <v>43423</v>
      </c>
      <c r="E2405" s="2">
        <f>IFERROR(__xludf.DUMMYFUNCTION("""COMPUTED_VALUE"""),1149063.0)</f>
        <v>1149063</v>
      </c>
      <c r="F2405" s="2">
        <f>IFERROR(__xludf.DUMMYFUNCTION("""COMPUTED_VALUE"""),5142555.0)</f>
        <v>5142555</v>
      </c>
      <c r="G2405" s="2">
        <f>IFERROR(__xludf.DUMMYFUNCTION("""COMPUTED_VALUE"""),84.6409999999999)</f>
        <v>84.641</v>
      </c>
    </row>
    <row r="2406">
      <c r="A2406" s="1" t="s">
        <v>2405</v>
      </c>
      <c r="D2406" s="3">
        <f>IFERROR(__xludf.DUMMYFUNCTION("SPLIT(A2406, ""|"")"),43423.0)</f>
        <v>43423</v>
      </c>
      <c r="E2406" s="2">
        <f>IFERROR(__xludf.DUMMYFUNCTION("""COMPUTED_VALUE"""),1752753.0)</f>
        <v>1752753</v>
      </c>
      <c r="F2406" s="2">
        <f>IFERROR(__xludf.DUMMYFUNCTION("""COMPUTED_VALUE"""),5135937.0)</f>
        <v>5135937</v>
      </c>
      <c r="G2406" s="2">
        <f>IFERROR(__xludf.DUMMYFUNCTION("""COMPUTED_VALUE"""),21.8333)</f>
        <v>21.8333</v>
      </c>
    </row>
    <row r="2407">
      <c r="A2407" s="1" t="s">
        <v>2406</v>
      </c>
      <c r="D2407" s="3">
        <f>IFERROR(__xludf.DUMMYFUNCTION("SPLIT(A2407, ""|"")"),43423.0)</f>
        <v>43423</v>
      </c>
      <c r="E2407" s="2">
        <f>IFERROR(__xludf.DUMMYFUNCTION("""COMPUTED_VALUE"""),1595253.0)</f>
        <v>1595253</v>
      </c>
      <c r="F2407" s="2">
        <f>IFERROR(__xludf.DUMMYFUNCTION("""COMPUTED_VALUE"""),5139975.0)</f>
        <v>5139975</v>
      </c>
      <c r="G2407" s="2">
        <f>IFERROR(__xludf.DUMMYFUNCTION("""COMPUTED_VALUE"""),116.9797)</f>
        <v>116.9797</v>
      </c>
    </row>
    <row r="2408">
      <c r="A2408" s="1" t="s">
        <v>2407</v>
      </c>
      <c r="D2408" s="3">
        <f>IFERROR(__xludf.DUMMYFUNCTION("SPLIT(A2408, ""|"")"),43423.0)</f>
        <v>43423</v>
      </c>
      <c r="E2408" s="2">
        <f>IFERROR(__xludf.DUMMYFUNCTION("""COMPUTED_VALUE"""),1714293.0)</f>
        <v>1714293</v>
      </c>
      <c r="F2408" s="2">
        <f>IFERROR(__xludf.DUMMYFUNCTION("""COMPUTED_VALUE"""),5143509.0)</f>
        <v>5143509</v>
      </c>
      <c r="G2408" s="2">
        <f>IFERROR(__xludf.DUMMYFUNCTION("""COMPUTED_VALUE"""),27.4375)</f>
        <v>27.4375</v>
      </c>
    </row>
    <row r="2409">
      <c r="A2409" s="1" t="s">
        <v>2408</v>
      </c>
      <c r="D2409" s="3">
        <f>IFERROR(__xludf.DUMMYFUNCTION("SPLIT(A2409, ""|"")"),43168.0)</f>
        <v>43168</v>
      </c>
      <c r="E2409" s="2">
        <f>IFERROR(__xludf.DUMMYFUNCTION("""COMPUTED_VALUE"""),1137153.0)</f>
        <v>1137153</v>
      </c>
      <c r="F2409" s="2">
        <f>IFERROR(__xludf.DUMMYFUNCTION("""COMPUTED_VALUE"""),4283372.0)</f>
        <v>4283372</v>
      </c>
      <c r="G2409" s="2">
        <f>IFERROR(__xludf.DUMMYFUNCTION("""COMPUTED_VALUE"""),10.12)</f>
        <v>10.12</v>
      </c>
    </row>
    <row r="2410">
      <c r="A2410" s="1" t="s">
        <v>2409</v>
      </c>
      <c r="D2410" s="3">
        <f>IFERROR(__xludf.DUMMYFUNCTION("SPLIT(A2410, ""|"")"),43168.0)</f>
        <v>43168</v>
      </c>
      <c r="E2410" s="2">
        <f>IFERROR(__xludf.DUMMYFUNCTION("""COMPUTED_VALUE"""),1149063.0)</f>
        <v>1149063</v>
      </c>
      <c r="F2410" s="2">
        <f>IFERROR(__xludf.DUMMYFUNCTION("""COMPUTED_VALUE"""),4283022.0)</f>
        <v>4283022</v>
      </c>
      <c r="G2410" s="2">
        <f>IFERROR(__xludf.DUMMYFUNCTION("""COMPUTED_VALUE"""),69.6846)</f>
        <v>69.6846</v>
      </c>
    </row>
    <row r="2411">
      <c r="A2411" s="1" t="s">
        <v>2410</v>
      </c>
      <c r="D2411" s="3">
        <f>IFERROR(__xludf.DUMMYFUNCTION("SPLIT(A2411, ""|"")"),43424.0)</f>
        <v>43424</v>
      </c>
      <c r="E2411" s="2">
        <f>IFERROR(__xludf.DUMMYFUNCTION("""COMPUTED_VALUE"""),1454223.0)</f>
        <v>1454223</v>
      </c>
      <c r="F2411" s="2">
        <f>IFERROR(__xludf.DUMMYFUNCTION("""COMPUTED_VALUE"""),5147880.0)</f>
        <v>5147880</v>
      </c>
      <c r="G2411" s="2">
        <f>IFERROR(__xludf.DUMMYFUNCTION("""COMPUTED_VALUE"""),28.7788)</f>
        <v>28.7788</v>
      </c>
    </row>
    <row r="2412">
      <c r="A2412" s="1" t="s">
        <v>2411</v>
      </c>
      <c r="D2412" s="3">
        <f>IFERROR(__xludf.DUMMYFUNCTION("SPLIT(A2412, ""|"")"),43424.0)</f>
        <v>43424</v>
      </c>
      <c r="E2412" s="2">
        <f>IFERROR(__xludf.DUMMYFUNCTION("""COMPUTED_VALUE"""),1770063.0)</f>
        <v>1770063</v>
      </c>
      <c r="F2412" s="2">
        <f>IFERROR(__xludf.DUMMYFUNCTION("""COMPUTED_VALUE"""),5155083.0)</f>
        <v>5155083</v>
      </c>
      <c r="G2412" s="2">
        <f>IFERROR(__xludf.DUMMYFUNCTION("""COMPUTED_VALUE"""),24.9167)</f>
        <v>24.9167</v>
      </c>
    </row>
    <row r="2413">
      <c r="A2413" s="1" t="s">
        <v>2412</v>
      </c>
      <c r="D2413" s="3">
        <f>IFERROR(__xludf.DUMMYFUNCTION("SPLIT(A2413, ""|"")"),43424.0)</f>
        <v>43424</v>
      </c>
      <c r="E2413" s="2">
        <f>IFERROR(__xludf.DUMMYFUNCTION("""COMPUTED_VALUE"""),1451553.0)</f>
        <v>1451553</v>
      </c>
      <c r="F2413" s="2">
        <f>IFERROR(__xludf.DUMMYFUNCTION("""COMPUTED_VALUE"""),5152797.0)</f>
        <v>5152797</v>
      </c>
      <c r="G2413" s="2">
        <f>IFERROR(__xludf.DUMMYFUNCTION("""COMPUTED_VALUE"""),83.9546)</f>
        <v>83.9546</v>
      </c>
    </row>
    <row r="2414">
      <c r="A2414" s="1" t="s">
        <v>2413</v>
      </c>
      <c r="D2414" s="3">
        <f>IFERROR(__xludf.DUMMYFUNCTION("SPLIT(A2414, ""|"")"),43424.0)</f>
        <v>43424</v>
      </c>
      <c r="E2414" s="2">
        <f>IFERROR(__xludf.DUMMYFUNCTION("""COMPUTED_VALUE"""),392763.0)</f>
        <v>392763</v>
      </c>
      <c r="F2414" s="2">
        <f>IFERROR(__xludf.DUMMYFUNCTION("""COMPUTED_VALUE"""),5158818.0)</f>
        <v>5158818</v>
      </c>
      <c r="G2414" s="2">
        <f>IFERROR(__xludf.DUMMYFUNCTION("""COMPUTED_VALUE"""),14.0833)</f>
        <v>14.0833</v>
      </c>
    </row>
    <row r="2415">
      <c r="A2415" s="1" t="s">
        <v>2414</v>
      </c>
      <c r="D2415" s="3">
        <f>IFERROR(__xludf.DUMMYFUNCTION("SPLIT(A2415, ""|"")"),43424.0)</f>
        <v>43424</v>
      </c>
      <c r="E2415" s="2">
        <f>IFERROR(__xludf.DUMMYFUNCTION("""COMPUTED_VALUE"""),1611873.0)</f>
        <v>1611873</v>
      </c>
      <c r="F2415" s="2">
        <f>IFERROR(__xludf.DUMMYFUNCTION("""COMPUTED_VALUE"""),5157624.0)</f>
        <v>5157624</v>
      </c>
      <c r="G2415" s="2">
        <f>IFERROR(__xludf.DUMMYFUNCTION("""COMPUTED_VALUE"""),68.0562)</f>
        <v>68.0562</v>
      </c>
    </row>
    <row r="2416">
      <c r="A2416" s="1" t="s">
        <v>2415</v>
      </c>
      <c r="D2416" s="3">
        <f>IFERROR(__xludf.DUMMYFUNCTION("SPLIT(A2416, ""|"")"),43424.0)</f>
        <v>43424</v>
      </c>
      <c r="E2416" s="2">
        <f>IFERROR(__xludf.DUMMYFUNCTION("""COMPUTED_VALUE"""),392763.0)</f>
        <v>392763</v>
      </c>
      <c r="F2416" s="2">
        <f>IFERROR(__xludf.DUMMYFUNCTION("""COMPUTED_VALUE"""),5159043.0)</f>
        <v>5159043</v>
      </c>
      <c r="G2416" s="2">
        <f>IFERROR(__xludf.DUMMYFUNCTION("""COMPUTED_VALUE"""),203.4427)</f>
        <v>203.4427</v>
      </c>
    </row>
    <row r="2417">
      <c r="A2417" s="1" t="s">
        <v>2416</v>
      </c>
      <c r="D2417" s="3">
        <f>IFERROR(__xludf.DUMMYFUNCTION("SPLIT(A2417, ""|"")"),43424.0)</f>
        <v>43424</v>
      </c>
      <c r="E2417" s="2">
        <f>IFERROR(__xludf.DUMMYFUNCTION("""COMPUTED_VALUE"""),1768623.0)</f>
        <v>1768623</v>
      </c>
      <c r="F2417" s="2">
        <f>IFERROR(__xludf.DUMMYFUNCTION("""COMPUTED_VALUE"""),5149908.0)</f>
        <v>5149908</v>
      </c>
      <c r="G2417" s="2">
        <f>IFERROR(__xludf.DUMMYFUNCTION("""COMPUTED_VALUE"""),28.8)</f>
        <v>28.8</v>
      </c>
    </row>
    <row r="2418">
      <c r="A2418" s="1" t="s">
        <v>2417</v>
      </c>
      <c r="D2418" s="3">
        <f>IFERROR(__xludf.DUMMYFUNCTION("SPLIT(A2418, ""|"")"),43424.0)</f>
        <v>43424</v>
      </c>
      <c r="E2418" s="2">
        <f>IFERROR(__xludf.DUMMYFUNCTION("""COMPUTED_VALUE"""),1702653.0)</f>
        <v>1702653</v>
      </c>
      <c r="F2418" s="2">
        <f>IFERROR(__xludf.DUMMYFUNCTION("""COMPUTED_VALUE"""),5159718.0)</f>
        <v>5159718</v>
      </c>
      <c r="G2418" s="2">
        <f>IFERROR(__xludf.DUMMYFUNCTION("""COMPUTED_VALUE"""),69.8846)</f>
        <v>69.8846</v>
      </c>
    </row>
    <row r="2419">
      <c r="A2419" s="1" t="s">
        <v>2418</v>
      </c>
      <c r="D2419" s="3">
        <f>IFERROR(__xludf.DUMMYFUNCTION("SPLIT(A2419, ""|"")"),43424.0)</f>
        <v>43424</v>
      </c>
      <c r="E2419" s="2">
        <f>IFERROR(__xludf.DUMMYFUNCTION("""COMPUTED_VALUE"""),1265883.0)</f>
        <v>1265883</v>
      </c>
      <c r="F2419" s="2">
        <f>IFERROR(__xludf.DUMMYFUNCTION("""COMPUTED_VALUE"""),5150790.0)</f>
        <v>5150790</v>
      </c>
      <c r="G2419" s="2">
        <f>IFERROR(__xludf.DUMMYFUNCTION("""COMPUTED_VALUE"""),72.119)</f>
        <v>72.119</v>
      </c>
    </row>
    <row r="2420">
      <c r="A2420" s="1" t="s">
        <v>2419</v>
      </c>
      <c r="D2420" s="3">
        <f>IFERROR(__xludf.DUMMYFUNCTION("SPLIT(A2420, ""|"")"),43424.0)</f>
        <v>43424</v>
      </c>
      <c r="E2420" s="2">
        <f>IFERROR(__xludf.DUMMYFUNCTION("""COMPUTED_VALUE"""),1770333.0)</f>
        <v>1770333</v>
      </c>
      <c r="F2420" s="2">
        <f>IFERROR(__xludf.DUMMYFUNCTION("""COMPUTED_VALUE"""),5155872.0)</f>
        <v>5155872</v>
      </c>
      <c r="G2420" s="2">
        <f>IFERROR(__xludf.DUMMYFUNCTION("""COMPUTED_VALUE"""),56.8334)</f>
        <v>56.8334</v>
      </c>
    </row>
    <row r="2421">
      <c r="A2421" s="1" t="s">
        <v>2420</v>
      </c>
      <c r="D2421" s="3">
        <f>IFERROR(__xludf.DUMMYFUNCTION("SPLIT(A2421, ""|"")"),43424.0)</f>
        <v>43424</v>
      </c>
      <c r="E2421" s="2">
        <f>IFERROR(__xludf.DUMMYFUNCTION("""COMPUTED_VALUE"""),1648683.0)</f>
        <v>1648683</v>
      </c>
      <c r="F2421" s="2">
        <f>IFERROR(__xludf.DUMMYFUNCTION("""COMPUTED_VALUE"""),5157582.0)</f>
        <v>5157582</v>
      </c>
      <c r="G2421" s="2">
        <f>IFERROR(__xludf.DUMMYFUNCTION("""COMPUTED_VALUE"""),93.8844)</f>
        <v>93.8844</v>
      </c>
    </row>
    <row r="2422">
      <c r="A2422" s="1" t="s">
        <v>2421</v>
      </c>
      <c r="D2422" s="3">
        <f>IFERROR(__xludf.DUMMYFUNCTION("SPLIT(A2422, ""|"")"),43424.0)</f>
        <v>43424</v>
      </c>
      <c r="E2422" s="2">
        <f>IFERROR(__xludf.DUMMYFUNCTION("""COMPUTED_VALUE"""),1771053.0)</f>
        <v>1771053</v>
      </c>
      <c r="F2422" s="2">
        <f>IFERROR(__xludf.DUMMYFUNCTION("""COMPUTED_VALUE"""),5158203.0)</f>
        <v>5158203</v>
      </c>
      <c r="G2422" s="2">
        <f>IFERROR(__xludf.DUMMYFUNCTION("""COMPUTED_VALUE"""),11.2625)</f>
        <v>11.2625</v>
      </c>
    </row>
    <row r="2423">
      <c r="A2423" s="1" t="s">
        <v>2422</v>
      </c>
      <c r="D2423" s="3">
        <f>IFERROR(__xludf.DUMMYFUNCTION("SPLIT(A2423, ""|"")"),43424.0)</f>
        <v>43424</v>
      </c>
      <c r="E2423" s="2">
        <f>IFERROR(__xludf.DUMMYFUNCTION("""COMPUTED_VALUE"""),58503.0)</f>
        <v>58503</v>
      </c>
      <c r="F2423" s="2">
        <f>IFERROR(__xludf.DUMMYFUNCTION("""COMPUTED_VALUE"""),5150829.0)</f>
        <v>5150829</v>
      </c>
      <c r="G2423" s="2">
        <f>IFERROR(__xludf.DUMMYFUNCTION("""COMPUTED_VALUE"""),36.0792)</f>
        <v>36.0792</v>
      </c>
    </row>
    <row r="2424">
      <c r="A2424" s="1" t="s">
        <v>2423</v>
      </c>
      <c r="D2424" s="3">
        <f>IFERROR(__xludf.DUMMYFUNCTION("SPLIT(A2424, ""|"")"),43424.0)</f>
        <v>43424</v>
      </c>
      <c r="E2424" s="2">
        <f>IFERROR(__xludf.DUMMYFUNCTION("""COMPUTED_VALUE"""),1769823.0)</f>
        <v>1769823</v>
      </c>
      <c r="F2424" s="2">
        <f>IFERROR(__xludf.DUMMYFUNCTION("""COMPUTED_VALUE"""),5154210.0)</f>
        <v>5154210</v>
      </c>
      <c r="G2424" s="2">
        <f>IFERROR(__xludf.DUMMYFUNCTION("""COMPUTED_VALUE"""),33.9489)</f>
        <v>33.9489</v>
      </c>
    </row>
    <row r="2425">
      <c r="A2425" s="1" t="s">
        <v>2424</v>
      </c>
      <c r="D2425" s="3">
        <f>IFERROR(__xludf.DUMMYFUNCTION("SPLIT(A2425, ""|"")"),43424.0)</f>
        <v>43424</v>
      </c>
      <c r="E2425" s="2">
        <f>IFERROR(__xludf.DUMMYFUNCTION("""COMPUTED_VALUE"""),1060173.0)</f>
        <v>1060173</v>
      </c>
      <c r="F2425" s="2">
        <f>IFERROR(__xludf.DUMMYFUNCTION("""COMPUTED_VALUE"""),5151786.0)</f>
        <v>5151786</v>
      </c>
      <c r="G2425" s="2">
        <f>IFERROR(__xludf.DUMMYFUNCTION("""COMPUTED_VALUE"""),62.6037)</f>
        <v>62.6037</v>
      </c>
    </row>
    <row r="2426">
      <c r="A2426" s="1" t="s">
        <v>2425</v>
      </c>
      <c r="D2426" s="3">
        <f>IFERROR(__xludf.DUMMYFUNCTION("SPLIT(A2426, ""|"")"),43424.0)</f>
        <v>43424</v>
      </c>
      <c r="E2426" s="2">
        <f>IFERROR(__xludf.DUMMYFUNCTION("""COMPUTED_VALUE"""),1657713.0)</f>
        <v>1657713</v>
      </c>
      <c r="F2426" s="2">
        <f>IFERROR(__xludf.DUMMYFUNCTION("""COMPUTED_VALUE"""),5150016.0)</f>
        <v>5150016</v>
      </c>
      <c r="G2426" s="2">
        <f>IFERROR(__xludf.DUMMYFUNCTION("""COMPUTED_VALUE"""),53.7756)</f>
        <v>53.7756</v>
      </c>
    </row>
    <row r="2427">
      <c r="A2427" s="1" t="s">
        <v>2426</v>
      </c>
      <c r="D2427" s="3">
        <f>IFERROR(__xludf.DUMMYFUNCTION("SPLIT(A2427, ""|"")"),43424.0)</f>
        <v>43424</v>
      </c>
      <c r="E2427" s="2">
        <f>IFERROR(__xludf.DUMMYFUNCTION("""COMPUTED_VALUE"""),1151013.0)</f>
        <v>1151013</v>
      </c>
      <c r="F2427" s="2">
        <f>IFERROR(__xludf.DUMMYFUNCTION("""COMPUTED_VALUE"""),5158809.0)</f>
        <v>5158809</v>
      </c>
      <c r="G2427" s="2">
        <f>IFERROR(__xludf.DUMMYFUNCTION("""COMPUTED_VALUE"""),37.5751)</f>
        <v>37.5751</v>
      </c>
    </row>
    <row r="2428">
      <c r="A2428" s="1" t="s">
        <v>2427</v>
      </c>
      <c r="D2428" s="3">
        <f>IFERROR(__xludf.DUMMYFUNCTION("SPLIT(A2428, ""|"")"),43169.0)</f>
        <v>43169</v>
      </c>
      <c r="E2428" s="2">
        <f>IFERROR(__xludf.DUMMYFUNCTION("""COMPUTED_VALUE"""),1432323.0)</f>
        <v>1432323</v>
      </c>
      <c r="F2428" s="2">
        <f>IFERROR(__xludf.DUMMYFUNCTION("""COMPUTED_VALUE"""),4285841.0)</f>
        <v>4285841</v>
      </c>
      <c r="G2428" s="2">
        <f>IFERROR(__xludf.DUMMYFUNCTION("""COMPUTED_VALUE"""),38.4400999999999)</f>
        <v>38.4401</v>
      </c>
    </row>
    <row r="2429">
      <c r="A2429" s="1" t="s">
        <v>2428</v>
      </c>
      <c r="D2429" s="3">
        <f>IFERROR(__xludf.DUMMYFUNCTION("SPLIT(A2429, ""|"")"),43169.0)</f>
        <v>43169</v>
      </c>
      <c r="E2429" s="2">
        <f>IFERROR(__xludf.DUMMYFUNCTION("""COMPUTED_VALUE"""),1545483.0)</f>
        <v>1545483</v>
      </c>
      <c r="F2429" s="2">
        <f>IFERROR(__xludf.DUMMYFUNCTION("""COMPUTED_VALUE"""),4285043.0)</f>
        <v>4285043</v>
      </c>
      <c r="G2429" s="2">
        <f>IFERROR(__xludf.DUMMYFUNCTION("""COMPUTED_VALUE"""),51.3483)</f>
        <v>51.3483</v>
      </c>
    </row>
    <row r="2430">
      <c r="A2430" s="1" t="s">
        <v>2429</v>
      </c>
      <c r="D2430" s="3">
        <f>IFERROR(__xludf.DUMMYFUNCTION("SPLIT(A2430, ""|"")"),43169.0)</f>
        <v>43169</v>
      </c>
      <c r="E2430" s="2">
        <f>IFERROR(__xludf.DUMMYFUNCTION("""COMPUTED_VALUE"""),1546173.0)</f>
        <v>1546173</v>
      </c>
      <c r="F2430" s="2">
        <f>IFERROR(__xludf.DUMMYFUNCTION("""COMPUTED_VALUE"""),4286094.0)</f>
        <v>4286094</v>
      </c>
      <c r="G2430" s="2">
        <f>IFERROR(__xludf.DUMMYFUNCTION("""COMPUTED_VALUE"""),42.3166)</f>
        <v>42.3166</v>
      </c>
    </row>
    <row r="2431">
      <c r="A2431" s="1" t="s">
        <v>2430</v>
      </c>
      <c r="D2431" s="3">
        <f>IFERROR(__xludf.DUMMYFUNCTION("SPLIT(A2431, ""|"")"),43169.0)</f>
        <v>43169</v>
      </c>
      <c r="E2431" s="2">
        <f>IFERROR(__xludf.DUMMYFUNCTION("""COMPUTED_VALUE"""),186663.0)</f>
        <v>186663</v>
      </c>
      <c r="F2431" s="2">
        <f>IFERROR(__xludf.DUMMYFUNCTION("""COMPUTED_VALUE"""),4285721.0)</f>
        <v>4285721</v>
      </c>
      <c r="G2431" s="2">
        <f>IFERROR(__xludf.DUMMYFUNCTION("""COMPUTED_VALUE"""),71.9741)</f>
        <v>71.9741</v>
      </c>
    </row>
    <row r="2432">
      <c r="A2432" s="1" t="s">
        <v>2431</v>
      </c>
      <c r="D2432" s="3">
        <f>IFERROR(__xludf.DUMMYFUNCTION("SPLIT(A2432, ""|"")"),43169.0)</f>
        <v>43169</v>
      </c>
      <c r="E2432" s="2">
        <f>IFERROR(__xludf.DUMMYFUNCTION("""COMPUTED_VALUE"""),1286103.0)</f>
        <v>1286103</v>
      </c>
      <c r="F2432" s="2">
        <f>IFERROR(__xludf.DUMMYFUNCTION("""COMPUTED_VALUE"""),4284887.0)</f>
        <v>4284887</v>
      </c>
      <c r="G2432" s="2">
        <f>IFERROR(__xludf.DUMMYFUNCTION("""COMPUTED_VALUE"""),115.1867)</f>
        <v>115.1867</v>
      </c>
    </row>
    <row r="2433">
      <c r="A2433" s="1" t="s">
        <v>2432</v>
      </c>
      <c r="D2433" s="3">
        <f>IFERROR(__xludf.DUMMYFUNCTION("SPLIT(A2433, ""|"")"),43169.0)</f>
        <v>43169</v>
      </c>
      <c r="E2433" s="2">
        <f>IFERROR(__xludf.DUMMYFUNCTION("""COMPUTED_VALUE"""),1544463.0)</f>
        <v>1544463</v>
      </c>
      <c r="F2433" s="2">
        <f>IFERROR(__xludf.DUMMYFUNCTION("""COMPUTED_VALUE"""),4285165.0)</f>
        <v>4285165</v>
      </c>
      <c r="G2433" s="2">
        <f>IFERROR(__xludf.DUMMYFUNCTION("""COMPUTED_VALUE"""),29.0763)</f>
        <v>29.0763</v>
      </c>
    </row>
    <row r="2434">
      <c r="A2434" s="1" t="s">
        <v>2433</v>
      </c>
      <c r="D2434" s="3">
        <f>IFERROR(__xludf.DUMMYFUNCTION("SPLIT(A2434, ""|"")"),43169.0)</f>
        <v>43169</v>
      </c>
      <c r="E2434" s="2">
        <f>IFERROR(__xludf.DUMMYFUNCTION("""COMPUTED_VALUE"""),1545843.0)</f>
        <v>1545843</v>
      </c>
      <c r="F2434" s="2">
        <f>IFERROR(__xludf.DUMMYFUNCTION("""COMPUTED_VALUE"""),4285010.0)</f>
        <v>4285010</v>
      </c>
      <c r="G2434" s="2">
        <f>IFERROR(__xludf.DUMMYFUNCTION("""COMPUTED_VALUE"""),9.384)</f>
        <v>9.384</v>
      </c>
    </row>
    <row r="2435">
      <c r="A2435" s="1" t="s">
        <v>2434</v>
      </c>
      <c r="D2435" s="3">
        <f>IFERROR(__xludf.DUMMYFUNCTION("SPLIT(A2435, ""|"")"),43425.0)</f>
        <v>43425</v>
      </c>
      <c r="E2435" s="2">
        <f>IFERROR(__xludf.DUMMYFUNCTION("""COMPUTED_VALUE"""),1011093.0)</f>
        <v>1011093</v>
      </c>
      <c r="F2435" s="2">
        <f>IFERROR(__xludf.DUMMYFUNCTION("""COMPUTED_VALUE"""),5166483.0)</f>
        <v>5166483</v>
      </c>
      <c r="G2435" s="2">
        <f>IFERROR(__xludf.DUMMYFUNCTION("""COMPUTED_VALUE"""),75.0593)</f>
        <v>75.0593</v>
      </c>
    </row>
    <row r="2436">
      <c r="A2436" s="1" t="s">
        <v>2435</v>
      </c>
      <c r="D2436" s="3">
        <f>IFERROR(__xludf.DUMMYFUNCTION("SPLIT(A2436, ""|"")"),43425.0)</f>
        <v>43425</v>
      </c>
      <c r="E2436" s="2">
        <f>IFERROR(__xludf.DUMMYFUNCTION("""COMPUTED_VALUE"""),1773693.0)</f>
        <v>1773693</v>
      </c>
      <c r="F2436" s="2">
        <f>IFERROR(__xludf.DUMMYFUNCTION("""COMPUTED_VALUE"""),5167626.0)</f>
        <v>5167626</v>
      </c>
      <c r="G2436" s="2">
        <f>IFERROR(__xludf.DUMMYFUNCTION("""COMPUTED_VALUE"""),34.0458)</f>
        <v>34.0458</v>
      </c>
    </row>
    <row r="2437">
      <c r="A2437" s="1" t="s">
        <v>2436</v>
      </c>
      <c r="D2437" s="3">
        <f>IFERROR(__xludf.DUMMYFUNCTION("SPLIT(A2437, ""|"")"),43425.0)</f>
        <v>43425</v>
      </c>
      <c r="E2437" s="2">
        <f>IFERROR(__xludf.DUMMYFUNCTION("""COMPUTED_VALUE"""),1774143.0)</f>
        <v>1774143</v>
      </c>
      <c r="F2437" s="2">
        <f>IFERROR(__xludf.DUMMYFUNCTION("""COMPUTED_VALUE"""),5169096.0)</f>
        <v>5169096</v>
      </c>
      <c r="G2437" s="2">
        <f>IFERROR(__xludf.DUMMYFUNCTION("""COMPUTED_VALUE"""),14.0284)</f>
        <v>14.0284</v>
      </c>
    </row>
    <row r="2438">
      <c r="A2438" s="1" t="s">
        <v>2437</v>
      </c>
      <c r="D2438" s="3">
        <f>IFERROR(__xludf.DUMMYFUNCTION("SPLIT(A2438, ""|"")"),43425.0)</f>
        <v>43425</v>
      </c>
      <c r="E2438" s="2">
        <f>IFERROR(__xludf.DUMMYFUNCTION("""COMPUTED_VALUE"""),409203.0)</f>
        <v>409203</v>
      </c>
      <c r="F2438" s="2">
        <f>IFERROR(__xludf.DUMMYFUNCTION("""COMPUTED_VALUE"""),5165124.0)</f>
        <v>5165124</v>
      </c>
      <c r="G2438" s="2">
        <f>IFERROR(__xludf.DUMMYFUNCTION("""COMPUTED_VALUE"""),73.7663999999999)</f>
        <v>73.7664</v>
      </c>
    </row>
    <row r="2439">
      <c r="A2439" s="1" t="s">
        <v>2438</v>
      </c>
      <c r="D2439" s="3">
        <f>IFERROR(__xludf.DUMMYFUNCTION("SPLIT(A2439, ""|"")"),43425.0)</f>
        <v>43425</v>
      </c>
      <c r="E2439" s="2">
        <f>IFERROR(__xludf.DUMMYFUNCTION("""COMPUTED_VALUE"""),1770423.0)</f>
        <v>1770423</v>
      </c>
      <c r="F2439" s="2">
        <f>IFERROR(__xludf.DUMMYFUNCTION("""COMPUTED_VALUE"""),5168244.0)</f>
        <v>5168244</v>
      </c>
      <c r="G2439" s="2">
        <f>IFERROR(__xludf.DUMMYFUNCTION("""COMPUTED_VALUE"""),224.315)</f>
        <v>224.315</v>
      </c>
    </row>
    <row r="2440">
      <c r="A2440" s="1" t="s">
        <v>2439</v>
      </c>
      <c r="D2440" s="3">
        <f>IFERROR(__xludf.DUMMYFUNCTION("SPLIT(A2440, ""|"")"),43425.0)</f>
        <v>43425</v>
      </c>
      <c r="E2440" s="2">
        <f>IFERROR(__xludf.DUMMYFUNCTION("""COMPUTED_VALUE"""),1771503.0)</f>
        <v>1771503</v>
      </c>
      <c r="F2440" s="2">
        <f>IFERROR(__xludf.DUMMYFUNCTION("""COMPUTED_VALUE"""),5171487.0)</f>
        <v>5171487</v>
      </c>
      <c r="G2440" s="2">
        <f>IFERROR(__xludf.DUMMYFUNCTION("""COMPUTED_VALUE"""),19.4212)</f>
        <v>19.4212</v>
      </c>
    </row>
    <row r="2441">
      <c r="A2441" s="1" t="s">
        <v>2440</v>
      </c>
      <c r="D2441" s="3">
        <f>IFERROR(__xludf.DUMMYFUNCTION("SPLIT(A2441, ""|"")"),43425.0)</f>
        <v>43425</v>
      </c>
      <c r="E2441" s="2">
        <f>IFERROR(__xludf.DUMMYFUNCTION("""COMPUTED_VALUE"""),1127043.0)</f>
        <v>1127043</v>
      </c>
      <c r="F2441" s="2">
        <f>IFERROR(__xludf.DUMMYFUNCTION("""COMPUTED_VALUE"""),5171844.0)</f>
        <v>5171844</v>
      </c>
      <c r="G2441" s="2">
        <f>IFERROR(__xludf.DUMMYFUNCTION("""COMPUTED_VALUE"""),79.4346)</f>
        <v>79.4346</v>
      </c>
    </row>
    <row r="2442">
      <c r="A2442" s="1" t="s">
        <v>2441</v>
      </c>
      <c r="D2442" s="3">
        <f>IFERROR(__xludf.DUMMYFUNCTION("SPLIT(A2442, ""|"")"),43425.0)</f>
        <v>43425</v>
      </c>
      <c r="E2442" s="2">
        <f>IFERROR(__xludf.DUMMYFUNCTION("""COMPUTED_VALUE"""),257913.0)</f>
        <v>257913</v>
      </c>
      <c r="F2442" s="2">
        <f>IFERROR(__xludf.DUMMYFUNCTION("""COMPUTED_VALUE"""),5161971.0)</f>
        <v>5161971</v>
      </c>
      <c r="G2442" s="2">
        <f>IFERROR(__xludf.DUMMYFUNCTION("""COMPUTED_VALUE"""),14.0833)</f>
        <v>14.0833</v>
      </c>
    </row>
    <row r="2443">
      <c r="A2443" s="1" t="s">
        <v>2442</v>
      </c>
      <c r="D2443" s="3">
        <f>IFERROR(__xludf.DUMMYFUNCTION("SPLIT(A2443, ""|"")"),43425.0)</f>
        <v>43425</v>
      </c>
      <c r="E2443" s="2">
        <f>IFERROR(__xludf.DUMMYFUNCTION("""COMPUTED_VALUE"""),1767783.0)</f>
        <v>1767783</v>
      </c>
      <c r="F2443" s="2">
        <f>IFERROR(__xludf.DUMMYFUNCTION("""COMPUTED_VALUE"""),5160363.0)</f>
        <v>5160363</v>
      </c>
      <c r="G2443" s="2">
        <f>IFERROR(__xludf.DUMMYFUNCTION("""COMPUTED_VALUE"""),26.3415)</f>
        <v>26.3415</v>
      </c>
    </row>
    <row r="2444">
      <c r="A2444" s="1" t="s">
        <v>2443</v>
      </c>
      <c r="D2444" s="3">
        <f>IFERROR(__xludf.DUMMYFUNCTION("SPLIT(A2444, ""|"")"),43425.0)</f>
        <v>43425</v>
      </c>
      <c r="E2444" s="2">
        <f>IFERROR(__xludf.DUMMYFUNCTION("""COMPUTED_VALUE"""),1774293.0)</f>
        <v>1774293</v>
      </c>
      <c r="F2444" s="2">
        <f>IFERROR(__xludf.DUMMYFUNCTION("""COMPUTED_VALUE"""),5169543.0)</f>
        <v>5169543</v>
      </c>
      <c r="G2444" s="2">
        <f>IFERROR(__xludf.DUMMYFUNCTION("""COMPUTED_VALUE"""),65.8333)</f>
        <v>65.8333</v>
      </c>
    </row>
    <row r="2445">
      <c r="A2445" s="1" t="s">
        <v>2444</v>
      </c>
      <c r="D2445" s="3">
        <f>IFERROR(__xludf.DUMMYFUNCTION("SPLIT(A2445, ""|"")"),43425.0)</f>
        <v>43425</v>
      </c>
      <c r="E2445" s="2">
        <f>IFERROR(__xludf.DUMMYFUNCTION("""COMPUTED_VALUE"""),1774743.0)</f>
        <v>1774743</v>
      </c>
      <c r="F2445" s="2">
        <f>IFERROR(__xludf.DUMMYFUNCTION("""COMPUTED_VALUE"""),5171151.0)</f>
        <v>5171151</v>
      </c>
      <c r="G2445" s="2">
        <f>IFERROR(__xludf.DUMMYFUNCTION("""COMPUTED_VALUE"""),136.6325)</f>
        <v>136.6325</v>
      </c>
    </row>
    <row r="2446">
      <c r="A2446" s="1" t="s">
        <v>2445</v>
      </c>
      <c r="D2446" s="3">
        <f>IFERROR(__xludf.DUMMYFUNCTION("SPLIT(A2446, ""|"")"),43425.0)</f>
        <v>43425</v>
      </c>
      <c r="E2446" s="2">
        <f>IFERROR(__xludf.DUMMYFUNCTION("""COMPUTED_VALUE"""),1773423.0)</f>
        <v>1773423</v>
      </c>
      <c r="F2446" s="2">
        <f>IFERROR(__xludf.DUMMYFUNCTION("""COMPUTED_VALUE"""),5166600.0)</f>
        <v>5166600</v>
      </c>
      <c r="G2446" s="2">
        <f>IFERROR(__xludf.DUMMYFUNCTION("""COMPUTED_VALUE"""),82.8584)</f>
        <v>82.8584</v>
      </c>
    </row>
    <row r="2447">
      <c r="A2447" s="1" t="s">
        <v>2446</v>
      </c>
      <c r="D2447" s="3">
        <f>IFERROR(__xludf.DUMMYFUNCTION("SPLIT(A2447, ""|"")"),43425.0)</f>
        <v>43425</v>
      </c>
      <c r="E2447" s="2">
        <f>IFERROR(__xludf.DUMMYFUNCTION("""COMPUTED_VALUE"""),257913.0)</f>
        <v>257913</v>
      </c>
      <c r="F2447" s="2">
        <f>IFERROR(__xludf.DUMMYFUNCTION("""COMPUTED_VALUE"""),5163036.0)</f>
        <v>5163036</v>
      </c>
      <c r="G2447" s="2">
        <f>IFERROR(__xludf.DUMMYFUNCTION("""COMPUTED_VALUE"""),316.1973)</f>
        <v>316.1973</v>
      </c>
    </row>
    <row r="2448">
      <c r="A2448" s="1" t="s">
        <v>2447</v>
      </c>
      <c r="D2448" s="3">
        <f>IFERROR(__xludf.DUMMYFUNCTION("SPLIT(A2448, ""|"")"),43425.0)</f>
        <v>43425</v>
      </c>
      <c r="E2448" s="2">
        <f>IFERROR(__xludf.DUMMYFUNCTION("""COMPUTED_VALUE"""),1701633.0)</f>
        <v>1701633</v>
      </c>
      <c r="F2448" s="2">
        <f>IFERROR(__xludf.DUMMYFUNCTION("""COMPUTED_VALUE"""),5168346.0)</f>
        <v>5168346</v>
      </c>
      <c r="G2448" s="2">
        <f>IFERROR(__xludf.DUMMYFUNCTION("""COMPUTED_VALUE"""),51.5607)</f>
        <v>51.5607</v>
      </c>
    </row>
    <row r="2449">
      <c r="A2449" s="1" t="s">
        <v>2448</v>
      </c>
      <c r="D2449" s="3">
        <f>IFERROR(__xludf.DUMMYFUNCTION("SPLIT(A2449, ""|"")"),43425.0)</f>
        <v>43425</v>
      </c>
      <c r="E2449" s="2">
        <f>IFERROR(__xludf.DUMMYFUNCTION("""COMPUTED_VALUE"""),1752483.0)</f>
        <v>1752483</v>
      </c>
      <c r="F2449" s="2">
        <f>IFERROR(__xludf.DUMMYFUNCTION("""COMPUTED_VALUE"""),5162577.0)</f>
        <v>5162577</v>
      </c>
      <c r="G2449" s="2">
        <f>IFERROR(__xludf.DUMMYFUNCTION("""COMPUTED_VALUE"""),50.3548)</f>
        <v>50.3548</v>
      </c>
    </row>
    <row r="2450">
      <c r="A2450" s="1" t="s">
        <v>2449</v>
      </c>
      <c r="D2450" s="3">
        <f>IFERROR(__xludf.DUMMYFUNCTION("SPLIT(A2450, ""|"")"),43425.0)</f>
        <v>43425</v>
      </c>
      <c r="E2450" s="2">
        <f>IFERROR(__xludf.DUMMYFUNCTION("""COMPUTED_VALUE"""),1772253.0)</f>
        <v>1772253</v>
      </c>
      <c r="F2450" s="2">
        <f>IFERROR(__xludf.DUMMYFUNCTION("""COMPUTED_VALUE"""),5163153.0)</f>
        <v>5163153</v>
      </c>
      <c r="G2450" s="2">
        <f>IFERROR(__xludf.DUMMYFUNCTION("""COMPUTED_VALUE"""),105.448799999999)</f>
        <v>105.4488</v>
      </c>
    </row>
    <row r="2451">
      <c r="A2451" s="1" t="s">
        <v>2450</v>
      </c>
      <c r="D2451" s="3">
        <f>IFERROR(__xludf.DUMMYFUNCTION("SPLIT(A2451, ""|"")"),43170.0)</f>
        <v>43170</v>
      </c>
      <c r="E2451" s="2">
        <f>IFERROR(__xludf.DUMMYFUNCTION("""COMPUTED_VALUE"""),1547133.0)</f>
        <v>1547133</v>
      </c>
      <c r="F2451" s="2">
        <f>IFERROR(__xludf.DUMMYFUNCTION("""COMPUTED_VALUE"""),4289517.0)</f>
        <v>4289517</v>
      </c>
      <c r="G2451" s="2">
        <f>IFERROR(__xludf.DUMMYFUNCTION("""COMPUTED_VALUE"""),54.4961)</f>
        <v>54.4961</v>
      </c>
    </row>
    <row r="2452">
      <c r="A2452" s="1" t="s">
        <v>2451</v>
      </c>
      <c r="D2452" s="3">
        <f>IFERROR(__xludf.DUMMYFUNCTION("SPLIT(A2452, ""|"")"),43170.0)</f>
        <v>43170</v>
      </c>
      <c r="E2452" s="2">
        <f>IFERROR(__xludf.DUMMYFUNCTION("""COMPUTED_VALUE"""),1547043.0)</f>
        <v>1547043</v>
      </c>
      <c r="F2452" s="2">
        <f>IFERROR(__xludf.DUMMYFUNCTION("""COMPUTED_VALUE"""),4289162.0)</f>
        <v>4289162</v>
      </c>
      <c r="G2452" s="2">
        <f>IFERROR(__xludf.DUMMYFUNCTION("""COMPUTED_VALUE"""),23.7996)</f>
        <v>23.7996</v>
      </c>
    </row>
    <row r="2453">
      <c r="A2453" s="1" t="s">
        <v>2452</v>
      </c>
      <c r="D2453" s="3">
        <f>IFERROR(__xludf.DUMMYFUNCTION("SPLIT(A2453, ""|"")"),43170.0)</f>
        <v>43170</v>
      </c>
      <c r="E2453" s="2">
        <f>IFERROR(__xludf.DUMMYFUNCTION("""COMPUTED_VALUE"""),370953.0)</f>
        <v>370953</v>
      </c>
      <c r="F2453" s="2">
        <f>IFERROR(__xludf.DUMMYFUNCTION("""COMPUTED_VALUE"""),4289006.0)</f>
        <v>4289006</v>
      </c>
      <c r="G2453" s="2">
        <f>IFERROR(__xludf.DUMMYFUNCTION("""COMPUTED_VALUE"""),39.6668)</f>
        <v>39.6668</v>
      </c>
    </row>
    <row r="2454">
      <c r="A2454" s="1" t="s">
        <v>2453</v>
      </c>
      <c r="D2454" s="3">
        <f>IFERROR(__xludf.DUMMYFUNCTION("SPLIT(A2454, ""|"")"),43170.0)</f>
        <v>43170</v>
      </c>
      <c r="E2454" s="2">
        <f>IFERROR(__xludf.DUMMYFUNCTION("""COMPUTED_VALUE"""),1546953.0)</f>
        <v>1546953</v>
      </c>
      <c r="F2454" s="2">
        <f>IFERROR(__xludf.DUMMYFUNCTION("""COMPUTED_VALUE"""),4288826.0)</f>
        <v>4288826</v>
      </c>
      <c r="G2454" s="2">
        <f>IFERROR(__xludf.DUMMYFUNCTION("""COMPUTED_VALUE"""),65.0833)</f>
        <v>65.0833</v>
      </c>
    </row>
    <row r="2455">
      <c r="A2455" s="1" t="s">
        <v>2454</v>
      </c>
      <c r="D2455" s="3">
        <f>IFERROR(__xludf.DUMMYFUNCTION("SPLIT(A2455, ""|"")"),43170.0)</f>
        <v>43170</v>
      </c>
      <c r="E2455" s="2">
        <f>IFERROR(__xludf.DUMMYFUNCTION("""COMPUTED_VALUE"""),1410633.0)</f>
        <v>1410633</v>
      </c>
      <c r="F2455" s="2">
        <f>IFERROR(__xludf.DUMMYFUNCTION("""COMPUTED_VALUE"""),4289380.0)</f>
        <v>4289380</v>
      </c>
      <c r="G2455" s="2">
        <f>IFERROR(__xludf.DUMMYFUNCTION("""COMPUTED_VALUE"""),82.2143)</f>
        <v>82.2143</v>
      </c>
    </row>
    <row r="2456">
      <c r="A2456" s="1" t="s">
        <v>2455</v>
      </c>
      <c r="D2456" s="3">
        <f>IFERROR(__xludf.DUMMYFUNCTION("SPLIT(A2456, ""|"")"),43426.0)</f>
        <v>43426</v>
      </c>
      <c r="E2456" s="2">
        <f>IFERROR(__xludf.DUMMYFUNCTION("""COMPUTED_VALUE"""),1409553.0)</f>
        <v>1409553</v>
      </c>
      <c r="F2456" s="2">
        <f>IFERROR(__xludf.DUMMYFUNCTION("""COMPUTED_VALUE"""),5174337.0)</f>
        <v>5174337</v>
      </c>
      <c r="G2456" s="2">
        <f>IFERROR(__xludf.DUMMYFUNCTION("""COMPUTED_VALUE"""),77.4623)</f>
        <v>77.4623</v>
      </c>
    </row>
    <row r="2457">
      <c r="A2457" s="1" t="s">
        <v>2456</v>
      </c>
      <c r="D2457" s="3">
        <f>IFERROR(__xludf.DUMMYFUNCTION("SPLIT(A2457, ""|"")"),43426.0)</f>
        <v>43426</v>
      </c>
      <c r="E2457" s="2">
        <f>IFERROR(__xludf.DUMMYFUNCTION("""COMPUTED_VALUE"""),1528503.0)</f>
        <v>1528503</v>
      </c>
      <c r="F2457" s="2">
        <f>IFERROR(__xludf.DUMMYFUNCTION("""COMPUTED_VALUE"""),5176317.0)</f>
        <v>5176317</v>
      </c>
      <c r="G2457" s="2">
        <f>IFERROR(__xludf.DUMMYFUNCTION("""COMPUTED_VALUE"""),72.6138999999999)</f>
        <v>72.6139</v>
      </c>
    </row>
    <row r="2458">
      <c r="A2458" s="1" t="s">
        <v>2457</v>
      </c>
      <c r="D2458" s="3">
        <f>IFERROR(__xludf.DUMMYFUNCTION("SPLIT(A2458, ""|"")"),43426.0)</f>
        <v>43426</v>
      </c>
      <c r="E2458" s="2">
        <f>IFERROR(__xludf.DUMMYFUNCTION("""COMPUTED_VALUE"""),1771743.0)</f>
        <v>1771743</v>
      </c>
      <c r="F2458" s="2">
        <f>IFERROR(__xludf.DUMMYFUNCTION("""COMPUTED_VALUE"""),5177130.0)</f>
        <v>5177130</v>
      </c>
      <c r="G2458" s="2">
        <f>IFERROR(__xludf.DUMMYFUNCTION("""COMPUTED_VALUE"""),52.0205)</f>
        <v>52.0205</v>
      </c>
    </row>
    <row r="2459">
      <c r="A2459" s="1" t="s">
        <v>2458</v>
      </c>
      <c r="D2459" s="3">
        <f>IFERROR(__xludf.DUMMYFUNCTION("SPLIT(A2459, ""|"")"),43426.0)</f>
        <v>43426</v>
      </c>
      <c r="E2459" s="2">
        <f>IFERROR(__xludf.DUMMYFUNCTION("""COMPUTED_VALUE"""),1544523.0)</f>
        <v>1544523</v>
      </c>
      <c r="F2459" s="2">
        <f>IFERROR(__xludf.DUMMYFUNCTION("""COMPUTED_VALUE"""),5175561.0)</f>
        <v>5175561</v>
      </c>
      <c r="G2459" s="2">
        <f>IFERROR(__xludf.DUMMYFUNCTION("""COMPUTED_VALUE"""),25.32)</f>
        <v>25.32</v>
      </c>
    </row>
    <row r="2460">
      <c r="A2460" s="1" t="s">
        <v>2459</v>
      </c>
      <c r="D2460" s="3">
        <f>IFERROR(__xludf.DUMMYFUNCTION("SPLIT(A2460, ""|"")"),43426.0)</f>
        <v>43426</v>
      </c>
      <c r="E2460" s="2">
        <f>IFERROR(__xludf.DUMMYFUNCTION("""COMPUTED_VALUE"""),1751163.0)</f>
        <v>1751163</v>
      </c>
      <c r="F2460" s="2">
        <f>IFERROR(__xludf.DUMMYFUNCTION("""COMPUTED_VALUE"""),5180286.0)</f>
        <v>5180286</v>
      </c>
      <c r="G2460" s="2">
        <f>IFERROR(__xludf.DUMMYFUNCTION("""COMPUTED_VALUE"""),80.4198)</f>
        <v>80.4198</v>
      </c>
    </row>
    <row r="2461">
      <c r="A2461" s="1" t="s">
        <v>2460</v>
      </c>
      <c r="D2461" s="3">
        <f>IFERROR(__xludf.DUMMYFUNCTION("SPLIT(A2461, ""|"")"),43426.0)</f>
        <v>43426</v>
      </c>
      <c r="E2461" s="2">
        <f>IFERROR(__xludf.DUMMYFUNCTION("""COMPUTED_VALUE"""),1775253.0)</f>
        <v>1775253</v>
      </c>
      <c r="F2461" s="2">
        <f>IFERROR(__xludf.DUMMYFUNCTION("""COMPUTED_VALUE"""),5172966.0)</f>
        <v>5172966</v>
      </c>
      <c r="G2461" s="2">
        <f>IFERROR(__xludf.DUMMYFUNCTION("""COMPUTED_VALUE"""),14.0284)</f>
        <v>14.0284</v>
      </c>
    </row>
    <row r="2462">
      <c r="A2462" s="1" t="s">
        <v>2461</v>
      </c>
      <c r="D2462" s="3">
        <f>IFERROR(__xludf.DUMMYFUNCTION("SPLIT(A2462, ""|"")"),43426.0)</f>
        <v>43426</v>
      </c>
      <c r="E2462" s="2">
        <f>IFERROR(__xludf.DUMMYFUNCTION("""COMPUTED_VALUE"""),1775493.0)</f>
        <v>1775493</v>
      </c>
      <c r="F2462" s="2">
        <f>IFERROR(__xludf.DUMMYFUNCTION("""COMPUTED_VALUE"""),5173737.0)</f>
        <v>5173737</v>
      </c>
      <c r="G2462" s="2">
        <f>IFERROR(__xludf.DUMMYFUNCTION("""COMPUTED_VALUE"""),51.6881)</f>
        <v>51.6881</v>
      </c>
    </row>
    <row r="2463">
      <c r="A2463" s="1" t="s">
        <v>2462</v>
      </c>
      <c r="D2463" s="3">
        <f>IFERROR(__xludf.DUMMYFUNCTION("SPLIT(A2463, ""|"")"),43426.0)</f>
        <v>43426</v>
      </c>
      <c r="E2463" s="2">
        <f>IFERROR(__xludf.DUMMYFUNCTION("""COMPUTED_VALUE"""),1672743.0)</f>
        <v>1672743</v>
      </c>
      <c r="F2463" s="2">
        <f>IFERROR(__xludf.DUMMYFUNCTION("""COMPUTED_VALUE"""),5177373.0)</f>
        <v>5177373</v>
      </c>
      <c r="G2463" s="2">
        <f>IFERROR(__xludf.DUMMYFUNCTION("""COMPUTED_VALUE"""),67.0153)</f>
        <v>67.0153</v>
      </c>
    </row>
    <row r="2464">
      <c r="A2464" s="1" t="s">
        <v>2463</v>
      </c>
      <c r="D2464" s="3">
        <f>IFERROR(__xludf.DUMMYFUNCTION("SPLIT(A2464, ""|"")"),43426.0)</f>
        <v>43426</v>
      </c>
      <c r="E2464" s="2">
        <f>IFERROR(__xludf.DUMMYFUNCTION("""COMPUTED_VALUE"""),1776003.0)</f>
        <v>1776003</v>
      </c>
      <c r="F2464" s="2">
        <f>IFERROR(__xludf.DUMMYFUNCTION("""COMPUTED_VALUE"""),5176833.0)</f>
        <v>5176833</v>
      </c>
      <c r="G2464" s="2">
        <f>IFERROR(__xludf.DUMMYFUNCTION("""COMPUTED_VALUE"""),60.6402)</f>
        <v>60.6402</v>
      </c>
    </row>
    <row r="2465">
      <c r="A2465" s="1" t="s">
        <v>2464</v>
      </c>
      <c r="D2465" s="3">
        <f>IFERROR(__xludf.DUMMYFUNCTION("SPLIT(A2465, ""|"")"),43426.0)</f>
        <v>43426</v>
      </c>
      <c r="E2465" s="2">
        <f>IFERROR(__xludf.DUMMYFUNCTION("""COMPUTED_VALUE"""),484533.0)</f>
        <v>484533</v>
      </c>
      <c r="F2465" s="2">
        <f>IFERROR(__xludf.DUMMYFUNCTION("""COMPUTED_VALUE"""),5181330.0)</f>
        <v>5181330</v>
      </c>
      <c r="G2465" s="2">
        <f>IFERROR(__xludf.DUMMYFUNCTION("""COMPUTED_VALUE"""),19.8192)</f>
        <v>19.8192</v>
      </c>
    </row>
    <row r="2466">
      <c r="A2466" s="1" t="s">
        <v>2465</v>
      </c>
      <c r="D2466" s="3">
        <f>IFERROR(__xludf.DUMMYFUNCTION("SPLIT(A2466, ""|"")"),43426.0)</f>
        <v>43426</v>
      </c>
      <c r="E2466" s="2">
        <f>IFERROR(__xludf.DUMMYFUNCTION("""COMPUTED_VALUE"""),1777383.0)</f>
        <v>1777383</v>
      </c>
      <c r="F2466" s="2">
        <f>IFERROR(__xludf.DUMMYFUNCTION("""COMPUTED_VALUE"""),5180154.0)</f>
        <v>5180154</v>
      </c>
      <c r="G2466" s="2">
        <f>IFERROR(__xludf.DUMMYFUNCTION("""COMPUTED_VALUE"""),14.1596)</f>
        <v>14.1596</v>
      </c>
    </row>
    <row r="2467">
      <c r="A2467" s="1" t="s">
        <v>2466</v>
      </c>
      <c r="D2467" s="3">
        <f>IFERROR(__xludf.DUMMYFUNCTION("SPLIT(A2467, ""|"")"),43426.0)</f>
        <v>43426</v>
      </c>
      <c r="E2467" s="2">
        <f>IFERROR(__xludf.DUMMYFUNCTION("""COMPUTED_VALUE"""),1162143.0)</f>
        <v>1162143</v>
      </c>
      <c r="F2467" s="2">
        <f>IFERROR(__xludf.DUMMYFUNCTION("""COMPUTED_VALUE"""),5180490.0)</f>
        <v>5180490</v>
      </c>
      <c r="G2467" s="2">
        <f>IFERROR(__xludf.DUMMYFUNCTION("""COMPUTED_VALUE"""),64.0757)</f>
        <v>64.0757</v>
      </c>
    </row>
    <row r="2468">
      <c r="A2468" s="1" t="s">
        <v>2467</v>
      </c>
      <c r="D2468" s="3">
        <f>IFERROR(__xludf.DUMMYFUNCTION("SPLIT(A2468, ""|"")"),43426.0)</f>
        <v>43426</v>
      </c>
      <c r="E2468" s="2">
        <f>IFERROR(__xludf.DUMMYFUNCTION("""COMPUTED_VALUE"""),1775463.0)</f>
        <v>1775463</v>
      </c>
      <c r="F2468" s="2">
        <f>IFERROR(__xludf.DUMMYFUNCTION("""COMPUTED_VALUE"""),5173683.0)</f>
        <v>5173683</v>
      </c>
      <c r="G2468" s="2">
        <f>IFERROR(__xludf.DUMMYFUNCTION("""COMPUTED_VALUE"""),2.3801)</f>
        <v>2.3801</v>
      </c>
    </row>
    <row r="2469">
      <c r="A2469" s="1" t="s">
        <v>2468</v>
      </c>
      <c r="D2469" s="3">
        <f>IFERROR(__xludf.DUMMYFUNCTION("SPLIT(A2469, ""|"")"),43426.0)</f>
        <v>43426</v>
      </c>
      <c r="E2469" s="2">
        <f>IFERROR(__xludf.DUMMYFUNCTION("""COMPUTED_VALUE"""),1592163.0)</f>
        <v>1592163</v>
      </c>
      <c r="F2469" s="2">
        <f>IFERROR(__xludf.DUMMYFUNCTION("""COMPUTED_VALUE"""),5174703.0)</f>
        <v>5174703</v>
      </c>
      <c r="G2469" s="2">
        <f>IFERROR(__xludf.DUMMYFUNCTION("""COMPUTED_VALUE"""),91.694)</f>
        <v>91.694</v>
      </c>
    </row>
    <row r="2470">
      <c r="A2470" s="1" t="s">
        <v>2469</v>
      </c>
      <c r="D2470" s="3">
        <f>IFERROR(__xludf.DUMMYFUNCTION("SPLIT(A2470, ""|"")"),43426.0)</f>
        <v>43426</v>
      </c>
      <c r="E2470" s="2">
        <f>IFERROR(__xludf.DUMMYFUNCTION("""COMPUTED_VALUE"""),1134153.0)</f>
        <v>1134153</v>
      </c>
      <c r="F2470" s="2">
        <f>IFERROR(__xludf.DUMMYFUNCTION("""COMPUTED_VALUE"""),5178693.0)</f>
        <v>5178693</v>
      </c>
      <c r="G2470" s="2">
        <f>IFERROR(__xludf.DUMMYFUNCTION("""COMPUTED_VALUE"""),62.3251)</f>
        <v>62.3251</v>
      </c>
    </row>
    <row r="2471">
      <c r="A2471" s="1" t="s">
        <v>2470</v>
      </c>
      <c r="D2471" s="3">
        <f>IFERROR(__xludf.DUMMYFUNCTION("SPLIT(A2471, ""|"")"),43426.0)</f>
        <v>43426</v>
      </c>
      <c r="E2471" s="2">
        <f>IFERROR(__xludf.DUMMYFUNCTION("""COMPUTED_VALUE"""),1778343.0)</f>
        <v>1778343</v>
      </c>
      <c r="F2471" s="2">
        <f>IFERROR(__xludf.DUMMYFUNCTION("""COMPUTED_VALUE"""),5183100.0)</f>
        <v>5183100</v>
      </c>
      <c r="G2471" s="2">
        <f>IFERROR(__xludf.DUMMYFUNCTION("""COMPUTED_VALUE"""),24.1704)</f>
        <v>24.1704</v>
      </c>
    </row>
    <row r="2472">
      <c r="A2472" s="1" t="s">
        <v>2471</v>
      </c>
      <c r="D2472" s="3">
        <f>IFERROR(__xludf.DUMMYFUNCTION("SPLIT(A2472, ""|"")"),43426.0)</f>
        <v>43426</v>
      </c>
      <c r="E2472" s="2">
        <f>IFERROR(__xludf.DUMMYFUNCTION("""COMPUTED_VALUE"""),1770243.0)</f>
        <v>1770243</v>
      </c>
      <c r="F2472" s="2">
        <f>IFERROR(__xludf.DUMMYFUNCTION("""COMPUTED_VALUE"""),5178096.0)</f>
        <v>5178096</v>
      </c>
      <c r="G2472" s="2">
        <f>IFERROR(__xludf.DUMMYFUNCTION("""COMPUTED_VALUE"""),63.3068)</f>
        <v>63.3068</v>
      </c>
    </row>
    <row r="2473">
      <c r="A2473" s="1" t="s">
        <v>2472</v>
      </c>
      <c r="D2473" s="3">
        <f>IFERROR(__xludf.DUMMYFUNCTION("SPLIT(A2473, ""|"")"),43171.0)</f>
        <v>43171</v>
      </c>
      <c r="E2473" s="2">
        <f>IFERROR(__xludf.DUMMYFUNCTION("""COMPUTED_VALUE"""),262083.0)</f>
        <v>262083</v>
      </c>
      <c r="F2473" s="2">
        <f>IFERROR(__xludf.DUMMYFUNCTION("""COMPUTED_VALUE"""),4293619.0)</f>
        <v>4293619</v>
      </c>
      <c r="G2473" s="2">
        <f>IFERROR(__xludf.DUMMYFUNCTION("""COMPUTED_VALUE"""),66.6968)</f>
        <v>66.6968</v>
      </c>
    </row>
    <row r="2474">
      <c r="A2474" s="1" t="s">
        <v>2473</v>
      </c>
      <c r="D2474" s="3">
        <f>IFERROR(__xludf.DUMMYFUNCTION("SPLIT(A2474, ""|"")"),43171.0)</f>
        <v>43171</v>
      </c>
      <c r="E2474" s="2">
        <f>IFERROR(__xludf.DUMMYFUNCTION("""COMPUTED_VALUE"""),1545273.0)</f>
        <v>1545273</v>
      </c>
      <c r="F2474" s="2">
        <f>IFERROR(__xludf.DUMMYFUNCTION("""COMPUTED_VALUE"""),4292986.0)</f>
        <v>4292986</v>
      </c>
      <c r="G2474" s="2">
        <f>IFERROR(__xludf.DUMMYFUNCTION("""COMPUTED_VALUE"""),31.2177)</f>
        <v>31.2177</v>
      </c>
    </row>
    <row r="2475">
      <c r="A2475" s="1" t="s">
        <v>2474</v>
      </c>
      <c r="D2475" s="3">
        <f>IFERROR(__xludf.DUMMYFUNCTION("SPLIT(A2475, ""|"")"),43171.0)</f>
        <v>43171</v>
      </c>
      <c r="E2475" s="2">
        <f>IFERROR(__xludf.DUMMYFUNCTION("""COMPUTED_VALUE"""),217743.0)</f>
        <v>217743</v>
      </c>
      <c r="F2475" s="2">
        <f>IFERROR(__xludf.DUMMYFUNCTION("""COMPUTED_VALUE"""),4293713.0)</f>
        <v>4293713</v>
      </c>
      <c r="G2475" s="2">
        <f>IFERROR(__xludf.DUMMYFUNCTION("""COMPUTED_VALUE"""),159.6589)</f>
        <v>159.6589</v>
      </c>
    </row>
    <row r="2476">
      <c r="A2476" s="1" t="s">
        <v>2475</v>
      </c>
      <c r="D2476" s="3">
        <f>IFERROR(__xludf.DUMMYFUNCTION("SPLIT(A2476, ""|"")"),43171.0)</f>
        <v>43171</v>
      </c>
      <c r="E2476" s="2">
        <f>IFERROR(__xludf.DUMMYFUNCTION("""COMPUTED_VALUE"""),1442013.0)</f>
        <v>1442013</v>
      </c>
      <c r="F2476" s="2">
        <f>IFERROR(__xludf.DUMMYFUNCTION("""COMPUTED_VALUE"""),4292992.0)</f>
        <v>4292992</v>
      </c>
      <c r="G2476" s="2">
        <f>IFERROR(__xludf.DUMMYFUNCTION("""COMPUTED_VALUE"""),106.196399999999)</f>
        <v>106.1964</v>
      </c>
    </row>
    <row r="2477">
      <c r="A2477" s="1" t="s">
        <v>2476</v>
      </c>
      <c r="D2477" s="3">
        <f>IFERROR(__xludf.DUMMYFUNCTION("SPLIT(A2477, ""|"")"),43171.0)</f>
        <v>43171</v>
      </c>
      <c r="E2477" s="2">
        <f>IFERROR(__xludf.DUMMYFUNCTION("""COMPUTED_VALUE"""),1548303.0)</f>
        <v>1548303</v>
      </c>
      <c r="F2477" s="2">
        <f>IFERROR(__xludf.DUMMYFUNCTION("""COMPUTED_VALUE"""),4294156.0)</f>
        <v>4294156</v>
      </c>
      <c r="G2477" s="2">
        <f>IFERROR(__xludf.DUMMYFUNCTION("""COMPUTED_VALUE"""),15.825)</f>
        <v>15.825</v>
      </c>
    </row>
    <row r="2478">
      <c r="A2478" s="1" t="s">
        <v>2477</v>
      </c>
      <c r="D2478" s="3">
        <f>IFERROR(__xludf.DUMMYFUNCTION("SPLIT(A2478, ""|"")"),43427.0)</f>
        <v>43427</v>
      </c>
      <c r="E2478" s="2">
        <f>IFERROR(__xludf.DUMMYFUNCTION("""COMPUTED_VALUE"""),1780833.0)</f>
        <v>1780833</v>
      </c>
      <c r="F2478" s="2">
        <f>IFERROR(__xludf.DUMMYFUNCTION("""COMPUTED_VALUE"""),5192355.0)</f>
        <v>5192355</v>
      </c>
      <c r="G2478" s="2">
        <f>IFERROR(__xludf.DUMMYFUNCTION("""COMPUTED_VALUE"""),67.3764)</f>
        <v>67.3764</v>
      </c>
    </row>
    <row r="2479">
      <c r="A2479" s="1" t="s">
        <v>2478</v>
      </c>
      <c r="D2479" s="3">
        <f>IFERROR(__xludf.DUMMYFUNCTION("SPLIT(A2479, ""|"")"),43427.0)</f>
        <v>43427</v>
      </c>
      <c r="E2479" s="2">
        <f>IFERROR(__xludf.DUMMYFUNCTION("""COMPUTED_VALUE"""),1781793.0)</f>
        <v>1781793</v>
      </c>
      <c r="F2479" s="2">
        <f>IFERROR(__xludf.DUMMYFUNCTION("""COMPUTED_VALUE"""),5195565.0)</f>
        <v>5195565</v>
      </c>
      <c r="G2479" s="2">
        <f>IFERROR(__xludf.DUMMYFUNCTION("""COMPUTED_VALUE"""),12.0802)</f>
        <v>12.0802</v>
      </c>
    </row>
    <row r="2480">
      <c r="A2480" s="1" t="s">
        <v>2479</v>
      </c>
      <c r="D2480" s="3">
        <f>IFERROR(__xludf.DUMMYFUNCTION("SPLIT(A2480, ""|"")"),43427.0)</f>
        <v>43427</v>
      </c>
      <c r="E2480" s="2">
        <f>IFERROR(__xludf.DUMMYFUNCTION("""COMPUTED_VALUE"""),1780173.0)</f>
        <v>1780173</v>
      </c>
      <c r="F2480" s="2">
        <f>IFERROR(__xludf.DUMMYFUNCTION("""COMPUTED_VALUE"""),5189991.0)</f>
        <v>5189991</v>
      </c>
      <c r="G2480" s="2">
        <f>IFERROR(__xludf.DUMMYFUNCTION("""COMPUTED_VALUE"""),32.5125)</f>
        <v>32.5125</v>
      </c>
    </row>
    <row r="2481">
      <c r="A2481" s="1" t="s">
        <v>2480</v>
      </c>
      <c r="D2481" s="3">
        <f>IFERROR(__xludf.DUMMYFUNCTION("SPLIT(A2481, ""|"")"),43427.0)</f>
        <v>43427</v>
      </c>
      <c r="E2481" s="2">
        <f>IFERROR(__xludf.DUMMYFUNCTION("""COMPUTED_VALUE"""),1782333.0)</f>
        <v>1782333</v>
      </c>
      <c r="F2481" s="2">
        <f>IFERROR(__xludf.DUMMYFUNCTION("""COMPUTED_VALUE"""),5198151.0)</f>
        <v>5198151</v>
      </c>
      <c r="G2481" s="2">
        <f>IFERROR(__xludf.DUMMYFUNCTION("""COMPUTED_VALUE"""),125.3334)</f>
        <v>125.3334</v>
      </c>
    </row>
    <row r="2482">
      <c r="A2482" s="1" t="s">
        <v>2481</v>
      </c>
      <c r="D2482" s="3">
        <f>IFERROR(__xludf.DUMMYFUNCTION("SPLIT(A2482, ""|"")"),43427.0)</f>
        <v>43427</v>
      </c>
      <c r="E2482" s="2">
        <f>IFERROR(__xludf.DUMMYFUNCTION("""COMPUTED_VALUE"""),1782543.0)</f>
        <v>1782543</v>
      </c>
      <c r="F2482" s="2">
        <f>IFERROR(__xludf.DUMMYFUNCTION("""COMPUTED_VALUE"""),5198472.0)</f>
        <v>5198472</v>
      </c>
      <c r="G2482" s="2">
        <f>IFERROR(__xludf.DUMMYFUNCTION("""COMPUTED_VALUE"""),68.0756)</f>
        <v>68.0756</v>
      </c>
    </row>
    <row r="2483">
      <c r="A2483" s="1" t="s">
        <v>2482</v>
      </c>
      <c r="D2483" s="3">
        <f>IFERROR(__xludf.DUMMYFUNCTION("SPLIT(A2483, ""|"")"),43427.0)</f>
        <v>43427</v>
      </c>
      <c r="E2483" s="2">
        <f>IFERROR(__xludf.DUMMYFUNCTION("""COMPUTED_VALUE"""),1344573.0)</f>
        <v>1344573</v>
      </c>
      <c r="F2483" s="2">
        <f>IFERROR(__xludf.DUMMYFUNCTION("""COMPUTED_VALUE"""),5186811.0)</f>
        <v>5186811</v>
      </c>
      <c r="G2483" s="2">
        <f>IFERROR(__xludf.DUMMYFUNCTION("""COMPUTED_VALUE"""),75.983)</f>
        <v>75.983</v>
      </c>
    </row>
    <row r="2484">
      <c r="A2484" s="1" t="s">
        <v>2483</v>
      </c>
      <c r="D2484" s="3">
        <f>IFERROR(__xludf.DUMMYFUNCTION("SPLIT(A2484, ""|"")"),43427.0)</f>
        <v>43427</v>
      </c>
      <c r="E2484" s="2">
        <f>IFERROR(__xludf.DUMMYFUNCTION("""COMPUTED_VALUE"""),1780413.0)</f>
        <v>1780413</v>
      </c>
      <c r="F2484" s="2">
        <f>IFERROR(__xludf.DUMMYFUNCTION("""COMPUTED_VALUE"""),5191173.0)</f>
        <v>5191173</v>
      </c>
      <c r="G2484" s="2">
        <f>IFERROR(__xludf.DUMMYFUNCTION("""COMPUTED_VALUE"""),94.4252)</f>
        <v>94.4252</v>
      </c>
    </row>
    <row r="2485">
      <c r="A2485" s="1" t="s">
        <v>2484</v>
      </c>
      <c r="D2485" s="3">
        <f>IFERROR(__xludf.DUMMYFUNCTION("SPLIT(A2485, ""|"")"),43427.0)</f>
        <v>43427</v>
      </c>
      <c r="E2485" s="2">
        <f>IFERROR(__xludf.DUMMYFUNCTION("""COMPUTED_VALUE"""),1776663.0)</f>
        <v>1776663</v>
      </c>
      <c r="F2485" s="2">
        <f>IFERROR(__xludf.DUMMYFUNCTION("""COMPUTED_VALUE"""),5186697.0)</f>
        <v>5186697</v>
      </c>
      <c r="G2485" s="2">
        <f>IFERROR(__xludf.DUMMYFUNCTION("""COMPUTED_VALUE"""),66.9375)</f>
        <v>66.9375</v>
      </c>
    </row>
    <row r="2486">
      <c r="A2486" s="1" t="s">
        <v>2485</v>
      </c>
      <c r="D2486" s="3">
        <f>IFERROR(__xludf.DUMMYFUNCTION("SPLIT(A2486, ""|"")"),43427.0)</f>
        <v>43427</v>
      </c>
      <c r="E2486" s="2">
        <f>IFERROR(__xludf.DUMMYFUNCTION("""COMPUTED_VALUE"""),1778643.0)</f>
        <v>1778643</v>
      </c>
      <c r="F2486" s="2">
        <f>IFERROR(__xludf.DUMMYFUNCTION("""COMPUTED_VALUE"""),5184069.0)</f>
        <v>5184069</v>
      </c>
      <c r="G2486" s="2">
        <f>IFERROR(__xludf.DUMMYFUNCTION("""COMPUTED_VALUE"""),87.3487)</f>
        <v>87.3487</v>
      </c>
    </row>
    <row r="2487">
      <c r="A2487" s="1" t="s">
        <v>2486</v>
      </c>
      <c r="D2487" s="3">
        <f>IFERROR(__xludf.DUMMYFUNCTION("SPLIT(A2487, ""|"")"),43427.0)</f>
        <v>43427</v>
      </c>
      <c r="E2487" s="2">
        <f>IFERROR(__xludf.DUMMYFUNCTION("""COMPUTED_VALUE"""),1113423.0)</f>
        <v>1113423</v>
      </c>
      <c r="F2487" s="2">
        <f>IFERROR(__xludf.DUMMYFUNCTION("""COMPUTED_VALUE"""),5195049.0)</f>
        <v>5195049</v>
      </c>
      <c r="G2487" s="2">
        <f>IFERROR(__xludf.DUMMYFUNCTION("""COMPUTED_VALUE"""),124.1566)</f>
        <v>124.1566</v>
      </c>
    </row>
    <row r="2488">
      <c r="A2488" s="1" t="s">
        <v>2487</v>
      </c>
      <c r="D2488" s="3">
        <f>IFERROR(__xludf.DUMMYFUNCTION("SPLIT(A2488, ""|"")"),43427.0)</f>
        <v>43427</v>
      </c>
      <c r="E2488" s="2">
        <f>IFERROR(__xludf.DUMMYFUNCTION("""COMPUTED_VALUE"""),1782783.0)</f>
        <v>1782783</v>
      </c>
      <c r="F2488" s="2">
        <f>IFERROR(__xludf.DUMMYFUNCTION("""COMPUTED_VALUE"""),5198970.0)</f>
        <v>5198970</v>
      </c>
      <c r="G2488" s="2">
        <f>IFERROR(__xludf.DUMMYFUNCTION("""COMPUTED_VALUE"""),106.2075)</f>
        <v>106.2075</v>
      </c>
    </row>
    <row r="2489">
      <c r="A2489" s="1" t="s">
        <v>2488</v>
      </c>
      <c r="D2489" s="3">
        <f>IFERROR(__xludf.DUMMYFUNCTION("SPLIT(A2489, ""|"")"),43427.0)</f>
        <v>43427</v>
      </c>
      <c r="E2489" s="2">
        <f>IFERROR(__xludf.DUMMYFUNCTION("""COMPUTED_VALUE"""),1774953.0)</f>
        <v>1774953</v>
      </c>
      <c r="F2489" s="2">
        <f>IFERROR(__xludf.DUMMYFUNCTION("""COMPUTED_VALUE"""),5193978.0)</f>
        <v>5193978</v>
      </c>
      <c r="G2489" s="2">
        <f>IFERROR(__xludf.DUMMYFUNCTION("""COMPUTED_VALUE"""),15.1848)</f>
        <v>15.1848</v>
      </c>
    </row>
    <row r="2490">
      <c r="A2490" s="1" t="s">
        <v>2489</v>
      </c>
      <c r="D2490" s="3">
        <f>IFERROR(__xludf.DUMMYFUNCTION("SPLIT(A2490, ""|"")"),43427.0)</f>
        <v>43427</v>
      </c>
      <c r="E2490" s="2">
        <f>IFERROR(__xludf.DUMMYFUNCTION("""COMPUTED_VALUE"""),1030023.0)</f>
        <v>1030023</v>
      </c>
      <c r="F2490" s="2">
        <f>IFERROR(__xludf.DUMMYFUNCTION("""COMPUTED_VALUE"""),5185869.0)</f>
        <v>5185869</v>
      </c>
      <c r="G2490" s="2">
        <f>IFERROR(__xludf.DUMMYFUNCTION("""COMPUTED_VALUE"""),103.846899999999)</f>
        <v>103.8469</v>
      </c>
    </row>
    <row r="2491">
      <c r="A2491" s="1" t="s">
        <v>2490</v>
      </c>
      <c r="D2491" s="3">
        <f>IFERROR(__xludf.DUMMYFUNCTION("SPLIT(A2491, ""|"")"),43427.0)</f>
        <v>43427</v>
      </c>
      <c r="E2491" s="2">
        <f>IFERROR(__xludf.DUMMYFUNCTION("""COMPUTED_VALUE"""),1184643.0)</f>
        <v>1184643</v>
      </c>
      <c r="F2491" s="2">
        <f>IFERROR(__xludf.DUMMYFUNCTION("""COMPUTED_VALUE"""),5192835.0)</f>
        <v>5192835</v>
      </c>
      <c r="G2491" s="2">
        <f>IFERROR(__xludf.DUMMYFUNCTION("""COMPUTED_VALUE"""),72.1442)</f>
        <v>72.1442</v>
      </c>
    </row>
    <row r="2492">
      <c r="A2492" s="1" t="s">
        <v>2491</v>
      </c>
      <c r="D2492" s="3">
        <f>IFERROR(__xludf.DUMMYFUNCTION("SPLIT(A2492, ""|"")"),43427.0)</f>
        <v>43427</v>
      </c>
      <c r="E2492" s="2">
        <f>IFERROR(__xludf.DUMMYFUNCTION("""COMPUTED_VALUE"""),1433553.0)</f>
        <v>1433553</v>
      </c>
      <c r="F2492" s="2">
        <f>IFERROR(__xludf.DUMMYFUNCTION("""COMPUTED_VALUE"""),5193351.0)</f>
        <v>5193351</v>
      </c>
      <c r="G2492" s="2">
        <f>IFERROR(__xludf.DUMMYFUNCTION("""COMPUTED_VALUE"""),76.3992999999999)</f>
        <v>76.3993</v>
      </c>
    </row>
    <row r="2493">
      <c r="A2493" s="1" t="s">
        <v>2492</v>
      </c>
      <c r="D2493" s="3">
        <f>IFERROR(__xludf.DUMMYFUNCTION("SPLIT(A2493, ""|"")"),43427.0)</f>
        <v>43427</v>
      </c>
      <c r="E2493" s="2">
        <f>IFERROR(__xludf.DUMMYFUNCTION("""COMPUTED_VALUE"""),1774953.0)</f>
        <v>1774953</v>
      </c>
      <c r="F2493" s="2">
        <f>IFERROR(__xludf.DUMMYFUNCTION("""COMPUTED_VALUE"""),5191584.0)</f>
        <v>5191584</v>
      </c>
      <c r="G2493" s="2">
        <f>IFERROR(__xludf.DUMMYFUNCTION("""COMPUTED_VALUE"""),73.8785)</f>
        <v>73.8785</v>
      </c>
    </row>
    <row r="2494">
      <c r="A2494" s="1" t="s">
        <v>2493</v>
      </c>
      <c r="D2494" s="3">
        <f>IFERROR(__xludf.DUMMYFUNCTION("SPLIT(A2494, ""|"")"),43427.0)</f>
        <v>43427</v>
      </c>
      <c r="E2494" s="2">
        <f>IFERROR(__xludf.DUMMYFUNCTION("""COMPUTED_VALUE"""),1683903.0)</f>
        <v>1683903</v>
      </c>
      <c r="F2494" s="2">
        <f>IFERROR(__xludf.DUMMYFUNCTION("""COMPUTED_VALUE"""),5187783.0)</f>
        <v>5187783</v>
      </c>
      <c r="G2494" s="2">
        <f>IFERROR(__xludf.DUMMYFUNCTION("""COMPUTED_VALUE"""),51.945)</f>
        <v>51.945</v>
      </c>
    </row>
    <row r="2495">
      <c r="A2495" s="1" t="s">
        <v>2494</v>
      </c>
      <c r="D2495" s="3">
        <f>IFERROR(__xludf.DUMMYFUNCTION("SPLIT(A2495, ""|"")"),43427.0)</f>
        <v>43427</v>
      </c>
      <c r="E2495" s="2">
        <f>IFERROR(__xludf.DUMMYFUNCTION("""COMPUTED_VALUE"""),1782093.0)</f>
        <v>1782093</v>
      </c>
      <c r="F2495" s="2">
        <f>IFERROR(__xludf.DUMMYFUNCTION("""COMPUTED_VALUE"""),5196648.0)</f>
        <v>5196648</v>
      </c>
      <c r="G2495" s="2">
        <f>IFERROR(__xludf.DUMMYFUNCTION("""COMPUTED_VALUE"""),82.6417)</f>
        <v>82.6417</v>
      </c>
    </row>
    <row r="2496">
      <c r="A2496" s="1" t="s">
        <v>2495</v>
      </c>
      <c r="D2496" s="3">
        <f>IFERROR(__xludf.DUMMYFUNCTION("SPLIT(A2496, ""|"")"),43427.0)</f>
        <v>43427</v>
      </c>
      <c r="E2496" s="2">
        <f>IFERROR(__xludf.DUMMYFUNCTION("""COMPUTED_VALUE"""),1781853.0)</f>
        <v>1781853</v>
      </c>
      <c r="F2496" s="2">
        <f>IFERROR(__xludf.DUMMYFUNCTION("""COMPUTED_VALUE"""),5195712.0)</f>
        <v>5195712</v>
      </c>
      <c r="G2496" s="2">
        <f>IFERROR(__xludf.DUMMYFUNCTION("""COMPUTED_VALUE"""),51.675)</f>
        <v>51.675</v>
      </c>
    </row>
    <row r="2497">
      <c r="A2497" s="1" t="s">
        <v>2496</v>
      </c>
      <c r="D2497" s="3">
        <f>IFERROR(__xludf.DUMMYFUNCTION("SPLIT(A2497, ""|"")"),43172.0)</f>
        <v>43172</v>
      </c>
      <c r="E2497" s="2">
        <f>IFERROR(__xludf.DUMMYFUNCTION("""COMPUTED_VALUE"""),1128333.0)</f>
        <v>1128333</v>
      </c>
      <c r="F2497" s="2">
        <f>IFERROR(__xludf.DUMMYFUNCTION("""COMPUTED_VALUE"""),4296422.0)</f>
        <v>4296422</v>
      </c>
      <c r="G2497" s="2">
        <f>IFERROR(__xludf.DUMMYFUNCTION("""COMPUTED_VALUE"""),43.9801)</f>
        <v>43.9801</v>
      </c>
    </row>
    <row r="2498">
      <c r="A2498" s="1" t="s">
        <v>2497</v>
      </c>
      <c r="D2498" s="3">
        <f>IFERROR(__xludf.DUMMYFUNCTION("SPLIT(A2498, ""|"")"),43172.0)</f>
        <v>43172</v>
      </c>
      <c r="E2498" s="2">
        <f>IFERROR(__xludf.DUMMYFUNCTION("""COMPUTED_VALUE"""),1549083.0)</f>
        <v>1549083</v>
      </c>
      <c r="F2498" s="2">
        <f>IFERROR(__xludf.DUMMYFUNCTION("""COMPUTED_VALUE"""),4296999.0)</f>
        <v>4296999</v>
      </c>
      <c r="G2498" s="2">
        <f>IFERROR(__xludf.DUMMYFUNCTION("""COMPUTED_VALUE"""),18.7678)</f>
        <v>18.7678</v>
      </c>
    </row>
    <row r="2499">
      <c r="A2499" s="1" t="s">
        <v>2498</v>
      </c>
      <c r="D2499" s="3">
        <f>IFERROR(__xludf.DUMMYFUNCTION("SPLIT(A2499, ""|"")"),43172.0)</f>
        <v>43172</v>
      </c>
      <c r="E2499" s="2">
        <f>IFERROR(__xludf.DUMMYFUNCTION("""COMPUTED_VALUE"""),1262733.0)</f>
        <v>1262733</v>
      </c>
      <c r="F2499" s="2">
        <f>IFERROR(__xludf.DUMMYFUNCTION("""COMPUTED_VALUE"""),4294870.0)</f>
        <v>4294870</v>
      </c>
      <c r="G2499" s="2">
        <f>IFERROR(__xludf.DUMMYFUNCTION("""COMPUTED_VALUE"""),109.1379)</f>
        <v>109.1379</v>
      </c>
    </row>
    <row r="2500">
      <c r="A2500" s="1" t="s">
        <v>2499</v>
      </c>
      <c r="D2500" s="3">
        <f>IFERROR(__xludf.DUMMYFUNCTION("SPLIT(A2500, ""|"")"),43172.0)</f>
        <v>43172</v>
      </c>
      <c r="E2500" s="2">
        <f>IFERROR(__xludf.DUMMYFUNCTION("""COMPUTED_VALUE"""),1149063.0)</f>
        <v>1149063</v>
      </c>
      <c r="F2500" s="2">
        <f>IFERROR(__xludf.DUMMYFUNCTION("""COMPUTED_VALUE"""),4296280.0)</f>
        <v>4296280</v>
      </c>
      <c r="G2500" s="2">
        <f>IFERROR(__xludf.DUMMYFUNCTION("""COMPUTED_VALUE"""),88.7443)</f>
        <v>88.7443</v>
      </c>
    </row>
    <row r="2501">
      <c r="A2501" s="1" t="s">
        <v>2500</v>
      </c>
      <c r="D2501" s="3">
        <f>IFERROR(__xludf.DUMMYFUNCTION("SPLIT(A2501, ""|"")"),43172.0)</f>
        <v>43172</v>
      </c>
      <c r="E2501" s="2">
        <f>IFERROR(__xludf.DUMMYFUNCTION("""COMPUTED_VALUE"""),1333263.0)</f>
        <v>1333263</v>
      </c>
      <c r="F2501" s="2">
        <f>IFERROR(__xludf.DUMMYFUNCTION("""COMPUTED_VALUE"""),4296866.0)</f>
        <v>4296866</v>
      </c>
      <c r="G2501" s="2">
        <f>IFERROR(__xludf.DUMMYFUNCTION("""COMPUTED_VALUE"""),46.6643)</f>
        <v>46.6643</v>
      </c>
    </row>
    <row r="2502">
      <c r="A2502" s="1" t="s">
        <v>2501</v>
      </c>
      <c r="D2502" s="3">
        <f>IFERROR(__xludf.DUMMYFUNCTION("SPLIT(A2502, ""|"")"),43172.0)</f>
        <v>43172</v>
      </c>
      <c r="E2502" s="2">
        <f>IFERROR(__xludf.DUMMYFUNCTION("""COMPUTED_VALUE"""),1262733.0)</f>
        <v>1262733</v>
      </c>
      <c r="F2502" s="2">
        <f>IFERROR(__xludf.DUMMYFUNCTION("""COMPUTED_VALUE"""),4294888.0)</f>
        <v>4294888</v>
      </c>
      <c r="G2502" s="2">
        <f>IFERROR(__xludf.DUMMYFUNCTION("""COMPUTED_VALUE"""),109.1379)</f>
        <v>109.1379</v>
      </c>
    </row>
    <row r="2503">
      <c r="A2503" s="1" t="s">
        <v>2502</v>
      </c>
      <c r="D2503" s="3">
        <f>IFERROR(__xludf.DUMMYFUNCTION("SPLIT(A2503, ""|"")"),43172.0)</f>
        <v>43172</v>
      </c>
      <c r="E2503" s="2">
        <f>IFERROR(__xludf.DUMMYFUNCTION("""COMPUTED_VALUE"""),1465233.0)</f>
        <v>1465233</v>
      </c>
      <c r="F2503" s="2">
        <f>IFERROR(__xludf.DUMMYFUNCTION("""COMPUTED_VALUE"""),4295995.0)</f>
        <v>4295995</v>
      </c>
      <c r="G2503" s="2">
        <f>IFERROR(__xludf.DUMMYFUNCTION("""COMPUTED_VALUE"""),76.7830999999999)</f>
        <v>76.7831</v>
      </c>
    </row>
    <row r="2504">
      <c r="A2504" s="1" t="s">
        <v>2503</v>
      </c>
      <c r="D2504" s="3">
        <f>IFERROR(__xludf.DUMMYFUNCTION("SPLIT(A2504, ""|"")"),43172.0)</f>
        <v>43172</v>
      </c>
      <c r="E2504" s="2">
        <f>IFERROR(__xludf.DUMMYFUNCTION("""COMPUTED_VALUE"""),1262733.0)</f>
        <v>1262733</v>
      </c>
      <c r="F2504" s="2">
        <f>IFERROR(__xludf.DUMMYFUNCTION("""COMPUTED_VALUE"""),4294866.0)</f>
        <v>4294866</v>
      </c>
      <c r="G2504" s="2">
        <f>IFERROR(__xludf.DUMMYFUNCTION("""COMPUTED_VALUE"""),109.1379)</f>
        <v>109.1379</v>
      </c>
    </row>
    <row r="2505">
      <c r="A2505" s="1" t="s">
        <v>2504</v>
      </c>
      <c r="D2505" s="3">
        <f>IFERROR(__xludf.DUMMYFUNCTION("SPLIT(A2505, ""|"")"),43428.0)</f>
        <v>43428</v>
      </c>
      <c r="E2505" s="2">
        <f>IFERROR(__xludf.DUMMYFUNCTION("""COMPUTED_VALUE"""),1785843.0)</f>
        <v>1785843</v>
      </c>
      <c r="F2505" s="2">
        <f>IFERROR(__xludf.DUMMYFUNCTION("""COMPUTED_VALUE"""),5208903.0)</f>
        <v>5208903</v>
      </c>
      <c r="G2505" s="2">
        <f>IFERROR(__xludf.DUMMYFUNCTION("""COMPUTED_VALUE"""),24.9167)</f>
        <v>24.9167</v>
      </c>
    </row>
    <row r="2506">
      <c r="A2506" s="1" t="s">
        <v>2505</v>
      </c>
      <c r="D2506" s="3">
        <f>IFERROR(__xludf.DUMMYFUNCTION("SPLIT(A2506, ""|"")"),43428.0)</f>
        <v>43428</v>
      </c>
      <c r="E2506" s="2">
        <f>IFERROR(__xludf.DUMMYFUNCTION("""COMPUTED_VALUE"""),1783833.0)</f>
        <v>1783833</v>
      </c>
      <c r="F2506" s="2">
        <f>IFERROR(__xludf.DUMMYFUNCTION("""COMPUTED_VALUE"""),5202870.0)</f>
        <v>5202870</v>
      </c>
      <c r="G2506" s="2">
        <f>IFERROR(__xludf.DUMMYFUNCTION("""COMPUTED_VALUE"""),38.5258)</f>
        <v>38.5258</v>
      </c>
    </row>
    <row r="2507">
      <c r="A2507" s="1" t="s">
        <v>2506</v>
      </c>
      <c r="D2507" s="3">
        <f>IFERROR(__xludf.DUMMYFUNCTION("SPLIT(A2507, ""|"")"),43428.0)</f>
        <v>43428</v>
      </c>
      <c r="E2507" s="2">
        <f>IFERROR(__xludf.DUMMYFUNCTION("""COMPUTED_VALUE"""),1784403.0)</f>
        <v>1784403</v>
      </c>
      <c r="F2507" s="2">
        <f>IFERROR(__xludf.DUMMYFUNCTION("""COMPUTED_VALUE"""),5204613.0)</f>
        <v>5204613</v>
      </c>
      <c r="G2507" s="2">
        <f>IFERROR(__xludf.DUMMYFUNCTION("""COMPUTED_VALUE"""),62.7363)</f>
        <v>62.7363</v>
      </c>
    </row>
    <row r="2508">
      <c r="A2508" s="1" t="s">
        <v>2507</v>
      </c>
      <c r="D2508" s="3">
        <f>IFERROR(__xludf.DUMMYFUNCTION("SPLIT(A2508, ""|"")"),43428.0)</f>
        <v>43428</v>
      </c>
      <c r="E2508" s="2">
        <f>IFERROR(__xludf.DUMMYFUNCTION("""COMPUTED_VALUE"""),1786053.0)</f>
        <v>1786053</v>
      </c>
      <c r="F2508" s="2">
        <f>IFERROR(__xludf.DUMMYFUNCTION("""COMPUTED_VALUE"""),5209647.0)</f>
        <v>5209647</v>
      </c>
      <c r="G2508" s="2">
        <f>IFERROR(__xludf.DUMMYFUNCTION("""COMPUTED_VALUE"""),48.8042)</f>
        <v>48.8042</v>
      </c>
    </row>
    <row r="2509">
      <c r="A2509" s="1" t="s">
        <v>2508</v>
      </c>
      <c r="D2509" s="3">
        <f>IFERROR(__xludf.DUMMYFUNCTION("SPLIT(A2509, ""|"")"),43428.0)</f>
        <v>43428</v>
      </c>
      <c r="E2509" s="2">
        <f>IFERROR(__xludf.DUMMYFUNCTION("""COMPUTED_VALUE"""),1784793.0)</f>
        <v>1784793</v>
      </c>
      <c r="F2509" s="2">
        <f>IFERROR(__xludf.DUMMYFUNCTION("""COMPUTED_VALUE"""),5205810.0)</f>
        <v>5205810</v>
      </c>
      <c r="G2509" s="2">
        <f>IFERROR(__xludf.DUMMYFUNCTION("""COMPUTED_VALUE"""),45.7703)</f>
        <v>45.7703</v>
      </c>
    </row>
    <row r="2510">
      <c r="A2510" s="1" t="s">
        <v>2509</v>
      </c>
      <c r="D2510" s="3">
        <f>IFERROR(__xludf.DUMMYFUNCTION("SPLIT(A2510, ""|"")"),43428.0)</f>
        <v>43428</v>
      </c>
      <c r="E2510" s="2">
        <f>IFERROR(__xludf.DUMMYFUNCTION("""COMPUTED_VALUE"""),1035903.0)</f>
        <v>1035903</v>
      </c>
      <c r="F2510" s="2">
        <f>IFERROR(__xludf.DUMMYFUNCTION("""COMPUTED_VALUE"""),5208660.0)</f>
        <v>5208660</v>
      </c>
      <c r="G2510" s="2">
        <f>IFERROR(__xludf.DUMMYFUNCTION("""COMPUTED_VALUE"""),25.256)</f>
        <v>25.256</v>
      </c>
    </row>
    <row r="2511">
      <c r="A2511" s="1" t="s">
        <v>2510</v>
      </c>
      <c r="D2511" s="3">
        <f>IFERROR(__xludf.DUMMYFUNCTION("SPLIT(A2511, ""|"")"),43428.0)</f>
        <v>43428</v>
      </c>
      <c r="E2511" s="2">
        <f>IFERROR(__xludf.DUMMYFUNCTION("""COMPUTED_VALUE"""),1785453.0)</f>
        <v>1785453</v>
      </c>
      <c r="F2511" s="2">
        <f>IFERROR(__xludf.DUMMYFUNCTION("""COMPUTED_VALUE"""),5209725.0)</f>
        <v>5209725</v>
      </c>
      <c r="G2511" s="2">
        <f>IFERROR(__xludf.DUMMYFUNCTION("""COMPUTED_VALUE"""),104.0745)</f>
        <v>104.0745</v>
      </c>
    </row>
    <row r="2512">
      <c r="A2512" s="1" t="s">
        <v>2511</v>
      </c>
      <c r="D2512" s="3">
        <f>IFERROR(__xludf.DUMMYFUNCTION("SPLIT(A2512, ""|"")"),43428.0)</f>
        <v>43428</v>
      </c>
      <c r="E2512" s="2">
        <f>IFERROR(__xludf.DUMMYFUNCTION("""COMPUTED_VALUE"""),1784763.0)</f>
        <v>1784763</v>
      </c>
      <c r="F2512" s="2">
        <f>IFERROR(__xludf.DUMMYFUNCTION("""COMPUTED_VALUE"""),5205654.0)</f>
        <v>5205654</v>
      </c>
      <c r="G2512" s="2">
        <f>IFERROR(__xludf.DUMMYFUNCTION("""COMPUTED_VALUE"""),39.1283)</f>
        <v>39.1283</v>
      </c>
    </row>
    <row r="2513">
      <c r="A2513" s="1" t="s">
        <v>2512</v>
      </c>
      <c r="D2513" s="3">
        <f>IFERROR(__xludf.DUMMYFUNCTION("SPLIT(A2513, ""|"")"),43428.0)</f>
        <v>43428</v>
      </c>
      <c r="E2513" s="2">
        <f>IFERROR(__xludf.DUMMYFUNCTION("""COMPUTED_VALUE"""),1454223.0)</f>
        <v>1454223</v>
      </c>
      <c r="F2513" s="2">
        <f>IFERROR(__xludf.DUMMYFUNCTION("""COMPUTED_VALUE"""),5210817.0)</f>
        <v>5210817</v>
      </c>
      <c r="G2513" s="2">
        <f>IFERROR(__xludf.DUMMYFUNCTION("""COMPUTED_VALUE"""),59.9925)</f>
        <v>59.9925</v>
      </c>
    </row>
    <row r="2514">
      <c r="A2514" s="1" t="s">
        <v>2513</v>
      </c>
      <c r="D2514" s="3">
        <f>IFERROR(__xludf.DUMMYFUNCTION("SPLIT(A2514, ""|"")"),43428.0)</f>
        <v>43428</v>
      </c>
      <c r="E2514" s="2">
        <f>IFERROR(__xludf.DUMMYFUNCTION("""COMPUTED_VALUE"""),1776153.0)</f>
        <v>1776153</v>
      </c>
      <c r="F2514" s="2">
        <f>IFERROR(__xludf.DUMMYFUNCTION("""COMPUTED_VALUE"""),5204145.0)</f>
        <v>5204145</v>
      </c>
      <c r="G2514" s="2">
        <f>IFERROR(__xludf.DUMMYFUNCTION("""COMPUTED_VALUE"""),66.1362)</f>
        <v>66.1362</v>
      </c>
    </row>
    <row r="2515">
      <c r="A2515" s="1" t="s">
        <v>2514</v>
      </c>
      <c r="D2515" s="3">
        <f>IFERROR(__xludf.DUMMYFUNCTION("SPLIT(A2515, ""|"")"),43428.0)</f>
        <v>43428</v>
      </c>
      <c r="E2515" s="2">
        <f>IFERROR(__xludf.DUMMYFUNCTION("""COMPUTED_VALUE"""),1783353.0)</f>
        <v>1783353</v>
      </c>
      <c r="F2515" s="2">
        <f>IFERROR(__xludf.DUMMYFUNCTION("""COMPUTED_VALUE"""),5201376.0)</f>
        <v>5201376</v>
      </c>
      <c r="G2515" s="2">
        <f>IFERROR(__xludf.DUMMYFUNCTION("""COMPUTED_VALUE"""),28.2625)</f>
        <v>28.2625</v>
      </c>
    </row>
    <row r="2516">
      <c r="A2516" s="1" t="s">
        <v>2515</v>
      </c>
      <c r="D2516" s="3">
        <f>IFERROR(__xludf.DUMMYFUNCTION("SPLIT(A2516, ""|"")"),43428.0)</f>
        <v>43428</v>
      </c>
      <c r="E2516" s="2">
        <f>IFERROR(__xludf.DUMMYFUNCTION("""COMPUTED_VALUE"""),1204983.0)</f>
        <v>1204983</v>
      </c>
      <c r="F2516" s="2">
        <f>IFERROR(__xludf.DUMMYFUNCTION("""COMPUTED_VALUE"""),5201379.0)</f>
        <v>5201379</v>
      </c>
      <c r="G2516" s="2">
        <f>IFERROR(__xludf.DUMMYFUNCTION("""COMPUTED_VALUE"""),68.618)</f>
        <v>68.618</v>
      </c>
    </row>
    <row r="2517">
      <c r="A2517" s="1" t="s">
        <v>2516</v>
      </c>
      <c r="D2517" s="3">
        <f>IFERROR(__xludf.DUMMYFUNCTION("SPLIT(A2517, ""|"")"),43428.0)</f>
        <v>43428</v>
      </c>
      <c r="E2517" s="2">
        <f>IFERROR(__xludf.DUMMYFUNCTION("""COMPUTED_VALUE"""),1786113.0)</f>
        <v>1786113</v>
      </c>
      <c r="F2517" s="2">
        <f>IFERROR(__xludf.DUMMYFUNCTION("""COMPUTED_VALUE"""),5209818.0)</f>
        <v>5209818</v>
      </c>
      <c r="G2517" s="2">
        <f>IFERROR(__xludf.DUMMYFUNCTION("""COMPUTED_VALUE"""),61.4496)</f>
        <v>61.4496</v>
      </c>
    </row>
    <row r="2518">
      <c r="A2518" s="1" t="s">
        <v>2517</v>
      </c>
      <c r="D2518" s="3">
        <f>IFERROR(__xludf.DUMMYFUNCTION("SPLIT(A2518, ""|"")"),43428.0)</f>
        <v>43428</v>
      </c>
      <c r="E2518" s="2">
        <f>IFERROR(__xludf.DUMMYFUNCTION("""COMPUTED_VALUE"""),1783923.0)</f>
        <v>1783923</v>
      </c>
      <c r="F2518" s="2">
        <f>IFERROR(__xludf.DUMMYFUNCTION("""COMPUTED_VALUE"""),5203038.0)</f>
        <v>5203038</v>
      </c>
      <c r="G2518" s="2">
        <f>IFERROR(__xludf.DUMMYFUNCTION("""COMPUTED_VALUE"""),60.0739)</f>
        <v>60.0739</v>
      </c>
    </row>
    <row r="2519">
      <c r="A2519" s="1" t="s">
        <v>2518</v>
      </c>
      <c r="D2519" s="3">
        <f>IFERROR(__xludf.DUMMYFUNCTION("SPLIT(A2519, ""|"")"),43173.0)</f>
        <v>43173</v>
      </c>
      <c r="E2519" s="2">
        <f>IFERROR(__xludf.DUMMYFUNCTION("""COMPUTED_VALUE"""),1541013.0)</f>
        <v>1541013</v>
      </c>
      <c r="F2519" s="2">
        <f>IFERROR(__xludf.DUMMYFUNCTION("""COMPUTED_VALUE"""),4298896.0)</f>
        <v>4298896</v>
      </c>
      <c r="G2519" s="2">
        <f>IFERROR(__xludf.DUMMYFUNCTION("""COMPUTED_VALUE"""),75.6174)</f>
        <v>75.6174</v>
      </c>
    </row>
    <row r="2520">
      <c r="A2520" s="1" t="s">
        <v>2519</v>
      </c>
      <c r="D2520" s="3">
        <f>IFERROR(__xludf.DUMMYFUNCTION("SPLIT(A2520, ""|"")"),43173.0)</f>
        <v>43173</v>
      </c>
      <c r="E2520" s="2">
        <f>IFERROR(__xludf.DUMMYFUNCTION("""COMPUTED_VALUE"""),1405893.0)</f>
        <v>1405893</v>
      </c>
      <c r="F2520" s="2">
        <f>IFERROR(__xludf.DUMMYFUNCTION("""COMPUTED_VALUE"""),4298936.0)</f>
        <v>4298936</v>
      </c>
      <c r="G2520" s="2">
        <f>IFERROR(__xludf.DUMMYFUNCTION("""COMPUTED_VALUE"""),79.3971)</f>
        <v>79.3971</v>
      </c>
    </row>
    <row r="2521">
      <c r="A2521" s="1" t="s">
        <v>2520</v>
      </c>
      <c r="D2521" s="3">
        <f>IFERROR(__xludf.DUMMYFUNCTION("SPLIT(A2521, ""|"")"),43173.0)</f>
        <v>43173</v>
      </c>
      <c r="E2521" s="2">
        <f>IFERROR(__xludf.DUMMYFUNCTION("""COMPUTED_VALUE"""),1549383.0)</f>
        <v>1549383</v>
      </c>
      <c r="F2521" s="2">
        <f>IFERROR(__xludf.DUMMYFUNCTION("""COMPUTED_VALUE"""),4298161.0)</f>
        <v>4298161</v>
      </c>
      <c r="G2521" s="2">
        <f>IFERROR(__xludf.DUMMYFUNCTION("""COMPUTED_VALUE"""),62.5873999999999)</f>
        <v>62.5874</v>
      </c>
    </row>
    <row r="2522">
      <c r="A2522" s="1" t="s">
        <v>2521</v>
      </c>
      <c r="D2522" s="3">
        <f>IFERROR(__xludf.DUMMYFUNCTION("SPLIT(A2522, ""|"")"),43173.0)</f>
        <v>43173</v>
      </c>
      <c r="E2522" s="2">
        <f>IFERROR(__xludf.DUMMYFUNCTION("""COMPUTED_VALUE"""),1040313.0)</f>
        <v>1040313</v>
      </c>
      <c r="F2522" s="2">
        <f>IFERROR(__xludf.DUMMYFUNCTION("""COMPUTED_VALUE"""),4298420.0)</f>
        <v>4298420</v>
      </c>
      <c r="G2522" s="2">
        <f>IFERROR(__xludf.DUMMYFUNCTION("""COMPUTED_VALUE"""),146.842799999999)</f>
        <v>146.8428</v>
      </c>
    </row>
    <row r="2523">
      <c r="A2523" s="1" t="s">
        <v>2522</v>
      </c>
      <c r="D2523" s="3">
        <f>IFERROR(__xludf.DUMMYFUNCTION("SPLIT(A2523, ""|"")"),43429.0)</f>
        <v>43429</v>
      </c>
      <c r="E2523" s="2">
        <f>IFERROR(__xludf.DUMMYFUNCTION("""COMPUTED_VALUE"""),1763463.0)</f>
        <v>1763463</v>
      </c>
      <c r="F2523" s="2">
        <f>IFERROR(__xludf.DUMMYFUNCTION("""COMPUTED_VALUE"""),5223816.0)</f>
        <v>5223816</v>
      </c>
      <c r="G2523" s="2">
        <f>IFERROR(__xludf.DUMMYFUNCTION("""COMPUTED_VALUE"""),62.601)</f>
        <v>62.601</v>
      </c>
    </row>
    <row r="2524">
      <c r="A2524" s="1" t="s">
        <v>2523</v>
      </c>
      <c r="D2524" s="3">
        <f>IFERROR(__xludf.DUMMYFUNCTION("SPLIT(A2524, ""|"")"),43429.0)</f>
        <v>43429</v>
      </c>
      <c r="E2524" s="2">
        <f>IFERROR(__xludf.DUMMYFUNCTION("""COMPUTED_VALUE"""),1281993.0)</f>
        <v>1281993</v>
      </c>
      <c r="F2524" s="2">
        <f>IFERROR(__xludf.DUMMYFUNCTION("""COMPUTED_VALUE"""),5213544.0)</f>
        <v>5213544</v>
      </c>
      <c r="G2524" s="2">
        <f>IFERROR(__xludf.DUMMYFUNCTION("""COMPUTED_VALUE"""),89.9148)</f>
        <v>89.9148</v>
      </c>
    </row>
    <row r="2525">
      <c r="A2525" s="1" t="s">
        <v>2524</v>
      </c>
      <c r="D2525" s="3">
        <f>IFERROR(__xludf.DUMMYFUNCTION("SPLIT(A2525, ""|"")"),43429.0)</f>
        <v>43429</v>
      </c>
      <c r="E2525" s="2">
        <f>IFERROR(__xludf.DUMMYFUNCTION("""COMPUTED_VALUE"""),353883.0)</f>
        <v>353883</v>
      </c>
      <c r="F2525" s="2">
        <f>IFERROR(__xludf.DUMMYFUNCTION("""COMPUTED_VALUE"""),5222199.0)</f>
        <v>5222199</v>
      </c>
      <c r="G2525" s="2">
        <f>IFERROR(__xludf.DUMMYFUNCTION("""COMPUTED_VALUE"""),77.5936)</f>
        <v>77.5936</v>
      </c>
    </row>
    <row r="2526">
      <c r="A2526" s="1" t="s">
        <v>2525</v>
      </c>
      <c r="D2526" s="3">
        <f>IFERROR(__xludf.DUMMYFUNCTION("SPLIT(A2526, ""|"")"),43429.0)</f>
        <v>43429</v>
      </c>
      <c r="E2526" s="2">
        <f>IFERROR(__xludf.DUMMYFUNCTION("""COMPUTED_VALUE"""),1689333.0)</f>
        <v>1689333</v>
      </c>
      <c r="F2526" s="2">
        <f>IFERROR(__xludf.DUMMYFUNCTION("""COMPUTED_VALUE"""),5216991.0)</f>
        <v>5216991</v>
      </c>
      <c r="G2526" s="2">
        <f>IFERROR(__xludf.DUMMYFUNCTION("""COMPUTED_VALUE"""),216.759099999999)</f>
        <v>216.7591</v>
      </c>
    </row>
    <row r="2527">
      <c r="A2527" s="1" t="s">
        <v>2526</v>
      </c>
      <c r="D2527" s="3">
        <f>IFERROR(__xludf.DUMMYFUNCTION("SPLIT(A2527, ""|"")"),43429.0)</f>
        <v>43429</v>
      </c>
      <c r="E2527" s="2">
        <f>IFERROR(__xludf.DUMMYFUNCTION("""COMPUTED_VALUE"""),1588233.0)</f>
        <v>1588233</v>
      </c>
      <c r="F2527" s="2">
        <f>IFERROR(__xludf.DUMMYFUNCTION("""COMPUTED_VALUE"""),5227797.0)</f>
        <v>5227797</v>
      </c>
      <c r="G2527" s="2">
        <f>IFERROR(__xludf.DUMMYFUNCTION("""COMPUTED_VALUE"""),90.9346999999999)</f>
        <v>90.9347</v>
      </c>
    </row>
    <row r="2528">
      <c r="A2528" s="1" t="s">
        <v>2527</v>
      </c>
      <c r="D2528" s="3">
        <f>IFERROR(__xludf.DUMMYFUNCTION("SPLIT(A2528, ""|"")"),43429.0)</f>
        <v>43429</v>
      </c>
      <c r="E2528" s="2">
        <f>IFERROR(__xludf.DUMMYFUNCTION("""COMPUTED_VALUE"""),1786743.0)</f>
        <v>1786743</v>
      </c>
      <c r="F2528" s="2">
        <f>IFERROR(__xludf.DUMMYFUNCTION("""COMPUTED_VALUE"""),5212053.0)</f>
        <v>5212053</v>
      </c>
      <c r="G2528" s="2">
        <f>IFERROR(__xludf.DUMMYFUNCTION("""COMPUTED_VALUE"""),35.0833)</f>
        <v>35.0833</v>
      </c>
    </row>
    <row r="2529">
      <c r="A2529" s="1" t="s">
        <v>2528</v>
      </c>
      <c r="D2529" s="3">
        <f>IFERROR(__xludf.DUMMYFUNCTION("SPLIT(A2529, ""|"")"),43429.0)</f>
        <v>43429</v>
      </c>
      <c r="E2529" s="2">
        <f>IFERROR(__xludf.DUMMYFUNCTION("""COMPUTED_VALUE"""),1709133.0)</f>
        <v>1709133</v>
      </c>
      <c r="F2529" s="2">
        <f>IFERROR(__xludf.DUMMYFUNCTION("""COMPUTED_VALUE"""),5223972.0)</f>
        <v>5223972</v>
      </c>
      <c r="G2529" s="2">
        <f>IFERROR(__xludf.DUMMYFUNCTION("""COMPUTED_VALUE"""),62.6479)</f>
        <v>62.6479</v>
      </c>
    </row>
    <row r="2530">
      <c r="A2530" s="1" t="s">
        <v>2529</v>
      </c>
      <c r="D2530" s="3">
        <f>IFERROR(__xludf.DUMMYFUNCTION("SPLIT(A2530, ""|"")"),43429.0)</f>
        <v>43429</v>
      </c>
      <c r="E2530" s="2">
        <f>IFERROR(__xludf.DUMMYFUNCTION("""COMPUTED_VALUE"""),1744893.0)</f>
        <v>1744893</v>
      </c>
      <c r="F2530" s="2">
        <f>IFERROR(__xludf.DUMMYFUNCTION("""COMPUTED_VALUE"""),5215329.0)</f>
        <v>5215329</v>
      </c>
      <c r="G2530" s="2">
        <f>IFERROR(__xludf.DUMMYFUNCTION("""COMPUTED_VALUE"""),108.212099999999)</f>
        <v>108.2121</v>
      </c>
    </row>
    <row r="2531">
      <c r="A2531" s="1" t="s">
        <v>2530</v>
      </c>
      <c r="D2531" s="3">
        <f>IFERROR(__xludf.DUMMYFUNCTION("SPLIT(A2531, ""|"")"),43429.0)</f>
        <v>43429</v>
      </c>
      <c r="E2531" s="2">
        <f>IFERROR(__xludf.DUMMYFUNCTION("""COMPUTED_VALUE"""),1426233.0)</f>
        <v>1426233</v>
      </c>
      <c r="F2531" s="2">
        <f>IFERROR(__xludf.DUMMYFUNCTION("""COMPUTED_VALUE"""),5224131.0)</f>
        <v>5224131</v>
      </c>
      <c r="G2531" s="2">
        <f>IFERROR(__xludf.DUMMYFUNCTION("""COMPUTED_VALUE"""),86.4854999999999)</f>
        <v>86.4855</v>
      </c>
    </row>
    <row r="2532">
      <c r="A2532" s="1" t="s">
        <v>2531</v>
      </c>
      <c r="D2532" s="3">
        <f>IFERROR(__xludf.DUMMYFUNCTION("SPLIT(A2532, ""|"")"),43429.0)</f>
        <v>43429</v>
      </c>
      <c r="E2532" s="2">
        <f>IFERROR(__xludf.DUMMYFUNCTION("""COMPUTED_VALUE"""),1754253.0)</f>
        <v>1754253</v>
      </c>
      <c r="F2532" s="2">
        <f>IFERROR(__xludf.DUMMYFUNCTION("""COMPUTED_VALUE"""),5227224.0)</f>
        <v>5227224</v>
      </c>
      <c r="G2532" s="2">
        <f>IFERROR(__xludf.DUMMYFUNCTION("""COMPUTED_VALUE"""),74.4833)</f>
        <v>74.4833</v>
      </c>
    </row>
    <row r="2533">
      <c r="A2533" s="1" t="s">
        <v>2532</v>
      </c>
      <c r="D2533" s="3">
        <f>IFERROR(__xludf.DUMMYFUNCTION("SPLIT(A2533, ""|"")"),43429.0)</f>
        <v>43429</v>
      </c>
      <c r="E2533" s="2">
        <f>IFERROR(__xludf.DUMMYFUNCTION("""COMPUTED_VALUE"""),1789023.0)</f>
        <v>1789023</v>
      </c>
      <c r="F2533" s="2">
        <f>IFERROR(__xludf.DUMMYFUNCTION("""COMPUTED_VALUE"""),5220960.0)</f>
        <v>5220960</v>
      </c>
      <c r="G2533" s="2">
        <f>IFERROR(__xludf.DUMMYFUNCTION("""COMPUTED_VALUE"""),21.1792)</f>
        <v>21.1792</v>
      </c>
    </row>
    <row r="2534">
      <c r="A2534" s="1" t="s">
        <v>2533</v>
      </c>
      <c r="D2534" s="3">
        <f>IFERROR(__xludf.DUMMYFUNCTION("SPLIT(A2534, ""|"")"),43429.0)</f>
        <v>43429</v>
      </c>
      <c r="E2534" s="2">
        <f>IFERROR(__xludf.DUMMYFUNCTION("""COMPUTED_VALUE"""),1787163.0)</f>
        <v>1787163</v>
      </c>
      <c r="F2534" s="2">
        <f>IFERROR(__xludf.DUMMYFUNCTION("""COMPUTED_VALUE"""),5213817.0)</f>
        <v>5213817</v>
      </c>
      <c r="G2534" s="2">
        <f>IFERROR(__xludf.DUMMYFUNCTION("""COMPUTED_VALUE"""),54.1583)</f>
        <v>54.1583</v>
      </c>
    </row>
    <row r="2535">
      <c r="A2535" s="1" t="s">
        <v>2534</v>
      </c>
      <c r="D2535" s="3">
        <f>IFERROR(__xludf.DUMMYFUNCTION("SPLIT(A2535, ""|"")"),43429.0)</f>
        <v>43429</v>
      </c>
      <c r="E2535" s="2">
        <f>IFERROR(__xludf.DUMMYFUNCTION("""COMPUTED_VALUE"""),437733.0)</f>
        <v>437733</v>
      </c>
      <c r="F2535" s="2">
        <f>IFERROR(__xludf.DUMMYFUNCTION("""COMPUTED_VALUE"""),5224059.0)</f>
        <v>5224059</v>
      </c>
      <c r="G2535" s="2">
        <f>IFERROR(__xludf.DUMMYFUNCTION("""COMPUTED_VALUE"""),63.3811999999999)</f>
        <v>63.3812</v>
      </c>
    </row>
    <row r="2536">
      <c r="A2536" s="1" t="s">
        <v>2535</v>
      </c>
      <c r="D2536" s="3">
        <f>IFERROR(__xludf.DUMMYFUNCTION("SPLIT(A2536, ""|"")"),43429.0)</f>
        <v>43429</v>
      </c>
      <c r="E2536" s="2">
        <f>IFERROR(__xludf.DUMMYFUNCTION("""COMPUTED_VALUE"""),1611603.0)</f>
        <v>1611603</v>
      </c>
      <c r="F2536" s="2">
        <f>IFERROR(__xludf.DUMMYFUNCTION("""COMPUTED_VALUE"""),5229813.0)</f>
        <v>5229813</v>
      </c>
      <c r="G2536" s="2">
        <f>IFERROR(__xludf.DUMMYFUNCTION("""COMPUTED_VALUE"""),67.3078)</f>
        <v>67.3078</v>
      </c>
    </row>
    <row r="2537">
      <c r="A2537" s="1" t="s">
        <v>2536</v>
      </c>
      <c r="D2537" s="3">
        <f>IFERROR(__xludf.DUMMYFUNCTION("SPLIT(A2537, ""|"")"),43429.0)</f>
        <v>43429</v>
      </c>
      <c r="E2537" s="2">
        <f>IFERROR(__xludf.DUMMYFUNCTION("""COMPUTED_VALUE"""),491733.0)</f>
        <v>491733</v>
      </c>
      <c r="F2537" s="2">
        <f>IFERROR(__xludf.DUMMYFUNCTION("""COMPUTED_VALUE"""),5225892.0)</f>
        <v>5225892</v>
      </c>
      <c r="G2537" s="2">
        <f>IFERROR(__xludf.DUMMYFUNCTION("""COMPUTED_VALUE"""),70.8078)</f>
        <v>70.8078</v>
      </c>
    </row>
    <row r="2538">
      <c r="A2538" s="1" t="s">
        <v>2537</v>
      </c>
      <c r="D2538" s="3">
        <f>IFERROR(__xludf.DUMMYFUNCTION("SPLIT(A2538, ""|"")"),43429.0)</f>
        <v>43429</v>
      </c>
      <c r="E2538" s="2">
        <f>IFERROR(__xludf.DUMMYFUNCTION("""COMPUTED_VALUE"""),1645653.0)</f>
        <v>1645653</v>
      </c>
      <c r="F2538" s="2">
        <f>IFERROR(__xludf.DUMMYFUNCTION("""COMPUTED_VALUE"""),5213814.0)</f>
        <v>5213814</v>
      </c>
      <c r="G2538" s="2">
        <f>IFERROR(__xludf.DUMMYFUNCTION("""COMPUTED_VALUE"""),20.3729999999999)</f>
        <v>20.373</v>
      </c>
    </row>
    <row r="2539">
      <c r="A2539" s="1" t="s">
        <v>2538</v>
      </c>
      <c r="D2539" s="3">
        <f>IFERROR(__xludf.DUMMYFUNCTION("SPLIT(A2539, ""|"")"),43429.0)</f>
        <v>43429</v>
      </c>
      <c r="E2539" s="2">
        <f>IFERROR(__xludf.DUMMYFUNCTION("""COMPUTED_VALUE"""),1790433.0)</f>
        <v>1790433</v>
      </c>
      <c r="F2539" s="2">
        <f>IFERROR(__xludf.DUMMYFUNCTION("""COMPUTED_VALUE"""),5226663.0)</f>
        <v>5226663</v>
      </c>
      <c r="G2539" s="2">
        <f>IFERROR(__xludf.DUMMYFUNCTION("""COMPUTED_VALUE"""),31.8042)</f>
        <v>31.8042</v>
      </c>
    </row>
    <row r="2540">
      <c r="A2540" s="1" t="s">
        <v>2539</v>
      </c>
      <c r="D2540" s="3">
        <f>IFERROR(__xludf.DUMMYFUNCTION("SPLIT(A2540, ""|"")"),43429.0)</f>
        <v>43429</v>
      </c>
      <c r="E2540" s="2">
        <f>IFERROR(__xludf.DUMMYFUNCTION("""COMPUTED_VALUE"""),1626093.0)</f>
        <v>1626093</v>
      </c>
      <c r="F2540" s="2">
        <f>IFERROR(__xludf.DUMMYFUNCTION("""COMPUTED_VALUE"""),5219820.0)</f>
        <v>5219820</v>
      </c>
      <c r="G2540" s="2">
        <f>IFERROR(__xludf.DUMMYFUNCTION("""COMPUTED_VALUE"""),112.1648)</f>
        <v>112.1648</v>
      </c>
    </row>
    <row r="2541">
      <c r="A2541" s="1" t="s">
        <v>2540</v>
      </c>
      <c r="D2541" s="3">
        <f>IFERROR(__xludf.DUMMYFUNCTION("SPLIT(A2541, ""|"")"),43429.0)</f>
        <v>43429</v>
      </c>
      <c r="E2541" s="2">
        <f>IFERROR(__xludf.DUMMYFUNCTION("""COMPUTED_VALUE"""),1790463.0)</f>
        <v>1790463</v>
      </c>
      <c r="F2541" s="2">
        <f>IFERROR(__xludf.DUMMYFUNCTION("""COMPUTED_VALUE"""),5226744.0)</f>
        <v>5226744</v>
      </c>
      <c r="G2541" s="2">
        <f>IFERROR(__xludf.DUMMYFUNCTION("""COMPUTED_VALUE"""),36.9967)</f>
        <v>36.9967</v>
      </c>
    </row>
    <row r="2542">
      <c r="A2542" s="1" t="s">
        <v>2541</v>
      </c>
      <c r="D2542" s="3">
        <f>IFERROR(__xludf.DUMMYFUNCTION("SPLIT(A2542, ""|"")"),43429.0)</f>
        <v>43429</v>
      </c>
      <c r="E2542" s="2">
        <f>IFERROR(__xludf.DUMMYFUNCTION("""COMPUTED_VALUE"""),1790013.0)</f>
        <v>1790013</v>
      </c>
      <c r="F2542" s="2">
        <f>IFERROR(__xludf.DUMMYFUNCTION("""COMPUTED_VALUE"""),5224884.0)</f>
        <v>5224884</v>
      </c>
      <c r="G2542" s="2">
        <f>IFERROR(__xludf.DUMMYFUNCTION("""COMPUTED_VALUE"""),67.05)</f>
        <v>67.05</v>
      </c>
    </row>
    <row r="2543">
      <c r="A2543" s="1" t="s">
        <v>2542</v>
      </c>
      <c r="D2543" s="3">
        <f>IFERROR(__xludf.DUMMYFUNCTION("SPLIT(A2543, ""|"")"),43429.0)</f>
        <v>43429</v>
      </c>
      <c r="E2543" s="2">
        <f>IFERROR(__xludf.DUMMYFUNCTION("""COMPUTED_VALUE"""),1663203.0)</f>
        <v>1663203</v>
      </c>
      <c r="F2543" s="2">
        <f>IFERROR(__xludf.DUMMYFUNCTION("""COMPUTED_VALUE"""),5230368.0)</f>
        <v>5230368</v>
      </c>
      <c r="G2543" s="2">
        <f>IFERROR(__xludf.DUMMYFUNCTION("""COMPUTED_VALUE"""),74.7357)</f>
        <v>74.7357</v>
      </c>
    </row>
    <row r="2544">
      <c r="A2544" s="1" t="s">
        <v>2543</v>
      </c>
      <c r="D2544" s="3">
        <f>IFERROR(__xludf.DUMMYFUNCTION("SPLIT(A2544, ""|"")"),43429.0)</f>
        <v>43429</v>
      </c>
      <c r="E2544" s="2">
        <f>IFERROR(__xludf.DUMMYFUNCTION("""COMPUTED_VALUE"""),1286103.0)</f>
        <v>1286103</v>
      </c>
      <c r="F2544" s="2">
        <f>IFERROR(__xludf.DUMMYFUNCTION("""COMPUTED_VALUE"""),5213103.0)</f>
        <v>5213103</v>
      </c>
      <c r="G2544" s="2">
        <f>IFERROR(__xludf.DUMMYFUNCTION("""COMPUTED_VALUE"""),168.3931)</f>
        <v>168.3931</v>
      </c>
    </row>
    <row r="2545">
      <c r="A2545" s="1" t="s">
        <v>2544</v>
      </c>
      <c r="D2545" s="3">
        <f>IFERROR(__xludf.DUMMYFUNCTION("SPLIT(A2545, ""|"")"),43429.0)</f>
        <v>43429</v>
      </c>
      <c r="E2545" s="2">
        <f>IFERROR(__xludf.DUMMYFUNCTION("""COMPUTED_VALUE"""),1760253.0)</f>
        <v>1760253</v>
      </c>
      <c r="F2545" s="2">
        <f>IFERROR(__xludf.DUMMYFUNCTION("""COMPUTED_VALUE"""),5227533.0)</f>
        <v>5227533</v>
      </c>
      <c r="G2545" s="2">
        <f>IFERROR(__xludf.DUMMYFUNCTION("""COMPUTED_VALUE"""),39.1283)</f>
        <v>39.1283</v>
      </c>
    </row>
    <row r="2546">
      <c r="A2546" s="1" t="s">
        <v>2545</v>
      </c>
      <c r="D2546" s="3">
        <f>IFERROR(__xludf.DUMMYFUNCTION("SPLIT(A2546, ""|"")"),43429.0)</f>
        <v>43429</v>
      </c>
      <c r="E2546" s="2">
        <f>IFERROR(__xludf.DUMMYFUNCTION("""COMPUTED_VALUE"""),1450893.0)</f>
        <v>1450893</v>
      </c>
      <c r="F2546" s="2">
        <f>IFERROR(__xludf.DUMMYFUNCTION("""COMPUTED_VALUE"""),5224962.0)</f>
        <v>5224962</v>
      </c>
      <c r="G2546" s="2">
        <f>IFERROR(__xludf.DUMMYFUNCTION("""COMPUTED_VALUE"""),70.967)</f>
        <v>70.967</v>
      </c>
    </row>
    <row r="2547">
      <c r="A2547" s="1" t="s">
        <v>2546</v>
      </c>
      <c r="D2547" s="3">
        <f>IFERROR(__xludf.DUMMYFUNCTION("SPLIT(A2547, ""|"")"),43429.0)</f>
        <v>43429</v>
      </c>
      <c r="E2547" s="2">
        <f>IFERROR(__xludf.DUMMYFUNCTION("""COMPUTED_VALUE"""),71403.0)</f>
        <v>71403</v>
      </c>
      <c r="F2547" s="2">
        <f>IFERROR(__xludf.DUMMYFUNCTION("""COMPUTED_VALUE"""),5221854.0)</f>
        <v>5221854</v>
      </c>
      <c r="G2547" s="2">
        <f>IFERROR(__xludf.DUMMYFUNCTION("""COMPUTED_VALUE"""),61.7025)</f>
        <v>61.7025</v>
      </c>
    </row>
    <row r="2548">
      <c r="A2548" s="1" t="s">
        <v>2547</v>
      </c>
      <c r="D2548" s="3">
        <f>IFERROR(__xludf.DUMMYFUNCTION("SPLIT(A2548, ""|"")"),43429.0)</f>
        <v>43429</v>
      </c>
      <c r="E2548" s="2">
        <f>IFERROR(__xludf.DUMMYFUNCTION("""COMPUTED_VALUE"""),1788183.0)</f>
        <v>1788183</v>
      </c>
      <c r="F2548" s="2">
        <f>IFERROR(__xludf.DUMMYFUNCTION("""COMPUTED_VALUE"""),5217768.0)</f>
        <v>5217768</v>
      </c>
      <c r="G2548" s="2">
        <f>IFERROR(__xludf.DUMMYFUNCTION("""COMPUTED_VALUE"""),116.842999999999)</f>
        <v>116.843</v>
      </c>
    </row>
    <row r="2549">
      <c r="A2549" s="1" t="s">
        <v>2548</v>
      </c>
      <c r="D2549" s="3">
        <f>IFERROR(__xludf.DUMMYFUNCTION("SPLIT(A2549, ""|"")"),43429.0)</f>
        <v>43429</v>
      </c>
      <c r="E2549" s="2">
        <f>IFERROR(__xludf.DUMMYFUNCTION("""COMPUTED_VALUE"""),1789353.0)</f>
        <v>1789353</v>
      </c>
      <c r="F2549" s="2">
        <f>IFERROR(__xludf.DUMMYFUNCTION("""COMPUTED_VALUE"""),5222397.0)</f>
        <v>5222397</v>
      </c>
      <c r="G2549" s="2">
        <f>IFERROR(__xludf.DUMMYFUNCTION("""COMPUTED_VALUE"""),20.4)</f>
        <v>20.4</v>
      </c>
    </row>
    <row r="2550">
      <c r="A2550" s="1" t="s">
        <v>2549</v>
      </c>
      <c r="D2550" s="3">
        <f>IFERROR(__xludf.DUMMYFUNCTION("SPLIT(A2550, ""|"")"),43429.0)</f>
        <v>43429</v>
      </c>
      <c r="E2550" s="2">
        <f>IFERROR(__xludf.DUMMYFUNCTION("""COMPUTED_VALUE"""),1669353.0)</f>
        <v>1669353</v>
      </c>
      <c r="F2550" s="2">
        <f>IFERROR(__xludf.DUMMYFUNCTION("""COMPUTED_VALUE"""),5225724.0)</f>
        <v>5225724</v>
      </c>
      <c r="G2550" s="2">
        <f>IFERROR(__xludf.DUMMYFUNCTION("""COMPUTED_VALUE"""),66.3934999999999)</f>
        <v>66.3935</v>
      </c>
    </row>
    <row r="2551">
      <c r="A2551" s="1" t="s">
        <v>2550</v>
      </c>
      <c r="D2551" s="3">
        <f>IFERROR(__xludf.DUMMYFUNCTION("SPLIT(A2551, ""|"")"),43429.0)</f>
        <v>43429</v>
      </c>
      <c r="E2551" s="2">
        <f>IFERROR(__xludf.DUMMYFUNCTION("""COMPUTED_VALUE"""),1789443.0)</f>
        <v>1789443</v>
      </c>
      <c r="F2551" s="2">
        <f>IFERROR(__xludf.DUMMYFUNCTION("""COMPUTED_VALUE"""),5223390.0)</f>
        <v>5223390</v>
      </c>
      <c r="G2551" s="2">
        <f>IFERROR(__xludf.DUMMYFUNCTION("""COMPUTED_VALUE"""),45.1988)</f>
        <v>45.1988</v>
      </c>
    </row>
    <row r="2552">
      <c r="A2552" s="1" t="s">
        <v>2551</v>
      </c>
      <c r="D2552" s="3">
        <f>IFERROR(__xludf.DUMMYFUNCTION("SPLIT(A2552, ""|"")"),43174.0)</f>
        <v>43174</v>
      </c>
      <c r="E2552" s="2">
        <f>IFERROR(__xludf.DUMMYFUNCTION("""COMPUTED_VALUE"""),1162143.0)</f>
        <v>1162143</v>
      </c>
      <c r="F2552" s="2">
        <f>IFERROR(__xludf.DUMMYFUNCTION("""COMPUTED_VALUE"""),4302161.0)</f>
        <v>4302161</v>
      </c>
      <c r="G2552" s="2">
        <f>IFERROR(__xludf.DUMMYFUNCTION("""COMPUTED_VALUE"""),101.8241)</f>
        <v>101.8241</v>
      </c>
    </row>
    <row r="2553">
      <c r="A2553" s="1" t="s">
        <v>2552</v>
      </c>
      <c r="D2553" s="3">
        <f>IFERROR(__xludf.DUMMYFUNCTION("SPLIT(A2553, ""|"")"),43174.0)</f>
        <v>43174</v>
      </c>
      <c r="E2553" s="2">
        <f>IFERROR(__xludf.DUMMYFUNCTION("""COMPUTED_VALUE"""),1550493.0)</f>
        <v>1550493</v>
      </c>
      <c r="F2553" s="2">
        <f>IFERROR(__xludf.DUMMYFUNCTION("""COMPUTED_VALUE"""),4302171.0)</f>
        <v>4302171</v>
      </c>
      <c r="G2553" s="2">
        <f>IFERROR(__xludf.DUMMYFUNCTION("""COMPUTED_VALUE"""),16.2751999999999)</f>
        <v>16.2752</v>
      </c>
    </row>
    <row r="2554">
      <c r="A2554" s="1" t="s">
        <v>2553</v>
      </c>
      <c r="D2554" s="3">
        <f>IFERROR(__xludf.DUMMYFUNCTION("SPLIT(A2554, ""|"")"),43174.0)</f>
        <v>43174</v>
      </c>
      <c r="E2554" s="2">
        <f>IFERROR(__xludf.DUMMYFUNCTION("""COMPUTED_VALUE"""),1379253.0)</f>
        <v>1379253</v>
      </c>
      <c r="F2554" s="2">
        <f>IFERROR(__xludf.DUMMYFUNCTION("""COMPUTED_VALUE"""),4302824.0)</f>
        <v>4302824</v>
      </c>
      <c r="G2554" s="2">
        <f>IFERROR(__xludf.DUMMYFUNCTION("""COMPUTED_VALUE"""),49.2092)</f>
        <v>49.2092</v>
      </c>
    </row>
    <row r="2555">
      <c r="A2555" s="1" t="s">
        <v>2554</v>
      </c>
      <c r="D2555" s="3">
        <f>IFERROR(__xludf.DUMMYFUNCTION("SPLIT(A2555, ""|"")"),43174.0)</f>
        <v>43174</v>
      </c>
      <c r="E2555" s="2">
        <f>IFERROR(__xludf.DUMMYFUNCTION("""COMPUTED_VALUE"""),1433553.0)</f>
        <v>1433553</v>
      </c>
      <c r="F2555" s="2">
        <f>IFERROR(__xludf.DUMMYFUNCTION("""COMPUTED_VALUE"""),4300591.0)</f>
        <v>4300591</v>
      </c>
      <c r="G2555" s="2">
        <f>IFERROR(__xludf.DUMMYFUNCTION("""COMPUTED_VALUE"""),126.9436)</f>
        <v>126.9436</v>
      </c>
    </row>
    <row r="2556">
      <c r="A2556" s="1" t="s">
        <v>2555</v>
      </c>
      <c r="D2556" s="3">
        <f>IFERROR(__xludf.DUMMYFUNCTION("SPLIT(A2556, ""|"")"),43174.0)</f>
        <v>43174</v>
      </c>
      <c r="E2556" s="2">
        <f>IFERROR(__xludf.DUMMYFUNCTION("""COMPUTED_VALUE"""),1352493.0)</f>
        <v>1352493</v>
      </c>
      <c r="F2556" s="2">
        <f>IFERROR(__xludf.DUMMYFUNCTION("""COMPUTED_VALUE"""),4301854.0)</f>
        <v>4301854</v>
      </c>
      <c r="G2556" s="2">
        <f>IFERROR(__xludf.DUMMYFUNCTION("""COMPUTED_VALUE"""),29.0053)</f>
        <v>29.0053</v>
      </c>
    </row>
    <row r="2557">
      <c r="A2557" s="1" t="s">
        <v>2556</v>
      </c>
      <c r="D2557" s="3">
        <f>IFERROR(__xludf.DUMMYFUNCTION("SPLIT(A2557, ""|"")"),43174.0)</f>
        <v>43174</v>
      </c>
      <c r="E2557" s="2">
        <f>IFERROR(__xludf.DUMMYFUNCTION("""COMPUTED_VALUE"""),1550073.0)</f>
        <v>1550073</v>
      </c>
      <c r="F2557" s="2">
        <f>IFERROR(__xludf.DUMMYFUNCTION("""COMPUTED_VALUE"""),4300522.0)</f>
        <v>4300522</v>
      </c>
      <c r="G2557" s="2">
        <f>IFERROR(__xludf.DUMMYFUNCTION("""COMPUTED_VALUE"""),34.0852)</f>
        <v>34.0852</v>
      </c>
    </row>
    <row r="2558">
      <c r="A2558" s="1" t="s">
        <v>2557</v>
      </c>
      <c r="D2558" s="3">
        <f>IFERROR(__xludf.DUMMYFUNCTION("SPLIT(A2558, ""|"")"),43430.0)</f>
        <v>43430</v>
      </c>
      <c r="E2558" s="2">
        <f>IFERROR(__xludf.DUMMYFUNCTION("""COMPUTED_VALUE"""),43533.0)</f>
        <v>43533</v>
      </c>
      <c r="F2558" s="2">
        <f>IFERROR(__xludf.DUMMYFUNCTION("""COMPUTED_VALUE"""),5237946.0)</f>
        <v>5237946</v>
      </c>
      <c r="G2558" s="2">
        <f>IFERROR(__xludf.DUMMYFUNCTION("""COMPUTED_VALUE"""),224.872899999999)</f>
        <v>224.8729</v>
      </c>
    </row>
    <row r="2559">
      <c r="A2559" s="1" t="s">
        <v>2558</v>
      </c>
      <c r="D2559" s="3">
        <f>IFERROR(__xludf.DUMMYFUNCTION("SPLIT(A2559, ""|"")"),43430.0)</f>
        <v>43430</v>
      </c>
      <c r="E2559" s="2">
        <f>IFERROR(__xludf.DUMMYFUNCTION("""COMPUTED_VALUE"""),1791423.0)</f>
        <v>1791423</v>
      </c>
      <c r="F2559" s="2">
        <f>IFERROR(__xludf.DUMMYFUNCTION("""COMPUTED_VALUE"""),5231307.0)</f>
        <v>5231307</v>
      </c>
      <c r="G2559" s="2">
        <f>IFERROR(__xludf.DUMMYFUNCTION("""COMPUTED_VALUE"""),79.6153)</f>
        <v>79.6153</v>
      </c>
    </row>
    <row r="2560">
      <c r="A2560" s="1" t="s">
        <v>2559</v>
      </c>
      <c r="D2560" s="3">
        <f>IFERROR(__xludf.DUMMYFUNCTION("SPLIT(A2560, ""|"")"),43430.0)</f>
        <v>43430</v>
      </c>
      <c r="E2560" s="2">
        <f>IFERROR(__xludf.DUMMYFUNCTION("""COMPUTED_VALUE"""),1113423.0)</f>
        <v>1113423</v>
      </c>
      <c r="F2560" s="2">
        <f>IFERROR(__xludf.DUMMYFUNCTION("""COMPUTED_VALUE"""),5243883.0)</f>
        <v>5243883</v>
      </c>
      <c r="G2560" s="2">
        <f>IFERROR(__xludf.DUMMYFUNCTION("""COMPUTED_VALUE"""),222.9942)</f>
        <v>222.9942</v>
      </c>
    </row>
    <row r="2561">
      <c r="A2561" s="1" t="s">
        <v>2560</v>
      </c>
      <c r="D2561" s="3">
        <f>IFERROR(__xludf.DUMMYFUNCTION("SPLIT(A2561, ""|"")"),43430.0)</f>
        <v>43430</v>
      </c>
      <c r="E2561" s="2">
        <f>IFERROR(__xludf.DUMMYFUNCTION("""COMPUTED_VALUE"""),1792893.0)</f>
        <v>1792893</v>
      </c>
      <c r="F2561" s="2">
        <f>IFERROR(__xludf.DUMMYFUNCTION("""COMPUTED_VALUE"""),5237379.0)</f>
        <v>5237379</v>
      </c>
      <c r="G2561" s="2">
        <f>IFERROR(__xludf.DUMMYFUNCTION("""COMPUTED_VALUE"""),24.0267)</f>
        <v>24.0267</v>
      </c>
    </row>
    <row r="2562">
      <c r="A2562" s="1" t="s">
        <v>2561</v>
      </c>
      <c r="D2562" s="3">
        <f>IFERROR(__xludf.DUMMYFUNCTION("SPLIT(A2562, ""|"")"),43430.0)</f>
        <v>43430</v>
      </c>
      <c r="E2562" s="2">
        <f>IFERROR(__xludf.DUMMYFUNCTION("""COMPUTED_VALUE"""),1791873.0)</f>
        <v>1791873</v>
      </c>
      <c r="F2562" s="2">
        <f>IFERROR(__xludf.DUMMYFUNCTION("""COMPUTED_VALUE"""),5233623.0)</f>
        <v>5233623</v>
      </c>
      <c r="G2562" s="2">
        <f>IFERROR(__xludf.DUMMYFUNCTION("""COMPUTED_VALUE"""),60.7433)</f>
        <v>60.7433</v>
      </c>
    </row>
    <row r="2563">
      <c r="A2563" s="1" t="s">
        <v>2562</v>
      </c>
      <c r="D2563" s="3">
        <f>IFERROR(__xludf.DUMMYFUNCTION("SPLIT(A2563, ""|"")"),43430.0)</f>
        <v>43430</v>
      </c>
      <c r="E2563" s="2">
        <f>IFERROR(__xludf.DUMMYFUNCTION("""COMPUTED_VALUE"""),1794423.0)</f>
        <v>1794423</v>
      </c>
      <c r="F2563" s="2">
        <f>IFERROR(__xludf.DUMMYFUNCTION("""COMPUTED_VALUE"""),5242998.0)</f>
        <v>5242998</v>
      </c>
      <c r="G2563" s="2">
        <f>IFERROR(__xludf.DUMMYFUNCTION("""COMPUTED_VALUE"""),31.8042)</f>
        <v>31.8042</v>
      </c>
    </row>
    <row r="2564">
      <c r="A2564" s="1" t="s">
        <v>2563</v>
      </c>
      <c r="D2564" s="3">
        <f>IFERROR(__xludf.DUMMYFUNCTION("SPLIT(A2564, ""|"")"),43430.0)</f>
        <v>43430</v>
      </c>
      <c r="E2564" s="2">
        <f>IFERROR(__xludf.DUMMYFUNCTION("""COMPUTED_VALUE"""),1791423.0)</f>
        <v>1791423</v>
      </c>
      <c r="F2564" s="2">
        <f>IFERROR(__xludf.DUMMYFUNCTION("""COMPUTED_VALUE"""),5231085.0)</f>
        <v>5231085</v>
      </c>
      <c r="G2564" s="2">
        <f>IFERROR(__xludf.DUMMYFUNCTION("""COMPUTED_VALUE"""),113.3216)</f>
        <v>113.3216</v>
      </c>
    </row>
    <row r="2565">
      <c r="A2565" s="1" t="s">
        <v>2564</v>
      </c>
      <c r="D2565" s="3">
        <f>IFERROR(__xludf.DUMMYFUNCTION("SPLIT(A2565, ""|"")"),43430.0)</f>
        <v>43430</v>
      </c>
      <c r="E2565" s="2">
        <f>IFERROR(__xludf.DUMMYFUNCTION("""COMPUTED_VALUE"""),1392573.0)</f>
        <v>1392573</v>
      </c>
      <c r="F2565" s="2">
        <f>IFERROR(__xludf.DUMMYFUNCTION("""COMPUTED_VALUE"""),5234943.0)</f>
        <v>5234943</v>
      </c>
      <c r="G2565" s="2">
        <f>IFERROR(__xludf.DUMMYFUNCTION("""COMPUTED_VALUE"""),147.9495)</f>
        <v>147.9495</v>
      </c>
    </row>
    <row r="2566">
      <c r="A2566" s="1" t="s">
        <v>2565</v>
      </c>
      <c r="D2566" s="3">
        <f>IFERROR(__xludf.DUMMYFUNCTION("SPLIT(A2566, ""|"")"),43430.0)</f>
        <v>43430</v>
      </c>
      <c r="E2566" s="2">
        <f>IFERROR(__xludf.DUMMYFUNCTION("""COMPUTED_VALUE"""),1676133.0)</f>
        <v>1676133</v>
      </c>
      <c r="F2566" s="2">
        <f>IFERROR(__xludf.DUMMYFUNCTION("""COMPUTED_VALUE"""),5243382.0)</f>
        <v>5243382</v>
      </c>
      <c r="G2566" s="2">
        <f>IFERROR(__xludf.DUMMYFUNCTION("""COMPUTED_VALUE"""),91.5296)</f>
        <v>91.5296</v>
      </c>
    </row>
    <row r="2567">
      <c r="A2567" s="1" t="s">
        <v>2566</v>
      </c>
      <c r="D2567" s="3">
        <f>IFERROR(__xludf.DUMMYFUNCTION("SPLIT(A2567, ""|"")"),43430.0)</f>
        <v>43430</v>
      </c>
      <c r="E2567" s="2">
        <f>IFERROR(__xludf.DUMMYFUNCTION("""COMPUTED_VALUE"""),1792773.0)</f>
        <v>1792773</v>
      </c>
      <c r="F2567" s="2">
        <f>IFERROR(__xludf.DUMMYFUNCTION("""COMPUTED_VALUE"""),5238243.0)</f>
        <v>5238243</v>
      </c>
      <c r="G2567" s="2">
        <f>IFERROR(__xludf.DUMMYFUNCTION("""COMPUTED_VALUE"""),93.2632)</f>
        <v>93.2632</v>
      </c>
    </row>
    <row r="2568">
      <c r="A2568" s="1" t="s">
        <v>2567</v>
      </c>
      <c r="D2568" s="3">
        <f>IFERROR(__xludf.DUMMYFUNCTION("SPLIT(A2568, ""|"")"),43430.0)</f>
        <v>43430</v>
      </c>
      <c r="E2568" s="2">
        <f>IFERROR(__xludf.DUMMYFUNCTION("""COMPUTED_VALUE"""),1792233.0)</f>
        <v>1792233</v>
      </c>
      <c r="F2568" s="2">
        <f>IFERROR(__xludf.DUMMYFUNCTION("""COMPUTED_VALUE"""),5236260.0)</f>
        <v>5236260</v>
      </c>
      <c r="G2568" s="2">
        <f>IFERROR(__xludf.DUMMYFUNCTION("""COMPUTED_VALUE"""),43.9418)</f>
        <v>43.9418</v>
      </c>
    </row>
    <row r="2569">
      <c r="A2569" s="1" t="s">
        <v>2568</v>
      </c>
      <c r="D2569" s="3">
        <f>IFERROR(__xludf.DUMMYFUNCTION("SPLIT(A2569, ""|"")"),43430.0)</f>
        <v>43430</v>
      </c>
      <c r="E2569" s="2">
        <f>IFERROR(__xludf.DUMMYFUNCTION("""COMPUTED_VALUE"""),1577733.0)</f>
        <v>1577733</v>
      </c>
      <c r="F2569" s="2">
        <f>IFERROR(__xludf.DUMMYFUNCTION("""COMPUTED_VALUE"""),5245290.0)</f>
        <v>5245290</v>
      </c>
      <c r="G2569" s="2">
        <f>IFERROR(__xludf.DUMMYFUNCTION("""COMPUTED_VALUE"""),22.834)</f>
        <v>22.834</v>
      </c>
    </row>
    <row r="2570">
      <c r="A2570" s="1" t="s">
        <v>2569</v>
      </c>
      <c r="D2570" s="3">
        <f>IFERROR(__xludf.DUMMYFUNCTION("SPLIT(A2570, ""|"")"),43430.0)</f>
        <v>43430</v>
      </c>
      <c r="E2570" s="2">
        <f>IFERROR(__xludf.DUMMYFUNCTION("""COMPUTED_VALUE"""),1793373.0)</f>
        <v>1793373</v>
      </c>
      <c r="F2570" s="2">
        <f>IFERROR(__xludf.DUMMYFUNCTION("""COMPUTED_VALUE"""),5239014.0)</f>
        <v>5239014</v>
      </c>
      <c r="G2570" s="2">
        <f>IFERROR(__xludf.DUMMYFUNCTION("""COMPUTED_VALUE"""),24.4055)</f>
        <v>24.4055</v>
      </c>
    </row>
    <row r="2571">
      <c r="A2571" s="1" t="s">
        <v>2570</v>
      </c>
      <c r="D2571" s="3">
        <f>IFERROR(__xludf.DUMMYFUNCTION("SPLIT(A2571, ""|"")"),43430.0)</f>
        <v>43430</v>
      </c>
      <c r="E2571" s="2">
        <f>IFERROR(__xludf.DUMMYFUNCTION("""COMPUTED_VALUE"""),1794033.0)</f>
        <v>1794033</v>
      </c>
      <c r="F2571" s="2">
        <f>IFERROR(__xludf.DUMMYFUNCTION("""COMPUTED_VALUE"""),5243481.0)</f>
        <v>5243481</v>
      </c>
      <c r="G2571" s="2">
        <f>IFERROR(__xludf.DUMMYFUNCTION("""COMPUTED_VALUE"""),120.0176)</f>
        <v>120.0176</v>
      </c>
    </row>
    <row r="2572">
      <c r="A2572" s="1" t="s">
        <v>2571</v>
      </c>
      <c r="D2572" s="3">
        <f>IFERROR(__xludf.DUMMYFUNCTION("SPLIT(A2572, ""|"")"),43430.0)</f>
        <v>43430</v>
      </c>
      <c r="E2572" s="2">
        <f>IFERROR(__xludf.DUMMYFUNCTION("""COMPUTED_VALUE"""),1782693.0)</f>
        <v>1782693</v>
      </c>
      <c r="F2572" s="2">
        <f>IFERROR(__xludf.DUMMYFUNCTION("""COMPUTED_VALUE"""),5236956.0)</f>
        <v>5236956</v>
      </c>
      <c r="G2572" s="2">
        <f>IFERROR(__xludf.DUMMYFUNCTION("""COMPUTED_VALUE"""),60.9883)</f>
        <v>60.9883</v>
      </c>
    </row>
    <row r="2573">
      <c r="A2573" s="1" t="s">
        <v>2572</v>
      </c>
      <c r="D2573" s="3">
        <f>IFERROR(__xludf.DUMMYFUNCTION("SPLIT(A2573, ""|"")"),43175.0)</f>
        <v>43175</v>
      </c>
      <c r="E2573" s="2">
        <f>IFERROR(__xludf.DUMMYFUNCTION("""COMPUTED_VALUE"""),1252173.0)</f>
        <v>1252173</v>
      </c>
      <c r="F2573" s="2">
        <f>IFERROR(__xludf.DUMMYFUNCTION("""COMPUTED_VALUE"""),4304617.0)</f>
        <v>4304617</v>
      </c>
      <c r="G2573" s="2">
        <f>IFERROR(__xludf.DUMMYFUNCTION("""COMPUTED_VALUE"""),151.7708)</f>
        <v>151.7708</v>
      </c>
    </row>
    <row r="2574">
      <c r="A2574" s="1" t="s">
        <v>2573</v>
      </c>
      <c r="D2574" s="3">
        <f>IFERROR(__xludf.DUMMYFUNCTION("SPLIT(A2574, ""|"")"),43175.0)</f>
        <v>43175</v>
      </c>
      <c r="E2574" s="2">
        <f>IFERROR(__xludf.DUMMYFUNCTION("""COMPUTED_VALUE"""),1184643.0)</f>
        <v>1184643</v>
      </c>
      <c r="F2574" s="2">
        <f>IFERROR(__xludf.DUMMYFUNCTION("""COMPUTED_VALUE"""),4303548.0)</f>
        <v>4303548</v>
      </c>
      <c r="G2574" s="2">
        <f>IFERROR(__xludf.DUMMYFUNCTION("""COMPUTED_VALUE"""),274.8701)</f>
        <v>274.8701</v>
      </c>
    </row>
    <row r="2575">
      <c r="A2575" s="1" t="s">
        <v>2574</v>
      </c>
      <c r="D2575" s="3">
        <f>IFERROR(__xludf.DUMMYFUNCTION("SPLIT(A2575, ""|"")"),43175.0)</f>
        <v>43175</v>
      </c>
      <c r="E2575" s="2">
        <f>IFERROR(__xludf.DUMMYFUNCTION("""COMPUTED_VALUE"""),1551003.0)</f>
        <v>1551003</v>
      </c>
      <c r="F2575" s="2">
        <f>IFERROR(__xludf.DUMMYFUNCTION("""COMPUTED_VALUE"""),4303977.0)</f>
        <v>4303977</v>
      </c>
      <c r="G2575" s="2">
        <f>IFERROR(__xludf.DUMMYFUNCTION("""COMPUTED_VALUE"""),140.924)</f>
        <v>140.924</v>
      </c>
    </row>
    <row r="2576">
      <c r="A2576" s="1" t="s">
        <v>2575</v>
      </c>
      <c r="D2576" s="3">
        <f>IFERROR(__xludf.DUMMYFUNCTION("SPLIT(A2576, ""|"")"),43175.0)</f>
        <v>43175</v>
      </c>
      <c r="E2576" s="2">
        <f>IFERROR(__xludf.DUMMYFUNCTION("""COMPUTED_VALUE"""),474633.0)</f>
        <v>474633</v>
      </c>
      <c r="F2576" s="2">
        <f>IFERROR(__xludf.DUMMYFUNCTION("""COMPUTED_VALUE"""),4305092.0)</f>
        <v>4305092</v>
      </c>
      <c r="G2576" s="2">
        <f>IFERROR(__xludf.DUMMYFUNCTION("""COMPUTED_VALUE"""),193.3475)</f>
        <v>193.3475</v>
      </c>
    </row>
    <row r="2577">
      <c r="A2577" s="1" t="s">
        <v>2576</v>
      </c>
      <c r="D2577" s="3">
        <f>IFERROR(__xludf.DUMMYFUNCTION("SPLIT(A2577, ""|"")"),43175.0)</f>
        <v>43175</v>
      </c>
      <c r="E2577" s="2">
        <f>IFERROR(__xludf.DUMMYFUNCTION("""COMPUTED_VALUE"""),1010553.0)</f>
        <v>1010553</v>
      </c>
      <c r="F2577" s="2">
        <f>IFERROR(__xludf.DUMMYFUNCTION("""COMPUTED_VALUE"""),4302925.0)</f>
        <v>4302925</v>
      </c>
      <c r="G2577" s="2">
        <f>IFERROR(__xludf.DUMMYFUNCTION("""COMPUTED_VALUE"""),68.7602)</f>
        <v>68.7602</v>
      </c>
    </row>
    <row r="2578">
      <c r="A2578" s="1" t="s">
        <v>2577</v>
      </c>
      <c r="D2578" s="3">
        <f>IFERROR(__xludf.DUMMYFUNCTION("SPLIT(A2578, ""|"")"),43431.0)</f>
        <v>43431</v>
      </c>
      <c r="E2578" s="2">
        <f>IFERROR(__xludf.DUMMYFUNCTION("""COMPUTED_VALUE"""),1529913.0)</f>
        <v>1529913</v>
      </c>
      <c r="F2578" s="2">
        <f>IFERROR(__xludf.DUMMYFUNCTION("""COMPUTED_VALUE"""),5248271.0)</f>
        <v>5248271</v>
      </c>
      <c r="G2578" s="2">
        <f>IFERROR(__xludf.DUMMYFUNCTION("""COMPUTED_VALUE"""),11.475)</f>
        <v>11.475</v>
      </c>
    </row>
    <row r="2579">
      <c r="A2579" s="1" t="s">
        <v>2578</v>
      </c>
      <c r="D2579" s="3">
        <f>IFERROR(__xludf.DUMMYFUNCTION("SPLIT(A2579, ""|"")"),43431.0)</f>
        <v>43431</v>
      </c>
      <c r="E2579" s="2">
        <f>IFERROR(__xludf.DUMMYFUNCTION("""COMPUTED_VALUE"""),1795353.0)</f>
        <v>1795353</v>
      </c>
      <c r="F2579" s="2">
        <f>IFERROR(__xludf.DUMMYFUNCTION("""COMPUTED_VALUE"""),5246823.0)</f>
        <v>5246823</v>
      </c>
      <c r="G2579" s="2">
        <f>IFERROR(__xludf.DUMMYFUNCTION("""COMPUTED_VALUE"""),66.8795)</f>
        <v>66.8795</v>
      </c>
    </row>
    <row r="2580">
      <c r="A2580" s="1" t="s">
        <v>2579</v>
      </c>
      <c r="D2580" s="3">
        <f>IFERROR(__xludf.DUMMYFUNCTION("SPLIT(A2580, ""|"")"),43431.0)</f>
        <v>43431</v>
      </c>
      <c r="E2580" s="2">
        <f>IFERROR(__xludf.DUMMYFUNCTION("""COMPUTED_VALUE"""),426423.0)</f>
        <v>426423</v>
      </c>
      <c r="F2580" s="2">
        <f>IFERROR(__xludf.DUMMYFUNCTION("""COMPUTED_VALUE"""),5248423.0)</f>
        <v>5248423</v>
      </c>
      <c r="G2580" s="2">
        <f>IFERROR(__xludf.DUMMYFUNCTION("""COMPUTED_VALUE"""),130.6977)</f>
        <v>130.6977</v>
      </c>
    </row>
    <row r="2581">
      <c r="A2581" s="1" t="s">
        <v>2580</v>
      </c>
      <c r="D2581" s="3">
        <f>IFERROR(__xludf.DUMMYFUNCTION("SPLIT(A2581, ""|"")"),43431.0)</f>
        <v>43431</v>
      </c>
      <c r="E2581" s="2">
        <f>IFERROR(__xludf.DUMMYFUNCTION("""COMPUTED_VALUE"""),1796073.0)</f>
        <v>1796073</v>
      </c>
      <c r="F2581" s="2">
        <f>IFERROR(__xludf.DUMMYFUNCTION("""COMPUTED_VALUE"""),5249007.0)</f>
        <v>5249007</v>
      </c>
      <c r="G2581" s="2">
        <f>IFERROR(__xludf.DUMMYFUNCTION("""COMPUTED_VALUE"""),40.368)</f>
        <v>40.368</v>
      </c>
    </row>
    <row r="2582">
      <c r="A2582" s="1" t="s">
        <v>2581</v>
      </c>
      <c r="D2582" s="3">
        <f>IFERROR(__xludf.DUMMYFUNCTION("SPLIT(A2582, ""|"")"),43176.0)</f>
        <v>43176</v>
      </c>
      <c r="E2582" s="2">
        <f>IFERROR(__xludf.DUMMYFUNCTION("""COMPUTED_VALUE"""),1261383.0)</f>
        <v>1261383</v>
      </c>
      <c r="F2582" s="2">
        <f>IFERROR(__xludf.DUMMYFUNCTION("""COMPUTED_VALUE"""),4305218.0)</f>
        <v>4305218</v>
      </c>
      <c r="G2582" s="2">
        <f>IFERROR(__xludf.DUMMYFUNCTION("""COMPUTED_VALUE"""),113.182)</f>
        <v>113.182</v>
      </c>
    </row>
    <row r="2583">
      <c r="A2583" s="1" t="s">
        <v>2582</v>
      </c>
      <c r="D2583" s="3">
        <f>IFERROR(__xludf.DUMMYFUNCTION("SPLIT(A2583, ""|"")"),43176.0)</f>
        <v>43176</v>
      </c>
      <c r="E2583" s="2">
        <f>IFERROR(__xludf.DUMMYFUNCTION("""COMPUTED_VALUE"""),1299153.0)</f>
        <v>1299153</v>
      </c>
      <c r="F2583" s="2">
        <f>IFERROR(__xludf.DUMMYFUNCTION("""COMPUTED_VALUE"""),4307144.0)</f>
        <v>4307144</v>
      </c>
      <c r="G2583" s="2">
        <f>IFERROR(__xludf.DUMMYFUNCTION("""COMPUTED_VALUE"""),82.4527)</f>
        <v>82.4527</v>
      </c>
    </row>
    <row r="2584">
      <c r="A2584" s="1" t="s">
        <v>2583</v>
      </c>
      <c r="D2584" s="3">
        <f>IFERROR(__xludf.DUMMYFUNCTION("SPLIT(A2584, ""|"")"),43176.0)</f>
        <v>43176</v>
      </c>
      <c r="E2584" s="2">
        <f>IFERROR(__xludf.DUMMYFUNCTION("""COMPUTED_VALUE"""),1528503.0)</f>
        <v>1528503</v>
      </c>
      <c r="F2584" s="2">
        <f>IFERROR(__xludf.DUMMYFUNCTION("""COMPUTED_VALUE"""),4305818.0)</f>
        <v>4305818</v>
      </c>
      <c r="G2584" s="2">
        <f>IFERROR(__xludf.DUMMYFUNCTION("""COMPUTED_VALUE"""),118.1572)</f>
        <v>118.1572</v>
      </c>
    </row>
    <row r="2585">
      <c r="A2585" s="1" t="s">
        <v>2584</v>
      </c>
      <c r="D2585" s="3">
        <f>IFERROR(__xludf.DUMMYFUNCTION("SPLIT(A2585, ""|"")"),43176.0)</f>
        <v>43176</v>
      </c>
      <c r="E2585" s="2">
        <f>IFERROR(__xludf.DUMMYFUNCTION("""COMPUTED_VALUE"""),1551363.0)</f>
        <v>1551363</v>
      </c>
      <c r="F2585" s="2">
        <f>IFERROR(__xludf.DUMMYFUNCTION("""COMPUTED_VALUE"""),4305096.0)</f>
        <v>4305096</v>
      </c>
      <c r="G2585" s="2">
        <f>IFERROR(__xludf.DUMMYFUNCTION("""COMPUTED_VALUE"""),87.8668)</f>
        <v>87.8668</v>
      </c>
    </row>
    <row r="2586">
      <c r="A2586" s="1" t="s">
        <v>2585</v>
      </c>
      <c r="D2586" s="3">
        <f>IFERROR(__xludf.DUMMYFUNCTION("SPLIT(A2586, ""|"")"),43176.0)</f>
        <v>43176</v>
      </c>
      <c r="E2586" s="2">
        <f>IFERROR(__xludf.DUMMYFUNCTION("""COMPUTED_VALUE"""),1442013.0)</f>
        <v>1442013</v>
      </c>
      <c r="F2586" s="2">
        <f>IFERROR(__xludf.DUMMYFUNCTION("""COMPUTED_VALUE"""),4305585.0)</f>
        <v>4305585</v>
      </c>
      <c r="G2586" s="2">
        <f>IFERROR(__xludf.DUMMYFUNCTION("""COMPUTED_VALUE"""),115.9404)</f>
        <v>115.9404</v>
      </c>
    </row>
    <row r="2587">
      <c r="A2587" s="1" t="s">
        <v>2586</v>
      </c>
      <c r="D2587" s="3">
        <f>IFERROR(__xludf.DUMMYFUNCTION("SPLIT(A2587, ""|"")"),43432.0)</f>
        <v>43432</v>
      </c>
      <c r="E2587" s="2">
        <f>IFERROR(__xludf.DUMMYFUNCTION("""COMPUTED_VALUE"""),1470573.0)</f>
        <v>1470573</v>
      </c>
      <c r="F2587" s="2">
        <f>IFERROR(__xludf.DUMMYFUNCTION("""COMPUTED_VALUE"""),5253338.0)</f>
        <v>5253338</v>
      </c>
      <c r="G2587" s="2">
        <f>IFERROR(__xludf.DUMMYFUNCTION("""COMPUTED_VALUE"""),64.525)</f>
        <v>64.525</v>
      </c>
    </row>
    <row r="2588">
      <c r="A2588" s="1" t="s">
        <v>2587</v>
      </c>
      <c r="D2588" s="3">
        <f>IFERROR(__xludf.DUMMYFUNCTION("SPLIT(A2588, ""|"")"),43432.0)</f>
        <v>43432</v>
      </c>
      <c r="E2588" s="2">
        <f>IFERROR(__xludf.DUMMYFUNCTION("""COMPUTED_VALUE"""),1410633.0)</f>
        <v>1410633</v>
      </c>
      <c r="F2588" s="2">
        <f>IFERROR(__xludf.DUMMYFUNCTION("""COMPUTED_VALUE"""),5252802.0)</f>
        <v>5252802</v>
      </c>
      <c r="G2588" s="2">
        <f>IFERROR(__xludf.DUMMYFUNCTION("""COMPUTED_VALUE"""),79.7466)</f>
        <v>79.7466</v>
      </c>
    </row>
    <row r="2589">
      <c r="A2589" s="1" t="s">
        <v>2588</v>
      </c>
      <c r="D2589" s="3">
        <f>IFERROR(__xludf.DUMMYFUNCTION("SPLIT(A2589, ""|"")"),43432.0)</f>
        <v>43432</v>
      </c>
      <c r="E2589" s="2">
        <f>IFERROR(__xludf.DUMMYFUNCTION("""COMPUTED_VALUE"""),1794393.0)</f>
        <v>1794393</v>
      </c>
      <c r="F2589" s="2">
        <f>IFERROR(__xludf.DUMMYFUNCTION("""COMPUTED_VALUE"""),5251764.0)</f>
        <v>5251764</v>
      </c>
      <c r="G2589" s="2">
        <f>IFERROR(__xludf.DUMMYFUNCTION("""COMPUTED_VALUE"""),68.0127)</f>
        <v>68.0127</v>
      </c>
    </row>
    <row r="2590">
      <c r="A2590" s="1" t="s">
        <v>2589</v>
      </c>
      <c r="D2590" s="3">
        <f>IFERROR(__xludf.DUMMYFUNCTION("SPLIT(A2590, ""|"")"),43432.0)</f>
        <v>43432</v>
      </c>
      <c r="E2590" s="2">
        <f>IFERROR(__xludf.DUMMYFUNCTION("""COMPUTED_VALUE"""),1606233.0)</f>
        <v>1606233</v>
      </c>
      <c r="F2590" s="2">
        <f>IFERROR(__xludf.DUMMYFUNCTION("""COMPUTED_VALUE"""),5250727.0)</f>
        <v>5250727</v>
      </c>
      <c r="G2590" s="2">
        <f>IFERROR(__xludf.DUMMYFUNCTION("""COMPUTED_VALUE"""),67.2775)</f>
        <v>67.2775</v>
      </c>
    </row>
    <row r="2591">
      <c r="A2591" s="1" t="s">
        <v>2590</v>
      </c>
      <c r="D2591" s="3">
        <f>IFERROR(__xludf.DUMMYFUNCTION("SPLIT(A2591, ""|"")"),43432.0)</f>
        <v>43432</v>
      </c>
      <c r="E2591" s="2">
        <f>IFERROR(__xludf.DUMMYFUNCTION("""COMPUTED_VALUE"""),898443.0)</f>
        <v>898443</v>
      </c>
      <c r="F2591" s="2">
        <f>IFERROR(__xludf.DUMMYFUNCTION("""COMPUTED_VALUE"""),5252778.0)</f>
        <v>5252778</v>
      </c>
      <c r="G2591" s="2">
        <f>IFERROR(__xludf.DUMMYFUNCTION("""COMPUTED_VALUE"""),75.0)</f>
        <v>75</v>
      </c>
    </row>
    <row r="2592">
      <c r="A2592" s="1" t="s">
        <v>2591</v>
      </c>
      <c r="D2592" s="3">
        <f>IFERROR(__xludf.DUMMYFUNCTION("SPLIT(A2592, ""|"")"),43432.0)</f>
        <v>43432</v>
      </c>
      <c r="E2592" s="2">
        <f>IFERROR(__xludf.DUMMYFUNCTION("""COMPUTED_VALUE"""),1712253.0)</f>
        <v>1712253</v>
      </c>
      <c r="F2592" s="2">
        <f>IFERROR(__xludf.DUMMYFUNCTION("""COMPUTED_VALUE"""),5250247.0)</f>
        <v>5250247</v>
      </c>
      <c r="G2592" s="2">
        <f>IFERROR(__xludf.DUMMYFUNCTION("""COMPUTED_VALUE"""),110.3711)</f>
        <v>110.3711</v>
      </c>
    </row>
    <row r="2593">
      <c r="A2593" s="1" t="s">
        <v>2592</v>
      </c>
      <c r="D2593" s="3">
        <f>IFERROR(__xludf.DUMMYFUNCTION("SPLIT(A2593, ""|"")"),43432.0)</f>
        <v>43432</v>
      </c>
      <c r="E2593" s="2">
        <f>IFERROR(__xludf.DUMMYFUNCTION("""COMPUTED_VALUE"""),147243.0)</f>
        <v>147243</v>
      </c>
      <c r="F2593" s="2">
        <f>IFERROR(__xludf.DUMMYFUNCTION("""COMPUTED_VALUE"""),5251993.0)</f>
        <v>5251993</v>
      </c>
      <c r="G2593" s="2">
        <f>IFERROR(__xludf.DUMMYFUNCTION("""COMPUTED_VALUE"""),44.4298)</f>
        <v>44.4298</v>
      </c>
    </row>
    <row r="2594">
      <c r="A2594" s="1" t="s">
        <v>2593</v>
      </c>
      <c r="D2594" s="3">
        <f>IFERROR(__xludf.DUMMYFUNCTION("SPLIT(A2594, ""|"")"),43432.0)</f>
        <v>43432</v>
      </c>
      <c r="E2594" s="2">
        <f>IFERROR(__xludf.DUMMYFUNCTION("""COMPUTED_VALUE"""),1796883.0)</f>
        <v>1796883</v>
      </c>
      <c r="F2594" s="2">
        <f>IFERROR(__xludf.DUMMYFUNCTION("""COMPUTED_VALUE"""),5252244.0)</f>
        <v>5252244</v>
      </c>
      <c r="G2594" s="2">
        <f>IFERROR(__xludf.DUMMYFUNCTION("""COMPUTED_VALUE"""),57.335)</f>
        <v>57.335</v>
      </c>
    </row>
    <row r="2595">
      <c r="A2595" s="1" t="s">
        <v>2594</v>
      </c>
      <c r="D2595" s="3">
        <f>IFERROR(__xludf.DUMMYFUNCTION("SPLIT(A2595, ""|"")"),43432.0)</f>
        <v>43432</v>
      </c>
      <c r="E2595" s="2">
        <f>IFERROR(__xludf.DUMMYFUNCTION("""COMPUTED_VALUE"""),1732233.0)</f>
        <v>1732233</v>
      </c>
      <c r="F2595" s="2">
        <f>IFERROR(__xludf.DUMMYFUNCTION("""COMPUTED_VALUE"""),5251936.0)</f>
        <v>5251936</v>
      </c>
      <c r="G2595" s="2">
        <f>IFERROR(__xludf.DUMMYFUNCTION("""COMPUTED_VALUE"""),68.6465)</f>
        <v>68.6465</v>
      </c>
    </row>
    <row r="2596">
      <c r="A2596" s="1" t="s">
        <v>2595</v>
      </c>
      <c r="D2596" s="3">
        <f>IFERROR(__xludf.DUMMYFUNCTION("SPLIT(A2596, ""|"")"),43177.0)</f>
        <v>43177</v>
      </c>
      <c r="E2596" s="2">
        <f>IFERROR(__xludf.DUMMYFUNCTION("""COMPUTED_VALUE"""),1491153.0)</f>
        <v>1491153</v>
      </c>
      <c r="F2596" s="2">
        <f>IFERROR(__xludf.DUMMYFUNCTION("""COMPUTED_VALUE"""),4308516.0)</f>
        <v>4308516</v>
      </c>
      <c r="G2596" s="2">
        <f>IFERROR(__xludf.DUMMYFUNCTION("""COMPUTED_VALUE"""),59.9592999999999)</f>
        <v>59.9593</v>
      </c>
    </row>
    <row r="2597">
      <c r="A2597" s="1" t="s">
        <v>2596</v>
      </c>
      <c r="D2597" s="3">
        <f>IFERROR(__xludf.DUMMYFUNCTION("SPLIT(A2597, ""|"")"),43177.0)</f>
        <v>43177</v>
      </c>
      <c r="E2597" s="2">
        <f>IFERROR(__xludf.DUMMYFUNCTION("""COMPUTED_VALUE"""),414843.0)</f>
        <v>414843</v>
      </c>
      <c r="F2597" s="2">
        <f>IFERROR(__xludf.DUMMYFUNCTION("""COMPUTED_VALUE"""),4309201.0)</f>
        <v>4309201</v>
      </c>
      <c r="G2597" s="2">
        <f>IFERROR(__xludf.DUMMYFUNCTION("""COMPUTED_VALUE"""),74.3279)</f>
        <v>74.3279</v>
      </c>
    </row>
    <row r="2598">
      <c r="A2598" s="1" t="s">
        <v>2597</v>
      </c>
      <c r="D2598" s="3">
        <f>IFERROR(__xludf.DUMMYFUNCTION("SPLIT(A2598, ""|"")"),43177.0)</f>
        <v>43177</v>
      </c>
      <c r="E2598" s="2">
        <f>IFERROR(__xludf.DUMMYFUNCTION("""COMPUTED_VALUE"""),1535343.0)</f>
        <v>1535343</v>
      </c>
      <c r="F2598" s="2">
        <f>IFERROR(__xludf.DUMMYFUNCTION("""COMPUTED_VALUE"""),4308185.0)</f>
        <v>4308185</v>
      </c>
      <c r="G2598" s="2">
        <f>IFERROR(__xludf.DUMMYFUNCTION("""COMPUTED_VALUE"""),26.6501999999999)</f>
        <v>26.6502</v>
      </c>
    </row>
    <row r="2599">
      <c r="A2599" s="1" t="s">
        <v>2598</v>
      </c>
      <c r="D2599" s="3">
        <f>IFERROR(__xludf.DUMMYFUNCTION("SPLIT(A2599, ""|"")"),43177.0)</f>
        <v>43177</v>
      </c>
      <c r="E2599" s="2">
        <f>IFERROR(__xludf.DUMMYFUNCTION("""COMPUTED_VALUE"""),1552833.0)</f>
        <v>1552833</v>
      </c>
      <c r="F2599" s="2">
        <f>IFERROR(__xludf.DUMMYFUNCTION("""COMPUTED_VALUE"""),4310031.0)</f>
        <v>4310031</v>
      </c>
      <c r="G2599" s="2">
        <f>IFERROR(__xludf.DUMMYFUNCTION("""COMPUTED_VALUE"""),14.9391)</f>
        <v>14.9391</v>
      </c>
    </row>
    <row r="2600">
      <c r="A2600" s="1" t="s">
        <v>2599</v>
      </c>
      <c r="D2600" s="3">
        <f>IFERROR(__xludf.DUMMYFUNCTION("SPLIT(A2600, ""|"")"),43177.0)</f>
        <v>43177</v>
      </c>
      <c r="E2600" s="2">
        <f>IFERROR(__xludf.DUMMYFUNCTION("""COMPUTED_VALUE"""),1552443.0)</f>
        <v>1552443</v>
      </c>
      <c r="F2600" s="2">
        <f>IFERROR(__xludf.DUMMYFUNCTION("""COMPUTED_VALUE"""),4308607.0)</f>
        <v>4308607</v>
      </c>
      <c r="G2600" s="2">
        <f>IFERROR(__xludf.DUMMYFUNCTION("""COMPUTED_VALUE"""),40.485)</f>
        <v>40.485</v>
      </c>
    </row>
    <row r="2601">
      <c r="A2601" s="1" t="s">
        <v>2600</v>
      </c>
      <c r="D2601" s="3">
        <f>IFERROR(__xludf.DUMMYFUNCTION("SPLIT(A2601, ""|"")"),43177.0)</f>
        <v>43177</v>
      </c>
      <c r="E2601" s="2">
        <f>IFERROR(__xludf.DUMMYFUNCTION("""COMPUTED_VALUE"""),1333263.0)</f>
        <v>1333263</v>
      </c>
      <c r="F2601" s="2">
        <f>IFERROR(__xludf.DUMMYFUNCTION("""COMPUTED_VALUE"""),4307759.0)</f>
        <v>4307759</v>
      </c>
      <c r="G2601" s="2">
        <f>IFERROR(__xludf.DUMMYFUNCTION("""COMPUTED_VALUE"""),67.6182)</f>
        <v>67.6182</v>
      </c>
    </row>
    <row r="2602">
      <c r="A2602" s="1" t="s">
        <v>2601</v>
      </c>
      <c r="D2602" s="3">
        <f>IFERROR(__xludf.DUMMYFUNCTION("SPLIT(A2602, ""|"")"),43177.0)</f>
        <v>43177</v>
      </c>
      <c r="E2602" s="2">
        <f>IFERROR(__xludf.DUMMYFUNCTION("""COMPUTED_VALUE"""),1428003.0)</f>
        <v>1428003</v>
      </c>
      <c r="F2602" s="2">
        <f>IFERROR(__xludf.DUMMYFUNCTION("""COMPUTED_VALUE"""),4309647.0)</f>
        <v>4309647</v>
      </c>
      <c r="G2602" s="2">
        <f>IFERROR(__xludf.DUMMYFUNCTION("""COMPUTED_VALUE"""),56.2522)</f>
        <v>56.2522</v>
      </c>
    </row>
    <row r="2603">
      <c r="A2603" s="1" t="s">
        <v>2602</v>
      </c>
      <c r="D2603" s="3">
        <f>IFERROR(__xludf.DUMMYFUNCTION("SPLIT(A2603, ""|"")"),43177.0)</f>
        <v>43177</v>
      </c>
      <c r="E2603" s="2">
        <f>IFERROR(__xludf.DUMMYFUNCTION("""COMPUTED_VALUE"""),848373.0)</f>
        <v>848373</v>
      </c>
      <c r="F2603" s="2">
        <f>IFERROR(__xludf.DUMMYFUNCTION("""COMPUTED_VALUE"""),4307950.0)</f>
        <v>4307950</v>
      </c>
      <c r="G2603" s="2">
        <f>IFERROR(__xludf.DUMMYFUNCTION("""COMPUTED_VALUE"""),63.675)</f>
        <v>63.675</v>
      </c>
    </row>
    <row r="2604">
      <c r="A2604" s="1" t="s">
        <v>2603</v>
      </c>
      <c r="D2604" s="3">
        <f>IFERROR(__xludf.DUMMYFUNCTION("SPLIT(A2604, ""|"")"),43433.0)</f>
        <v>43433</v>
      </c>
      <c r="E2604" s="2">
        <f>IFERROR(__xludf.DUMMYFUNCTION("""COMPUTED_VALUE"""),1740843.0)</f>
        <v>1740843</v>
      </c>
      <c r="F2604" s="2">
        <f>IFERROR(__xludf.DUMMYFUNCTION("""COMPUTED_VALUE"""),5254095.0)</f>
        <v>5254095</v>
      </c>
      <c r="G2604" s="2">
        <f>IFERROR(__xludf.DUMMYFUNCTION("""COMPUTED_VALUE"""),90.0582999999999)</f>
        <v>90.0583</v>
      </c>
    </row>
    <row r="2605">
      <c r="A2605" s="1" t="s">
        <v>2604</v>
      </c>
      <c r="D2605" s="3">
        <f>IFERROR(__xludf.DUMMYFUNCTION("SPLIT(A2605, ""|"")"),43433.0)</f>
        <v>43433</v>
      </c>
      <c r="E2605" s="2">
        <f>IFERROR(__xludf.DUMMYFUNCTION("""COMPUTED_VALUE"""),1489683.0)</f>
        <v>1489683</v>
      </c>
      <c r="F2605" s="2">
        <f>IFERROR(__xludf.DUMMYFUNCTION("""COMPUTED_VALUE"""),5254115.0)</f>
        <v>5254115</v>
      </c>
      <c r="G2605" s="2">
        <f>IFERROR(__xludf.DUMMYFUNCTION("""COMPUTED_VALUE"""),66.7245)</f>
        <v>66.7245</v>
      </c>
    </row>
    <row r="2606">
      <c r="A2606" s="1" t="s">
        <v>2605</v>
      </c>
      <c r="D2606" s="3">
        <f>IFERROR(__xludf.DUMMYFUNCTION("SPLIT(A2606, ""|"")"),43433.0)</f>
        <v>43433</v>
      </c>
      <c r="E2606" s="2">
        <f>IFERROR(__xludf.DUMMYFUNCTION("""COMPUTED_VALUE"""),1783563.0)</f>
        <v>1783563</v>
      </c>
      <c r="F2606" s="2">
        <f>IFERROR(__xludf.DUMMYFUNCTION("""COMPUTED_VALUE"""),5256388.0)</f>
        <v>5256388</v>
      </c>
      <c r="G2606" s="2">
        <f>IFERROR(__xludf.DUMMYFUNCTION("""COMPUTED_VALUE"""),59.4167)</f>
        <v>59.4167</v>
      </c>
    </row>
    <row r="2607">
      <c r="A2607" s="1" t="s">
        <v>2606</v>
      </c>
      <c r="D2607" s="3">
        <f>IFERROR(__xludf.DUMMYFUNCTION("SPLIT(A2607, ""|"")"),43433.0)</f>
        <v>43433</v>
      </c>
      <c r="E2607" s="2">
        <f>IFERROR(__xludf.DUMMYFUNCTION("""COMPUTED_VALUE"""),1504203.0)</f>
        <v>1504203</v>
      </c>
      <c r="F2607" s="2">
        <f>IFERROR(__xludf.DUMMYFUNCTION("""COMPUTED_VALUE"""),5254394.0)</f>
        <v>5254394</v>
      </c>
      <c r="G2607" s="2">
        <f>IFERROR(__xludf.DUMMYFUNCTION("""COMPUTED_VALUE"""),33.0805)</f>
        <v>33.0805</v>
      </c>
    </row>
    <row r="2608">
      <c r="A2608" s="1" t="s">
        <v>2607</v>
      </c>
      <c r="D2608" s="3">
        <f>IFERROR(__xludf.DUMMYFUNCTION("SPLIT(A2608, ""|"")"),43433.0)</f>
        <v>43433</v>
      </c>
      <c r="E2608" s="2">
        <f>IFERROR(__xludf.DUMMYFUNCTION("""COMPUTED_VALUE"""),1797933.0)</f>
        <v>1797933</v>
      </c>
      <c r="F2608" s="2">
        <f>IFERROR(__xludf.DUMMYFUNCTION("""COMPUTED_VALUE"""),5254391.0)</f>
        <v>5254391</v>
      </c>
      <c r="G2608" s="2">
        <f>IFERROR(__xludf.DUMMYFUNCTION("""COMPUTED_VALUE"""),139.9934)</f>
        <v>139.9934</v>
      </c>
    </row>
    <row r="2609">
      <c r="A2609" s="1" t="s">
        <v>2608</v>
      </c>
      <c r="D2609" s="3">
        <f>IFERROR(__xludf.DUMMYFUNCTION("SPLIT(A2609, ""|"")"),43178.0)</f>
        <v>43178</v>
      </c>
      <c r="E2609" s="2">
        <f>IFERROR(__xludf.DUMMYFUNCTION("""COMPUTED_VALUE"""),91623.0)</f>
        <v>91623</v>
      </c>
      <c r="F2609" s="2">
        <f>IFERROR(__xludf.DUMMYFUNCTION("""COMPUTED_VALUE"""),4313707.0)</f>
        <v>4313707</v>
      </c>
      <c r="G2609" s="2">
        <f>IFERROR(__xludf.DUMMYFUNCTION("""COMPUTED_VALUE"""),34.6275)</f>
        <v>34.6275</v>
      </c>
    </row>
    <row r="2610">
      <c r="A2610" s="1" t="s">
        <v>2609</v>
      </c>
      <c r="D2610" s="3">
        <f>IFERROR(__xludf.DUMMYFUNCTION("SPLIT(A2610, ""|"")"),43178.0)</f>
        <v>43178</v>
      </c>
      <c r="E2610" s="2">
        <f>IFERROR(__xludf.DUMMYFUNCTION("""COMPUTED_VALUE"""),1553223.0)</f>
        <v>1553223</v>
      </c>
      <c r="F2610" s="2">
        <f>IFERROR(__xludf.DUMMYFUNCTION("""COMPUTED_VALUE"""),4311537.0)</f>
        <v>4311537</v>
      </c>
      <c r="G2610" s="2">
        <f>IFERROR(__xludf.DUMMYFUNCTION("""COMPUTED_VALUE"""),46.4681999999999)</f>
        <v>46.4682</v>
      </c>
    </row>
    <row r="2611">
      <c r="A2611" s="1" t="s">
        <v>2610</v>
      </c>
      <c r="D2611" s="3">
        <f>IFERROR(__xludf.DUMMYFUNCTION("SPLIT(A2611, ""|"")"),43178.0)</f>
        <v>43178</v>
      </c>
      <c r="E2611" s="2">
        <f>IFERROR(__xludf.DUMMYFUNCTION("""COMPUTED_VALUE"""),1323963.0)</f>
        <v>1323963</v>
      </c>
      <c r="F2611" s="2">
        <f>IFERROR(__xludf.DUMMYFUNCTION("""COMPUTED_VALUE"""),4311271.0)</f>
        <v>4311271</v>
      </c>
      <c r="G2611" s="2">
        <f>IFERROR(__xludf.DUMMYFUNCTION("""COMPUTED_VALUE"""),43.791)</f>
        <v>43.791</v>
      </c>
    </row>
    <row r="2612">
      <c r="A2612" s="1" t="s">
        <v>2611</v>
      </c>
      <c r="D2612" s="3">
        <f>IFERROR(__xludf.DUMMYFUNCTION("SPLIT(A2612, ""|"")"),43178.0)</f>
        <v>43178</v>
      </c>
      <c r="E2612" s="2">
        <f>IFERROR(__xludf.DUMMYFUNCTION("""COMPUTED_VALUE"""),384483.0)</f>
        <v>384483</v>
      </c>
      <c r="F2612" s="2">
        <f>IFERROR(__xludf.DUMMYFUNCTION("""COMPUTED_VALUE"""),4313784.0)</f>
        <v>4313784</v>
      </c>
      <c r="G2612" s="2">
        <f>IFERROR(__xludf.DUMMYFUNCTION("""COMPUTED_VALUE"""),148.9581)</f>
        <v>148.9581</v>
      </c>
    </row>
    <row r="2613">
      <c r="A2613" s="1" t="s">
        <v>2612</v>
      </c>
      <c r="D2613" s="3">
        <f>IFERROR(__xludf.DUMMYFUNCTION("SPLIT(A2613, ""|"")"),43434.0)</f>
        <v>43434</v>
      </c>
      <c r="E2613" s="2">
        <f>IFERROR(__xludf.DUMMYFUNCTION("""COMPUTED_VALUE"""),1417053.0)</f>
        <v>1417053</v>
      </c>
      <c r="F2613" s="2">
        <f>IFERROR(__xludf.DUMMYFUNCTION("""COMPUTED_VALUE"""),5258581.0)</f>
        <v>5258581</v>
      </c>
      <c r="G2613" s="2">
        <f>IFERROR(__xludf.DUMMYFUNCTION("""COMPUTED_VALUE"""),46.4282)</f>
        <v>46.4282</v>
      </c>
    </row>
    <row r="2614">
      <c r="A2614" s="1" t="s">
        <v>2613</v>
      </c>
      <c r="D2614" s="3">
        <f>IFERROR(__xludf.DUMMYFUNCTION("SPLIT(A2614, ""|"")"),43434.0)</f>
        <v>43434</v>
      </c>
      <c r="E2614" s="2">
        <f>IFERROR(__xludf.DUMMYFUNCTION("""COMPUTED_VALUE"""),1798953.0)</f>
        <v>1798953</v>
      </c>
      <c r="F2614" s="2">
        <f>IFERROR(__xludf.DUMMYFUNCTION("""COMPUTED_VALUE"""),5257690.0)</f>
        <v>5257690</v>
      </c>
      <c r="G2614" s="2">
        <f>IFERROR(__xludf.DUMMYFUNCTION("""COMPUTED_VALUE"""),65.5416)</f>
        <v>65.5416</v>
      </c>
    </row>
    <row r="2615">
      <c r="A2615" s="1" t="s">
        <v>2614</v>
      </c>
      <c r="D2615" s="3">
        <f>IFERROR(__xludf.DUMMYFUNCTION("SPLIT(A2615, ""|"")"),43434.0)</f>
        <v>43434</v>
      </c>
      <c r="E2615" s="2">
        <f>IFERROR(__xludf.DUMMYFUNCTION("""COMPUTED_VALUE"""),1144893.0)</f>
        <v>1144893</v>
      </c>
      <c r="F2615" s="2">
        <f>IFERROR(__xludf.DUMMYFUNCTION("""COMPUTED_VALUE"""),5259825.0)</f>
        <v>5259825</v>
      </c>
      <c r="G2615" s="2">
        <f>IFERROR(__xludf.DUMMYFUNCTION("""COMPUTED_VALUE"""),112.98)</f>
        <v>112.98</v>
      </c>
    </row>
    <row r="2616">
      <c r="A2616" s="1" t="s">
        <v>2615</v>
      </c>
      <c r="D2616" s="3">
        <f>IFERROR(__xludf.DUMMYFUNCTION("SPLIT(A2616, ""|"")"),43434.0)</f>
        <v>43434</v>
      </c>
      <c r="E2616" s="2">
        <f>IFERROR(__xludf.DUMMYFUNCTION("""COMPUTED_VALUE"""),1350603.0)</f>
        <v>1350603</v>
      </c>
      <c r="F2616" s="2">
        <f>IFERROR(__xludf.DUMMYFUNCTION("""COMPUTED_VALUE"""),5258824.0)</f>
        <v>5258824</v>
      </c>
      <c r="G2616" s="2">
        <f>IFERROR(__xludf.DUMMYFUNCTION("""COMPUTED_VALUE"""),38.7192)</f>
        <v>38.7192</v>
      </c>
    </row>
    <row r="2617">
      <c r="A2617" s="1" t="s">
        <v>2616</v>
      </c>
      <c r="D2617" s="3">
        <f>IFERROR(__xludf.DUMMYFUNCTION("SPLIT(A2617, ""|"")"),43434.0)</f>
        <v>43434</v>
      </c>
      <c r="E2617" s="2">
        <f>IFERROR(__xludf.DUMMYFUNCTION("""COMPUTED_VALUE"""),430593.0)</f>
        <v>430593</v>
      </c>
      <c r="F2617" s="2">
        <f>IFERROR(__xludf.DUMMYFUNCTION("""COMPUTED_VALUE"""),5259481.0)</f>
        <v>5259481</v>
      </c>
      <c r="G2617" s="2">
        <f>IFERROR(__xludf.DUMMYFUNCTION("""COMPUTED_VALUE"""),60.8182)</f>
        <v>60.8182</v>
      </c>
    </row>
    <row r="2618">
      <c r="A2618" s="1" t="s">
        <v>2617</v>
      </c>
      <c r="D2618" s="3">
        <f>IFERROR(__xludf.DUMMYFUNCTION("SPLIT(A2618, ""|"")"),43434.0)</f>
        <v>43434</v>
      </c>
      <c r="E2618" s="2">
        <f>IFERROR(__xludf.DUMMYFUNCTION("""COMPUTED_VALUE"""),1799403.0)</f>
        <v>1799403</v>
      </c>
      <c r="F2618" s="2">
        <f>IFERROR(__xludf.DUMMYFUNCTION("""COMPUTED_VALUE"""),5259148.0)</f>
        <v>5259148</v>
      </c>
      <c r="G2618" s="2">
        <f>IFERROR(__xludf.DUMMYFUNCTION("""COMPUTED_VALUE"""),65.9927)</f>
        <v>65.9927</v>
      </c>
    </row>
    <row r="2619">
      <c r="A2619" s="1" t="s">
        <v>2618</v>
      </c>
      <c r="D2619" s="3">
        <f>IFERROR(__xludf.DUMMYFUNCTION("SPLIT(A2619, ""|"")"),43434.0)</f>
        <v>43434</v>
      </c>
      <c r="E2619" s="2">
        <f>IFERROR(__xludf.DUMMYFUNCTION("""COMPUTED_VALUE"""),1799373.0)</f>
        <v>1799373</v>
      </c>
      <c r="F2619" s="2">
        <f>IFERROR(__xludf.DUMMYFUNCTION("""COMPUTED_VALUE"""),5259164.0)</f>
        <v>5259164</v>
      </c>
      <c r="G2619" s="2">
        <f>IFERROR(__xludf.DUMMYFUNCTION("""COMPUTED_VALUE"""),63.0417)</f>
        <v>63.0417</v>
      </c>
    </row>
    <row r="2620">
      <c r="A2620" s="1" t="s">
        <v>2619</v>
      </c>
      <c r="D2620" s="3">
        <f>IFERROR(__xludf.DUMMYFUNCTION("SPLIT(A2620, ""|"")"),43434.0)</f>
        <v>43434</v>
      </c>
      <c r="E2620" s="2">
        <f>IFERROR(__xludf.DUMMYFUNCTION("""COMPUTED_VALUE"""),1491483.0)</f>
        <v>1491483</v>
      </c>
      <c r="F2620" s="2">
        <f>IFERROR(__xludf.DUMMYFUNCTION("""COMPUTED_VALUE"""),5258852.0)</f>
        <v>5258852</v>
      </c>
      <c r="G2620" s="2">
        <f>IFERROR(__xludf.DUMMYFUNCTION("""COMPUTED_VALUE"""),111.133199999999)</f>
        <v>111.1332</v>
      </c>
    </row>
    <row r="2621">
      <c r="A2621" s="1" t="s">
        <v>2620</v>
      </c>
      <c r="D2621" s="3">
        <f>IFERROR(__xludf.DUMMYFUNCTION("SPLIT(A2621, ""|"")"),43434.0)</f>
        <v>43434</v>
      </c>
      <c r="E2621" s="2">
        <f>IFERROR(__xludf.DUMMYFUNCTION("""COMPUTED_VALUE"""),1350603.0)</f>
        <v>1350603</v>
      </c>
      <c r="F2621" s="2">
        <f>IFERROR(__xludf.DUMMYFUNCTION("""COMPUTED_VALUE"""),5258558.0)</f>
        <v>5258558</v>
      </c>
      <c r="G2621" s="2">
        <f>IFERROR(__xludf.DUMMYFUNCTION("""COMPUTED_VALUE"""),23.1249)</f>
        <v>23.1249</v>
      </c>
    </row>
    <row r="2622">
      <c r="A2622" s="1" t="s">
        <v>2621</v>
      </c>
      <c r="D2622" s="3">
        <f>IFERROR(__xludf.DUMMYFUNCTION("SPLIT(A2622, ""|"")"),43179.0)</f>
        <v>43179</v>
      </c>
      <c r="E2622" s="2">
        <f>IFERROR(__xludf.DUMMYFUNCTION("""COMPUTED_VALUE"""),1478673.0)</f>
        <v>1478673</v>
      </c>
      <c r="F2622" s="2">
        <f>IFERROR(__xludf.DUMMYFUNCTION("""COMPUTED_VALUE"""),4316119.0)</f>
        <v>4316119</v>
      </c>
      <c r="G2622" s="2">
        <f>IFERROR(__xludf.DUMMYFUNCTION("""COMPUTED_VALUE"""),115.985599999999)</f>
        <v>115.9856</v>
      </c>
    </row>
    <row r="2623">
      <c r="A2623" s="1" t="s">
        <v>2622</v>
      </c>
      <c r="D2623" s="3">
        <f>IFERROR(__xludf.DUMMYFUNCTION("SPLIT(A2623, ""|"")"),43179.0)</f>
        <v>43179</v>
      </c>
      <c r="E2623" s="2">
        <f>IFERROR(__xludf.DUMMYFUNCTION("""COMPUTED_VALUE"""),1328943.0)</f>
        <v>1328943</v>
      </c>
      <c r="F2623" s="2">
        <f>IFERROR(__xludf.DUMMYFUNCTION("""COMPUTED_VALUE"""),4314759.0)</f>
        <v>4314759</v>
      </c>
      <c r="G2623" s="2">
        <f>IFERROR(__xludf.DUMMYFUNCTION("""COMPUTED_VALUE"""),68.3124)</f>
        <v>68.3124</v>
      </c>
    </row>
    <row r="2624">
      <c r="A2624" s="1" t="s">
        <v>2623</v>
      </c>
      <c r="D2624" s="3">
        <f>IFERROR(__xludf.DUMMYFUNCTION("SPLIT(A2624, ""|"")"),43179.0)</f>
        <v>43179</v>
      </c>
      <c r="E2624" s="2">
        <f>IFERROR(__xludf.DUMMYFUNCTION("""COMPUTED_VALUE"""),1554063.0)</f>
        <v>1554063</v>
      </c>
      <c r="F2624" s="2">
        <f>IFERROR(__xludf.DUMMYFUNCTION("""COMPUTED_VALUE"""),4314852.0)</f>
        <v>4314852</v>
      </c>
      <c r="G2624" s="2">
        <f>IFERROR(__xludf.DUMMYFUNCTION("""COMPUTED_VALUE"""),79.408)</f>
        <v>79.408</v>
      </c>
    </row>
    <row r="2625">
      <c r="A2625" s="1" t="s">
        <v>2624</v>
      </c>
      <c r="D2625" s="3">
        <f>IFERROR(__xludf.DUMMYFUNCTION("SPLIT(A2625, ""|"")"),43435.0)</f>
        <v>43435</v>
      </c>
      <c r="E2625" s="2">
        <f>IFERROR(__xludf.DUMMYFUNCTION("""COMPUTED_VALUE"""),471153.0)</f>
        <v>471153</v>
      </c>
      <c r="F2625" s="2">
        <f>IFERROR(__xludf.DUMMYFUNCTION("""COMPUTED_VALUE"""),5263832.0)</f>
        <v>5263832</v>
      </c>
      <c r="G2625" s="2">
        <f>IFERROR(__xludf.DUMMYFUNCTION("""COMPUTED_VALUE"""),92.6666)</f>
        <v>92.6666</v>
      </c>
    </row>
    <row r="2626">
      <c r="A2626" s="1" t="s">
        <v>2625</v>
      </c>
      <c r="D2626" s="3">
        <f>IFERROR(__xludf.DUMMYFUNCTION("SPLIT(A2626, ""|"")"),43435.0)</f>
        <v>43435</v>
      </c>
      <c r="E2626" s="2">
        <f>IFERROR(__xludf.DUMMYFUNCTION("""COMPUTED_VALUE"""),430593.0)</f>
        <v>430593</v>
      </c>
      <c r="F2626" s="2">
        <f>IFERROR(__xludf.DUMMYFUNCTION("""COMPUTED_VALUE"""),5261905.0)</f>
        <v>5261905</v>
      </c>
      <c r="G2626" s="2">
        <f>IFERROR(__xludf.DUMMYFUNCTION("""COMPUTED_VALUE"""),59.9167)</f>
        <v>59.9167</v>
      </c>
    </row>
    <row r="2627">
      <c r="A2627" s="1" t="s">
        <v>2626</v>
      </c>
      <c r="D2627" s="3">
        <f>IFERROR(__xludf.DUMMYFUNCTION("SPLIT(A2627, ""|"")"),43435.0)</f>
        <v>43435</v>
      </c>
      <c r="E2627" s="2">
        <f>IFERROR(__xludf.DUMMYFUNCTION("""COMPUTED_VALUE"""),491553.0)</f>
        <v>491553</v>
      </c>
      <c r="F2627" s="2">
        <f>IFERROR(__xludf.DUMMYFUNCTION("""COMPUTED_VALUE"""),5262484.0)</f>
        <v>5262484</v>
      </c>
      <c r="G2627" s="2">
        <f>IFERROR(__xludf.DUMMYFUNCTION("""COMPUTED_VALUE"""),73.9491)</f>
        <v>73.9491</v>
      </c>
    </row>
    <row r="2628">
      <c r="A2628" s="1" t="s">
        <v>2627</v>
      </c>
      <c r="D2628" s="3">
        <f>IFERROR(__xludf.DUMMYFUNCTION("SPLIT(A2628, ""|"")"),43435.0)</f>
        <v>43435</v>
      </c>
      <c r="E2628" s="2">
        <f>IFERROR(__xludf.DUMMYFUNCTION("""COMPUTED_VALUE"""),1168623.0)</f>
        <v>1168623</v>
      </c>
      <c r="F2628" s="2">
        <f>IFERROR(__xludf.DUMMYFUNCTION("""COMPUTED_VALUE"""),5263404.0)</f>
        <v>5263404</v>
      </c>
      <c r="G2628" s="2">
        <f>IFERROR(__xludf.DUMMYFUNCTION("""COMPUTED_VALUE"""),51.8025)</f>
        <v>51.8025</v>
      </c>
    </row>
    <row r="2629">
      <c r="A2629" s="1" t="s">
        <v>2628</v>
      </c>
      <c r="D2629" s="3">
        <f>IFERROR(__xludf.DUMMYFUNCTION("SPLIT(A2629, ""|"")"),43435.0)</f>
        <v>43435</v>
      </c>
      <c r="E2629" s="2">
        <f>IFERROR(__xludf.DUMMYFUNCTION("""COMPUTED_VALUE"""),1676793.0)</f>
        <v>1676793</v>
      </c>
      <c r="F2629" s="2">
        <f>IFERROR(__xludf.DUMMYFUNCTION("""COMPUTED_VALUE"""),5260970.0)</f>
        <v>5260970</v>
      </c>
      <c r="G2629" s="2">
        <f>IFERROR(__xludf.DUMMYFUNCTION("""COMPUTED_VALUE"""),67.3494)</f>
        <v>67.3494</v>
      </c>
    </row>
    <row r="2630">
      <c r="A2630" s="1" t="s">
        <v>2629</v>
      </c>
      <c r="D2630" s="3">
        <f>IFERROR(__xludf.DUMMYFUNCTION("SPLIT(A2630, ""|"")"),43435.0)</f>
        <v>43435</v>
      </c>
      <c r="E2630" s="2">
        <f>IFERROR(__xludf.DUMMYFUNCTION("""COMPUTED_VALUE"""),1795413.0)</f>
        <v>1795413</v>
      </c>
      <c r="F2630" s="2">
        <f>IFERROR(__xludf.DUMMYFUNCTION("""COMPUTED_VALUE"""),5260832.0)</f>
        <v>5260832</v>
      </c>
      <c r="G2630" s="2">
        <f>IFERROR(__xludf.DUMMYFUNCTION("""COMPUTED_VALUE"""),42.3583)</f>
        <v>42.3583</v>
      </c>
    </row>
    <row r="2631">
      <c r="A2631" s="1" t="s">
        <v>2630</v>
      </c>
      <c r="D2631" s="3">
        <f>IFERROR(__xludf.DUMMYFUNCTION("SPLIT(A2631, ""|"")"),43435.0)</f>
        <v>43435</v>
      </c>
      <c r="E2631" s="2">
        <f>IFERROR(__xludf.DUMMYFUNCTION("""COMPUTED_VALUE"""),1801023.0)</f>
        <v>1801023</v>
      </c>
      <c r="F2631" s="2">
        <f>IFERROR(__xludf.DUMMYFUNCTION("""COMPUTED_VALUE"""),5264167.0)</f>
        <v>5264167</v>
      </c>
      <c r="G2631" s="2">
        <f>IFERROR(__xludf.DUMMYFUNCTION("""COMPUTED_VALUE"""),13.6193)</f>
        <v>13.6193</v>
      </c>
    </row>
    <row r="2632">
      <c r="A2632" s="1" t="s">
        <v>2631</v>
      </c>
      <c r="D2632" s="3">
        <f>IFERROR(__xludf.DUMMYFUNCTION("SPLIT(A2632, ""|"")"),43435.0)</f>
        <v>43435</v>
      </c>
      <c r="E2632" s="2">
        <f>IFERROR(__xludf.DUMMYFUNCTION("""COMPUTED_VALUE"""),1800303.0)</f>
        <v>1800303</v>
      </c>
      <c r="F2632" s="2">
        <f>IFERROR(__xludf.DUMMYFUNCTION("""COMPUTED_VALUE"""),5261898.0)</f>
        <v>5261898</v>
      </c>
      <c r="G2632" s="2">
        <f>IFERROR(__xludf.DUMMYFUNCTION("""COMPUTED_VALUE"""),17.7468)</f>
        <v>17.7468</v>
      </c>
    </row>
    <row r="2633">
      <c r="A2633" s="1" t="s">
        <v>2632</v>
      </c>
      <c r="D2633" s="3">
        <f>IFERROR(__xludf.DUMMYFUNCTION("SPLIT(A2633, ""|"")"),43435.0)</f>
        <v>43435</v>
      </c>
      <c r="E2633" s="2">
        <f>IFERROR(__xludf.DUMMYFUNCTION("""COMPUTED_VALUE"""),1040313.0)</f>
        <v>1040313</v>
      </c>
      <c r="F2633" s="2">
        <f>IFERROR(__xludf.DUMMYFUNCTION("""COMPUTED_VALUE"""),5262568.0)</f>
        <v>5262568</v>
      </c>
      <c r="G2633" s="2">
        <f>IFERROR(__xludf.DUMMYFUNCTION("""COMPUTED_VALUE"""),107.3149)</f>
        <v>107.3149</v>
      </c>
    </row>
    <row r="2634">
      <c r="A2634" s="1" t="s">
        <v>2633</v>
      </c>
      <c r="D2634" s="3">
        <f>IFERROR(__xludf.DUMMYFUNCTION("SPLIT(A2634, ""|"")"),43435.0)</f>
        <v>43435</v>
      </c>
      <c r="E2634" s="2">
        <f>IFERROR(__xludf.DUMMYFUNCTION("""COMPUTED_VALUE"""),1800393.0)</f>
        <v>1800393</v>
      </c>
      <c r="F2634" s="2">
        <f>IFERROR(__xludf.DUMMYFUNCTION("""COMPUTED_VALUE"""),5262293.0)</f>
        <v>5262293</v>
      </c>
      <c r="G2634" s="2">
        <f>IFERROR(__xludf.DUMMYFUNCTION("""COMPUTED_VALUE"""),33.585)</f>
        <v>33.585</v>
      </c>
    </row>
    <row r="2635">
      <c r="A2635" s="1" t="s">
        <v>2634</v>
      </c>
      <c r="D2635" s="3">
        <f>IFERROR(__xludf.DUMMYFUNCTION("SPLIT(A2635, ""|"")"),43180.0)</f>
        <v>43180</v>
      </c>
      <c r="E2635" s="2">
        <f>IFERROR(__xludf.DUMMYFUNCTION("""COMPUTED_VALUE"""),1344573.0)</f>
        <v>1344573</v>
      </c>
      <c r="F2635" s="2">
        <f>IFERROR(__xludf.DUMMYFUNCTION("""COMPUTED_VALUE"""),4318780.0)</f>
        <v>4318780</v>
      </c>
      <c r="G2635" s="2">
        <f>IFERROR(__xludf.DUMMYFUNCTION("""COMPUTED_VALUE"""),105.2052)</f>
        <v>105.2052</v>
      </c>
    </row>
    <row r="2636">
      <c r="A2636" s="1" t="s">
        <v>2635</v>
      </c>
      <c r="D2636" s="3">
        <f>IFERROR(__xludf.DUMMYFUNCTION("SPLIT(A2636, ""|"")"),43180.0)</f>
        <v>43180</v>
      </c>
      <c r="E2636" s="2">
        <f>IFERROR(__xludf.DUMMYFUNCTION("""COMPUTED_VALUE"""),1127043.0)</f>
        <v>1127043</v>
      </c>
      <c r="F2636" s="2">
        <f>IFERROR(__xludf.DUMMYFUNCTION("""COMPUTED_VALUE"""),4318234.0)</f>
        <v>4318234</v>
      </c>
      <c r="G2636" s="2">
        <f>IFERROR(__xludf.DUMMYFUNCTION("""COMPUTED_VALUE"""),107.4941)</f>
        <v>107.4941</v>
      </c>
    </row>
    <row r="2637">
      <c r="A2637" s="1" t="s">
        <v>2636</v>
      </c>
      <c r="D2637" s="3">
        <f>IFERROR(__xludf.DUMMYFUNCTION("SPLIT(A2637, ""|"")"),43180.0)</f>
        <v>43180</v>
      </c>
      <c r="E2637" s="2">
        <f>IFERROR(__xludf.DUMMYFUNCTION("""COMPUTED_VALUE"""),1555263.0)</f>
        <v>1555263</v>
      </c>
      <c r="F2637" s="2">
        <f>IFERROR(__xludf.DUMMYFUNCTION("""COMPUTED_VALUE"""),4319094.0)</f>
        <v>4319094</v>
      </c>
      <c r="G2637" s="2">
        <f>IFERROR(__xludf.DUMMYFUNCTION("""COMPUTED_VALUE"""),2.3364)</f>
        <v>2.3364</v>
      </c>
    </row>
    <row r="2638">
      <c r="A2638" s="1" t="s">
        <v>2637</v>
      </c>
      <c r="D2638" s="3">
        <f>IFERROR(__xludf.DUMMYFUNCTION("SPLIT(A2638, ""|"")"),43180.0)</f>
        <v>43180</v>
      </c>
      <c r="E2638" s="2">
        <f>IFERROR(__xludf.DUMMYFUNCTION("""COMPUTED_VALUE"""),1555323.0)</f>
        <v>1555323</v>
      </c>
      <c r="F2638" s="2">
        <f>IFERROR(__xludf.DUMMYFUNCTION("""COMPUTED_VALUE"""),4319295.0)</f>
        <v>4319295</v>
      </c>
      <c r="G2638" s="2">
        <f>IFERROR(__xludf.DUMMYFUNCTION("""COMPUTED_VALUE"""),38.6842)</f>
        <v>38.6842</v>
      </c>
    </row>
    <row r="2639">
      <c r="A2639" s="1" t="s">
        <v>2638</v>
      </c>
      <c r="D2639" s="3">
        <f>IFERROR(__xludf.DUMMYFUNCTION("SPLIT(A2639, ""|"")"),43180.0)</f>
        <v>43180</v>
      </c>
      <c r="E2639" s="2">
        <f>IFERROR(__xludf.DUMMYFUNCTION("""COMPUTED_VALUE"""),1555053.0)</f>
        <v>1555053</v>
      </c>
      <c r="F2639" s="2">
        <f>IFERROR(__xludf.DUMMYFUNCTION("""COMPUTED_VALUE"""),4318379.0)</f>
        <v>4318379</v>
      </c>
      <c r="G2639" s="2">
        <f>IFERROR(__xludf.DUMMYFUNCTION("""COMPUTED_VALUE"""),16.3628)</f>
        <v>16.3628</v>
      </c>
    </row>
    <row r="2640">
      <c r="A2640" s="1" t="s">
        <v>2639</v>
      </c>
      <c r="D2640" s="3">
        <f>IFERROR(__xludf.DUMMYFUNCTION("SPLIT(A2640, ""|"")"),43180.0)</f>
        <v>43180</v>
      </c>
      <c r="E2640" s="2">
        <f>IFERROR(__xludf.DUMMYFUNCTION("""COMPUTED_VALUE"""),1368693.0)</f>
        <v>1368693</v>
      </c>
      <c r="F2640" s="2">
        <f>IFERROR(__xludf.DUMMYFUNCTION("""COMPUTED_VALUE"""),4317517.0)</f>
        <v>4317517</v>
      </c>
      <c r="G2640" s="2">
        <f>IFERROR(__xludf.DUMMYFUNCTION("""COMPUTED_VALUE"""),43.577)</f>
        <v>43.577</v>
      </c>
    </row>
    <row r="2641">
      <c r="A2641" s="1" t="s">
        <v>2640</v>
      </c>
      <c r="D2641" s="3">
        <f>IFERROR(__xludf.DUMMYFUNCTION("SPLIT(A2641, ""|"")"),43180.0)</f>
        <v>43180</v>
      </c>
      <c r="E2641" s="2">
        <f>IFERROR(__xludf.DUMMYFUNCTION("""COMPUTED_VALUE"""),1406463.0)</f>
        <v>1406463</v>
      </c>
      <c r="F2641" s="2">
        <f>IFERROR(__xludf.DUMMYFUNCTION("""COMPUTED_VALUE"""),4317556.0)</f>
        <v>4317556</v>
      </c>
      <c r="G2641" s="2">
        <f>IFERROR(__xludf.DUMMYFUNCTION("""COMPUTED_VALUE"""),24.2843)</f>
        <v>24.2843</v>
      </c>
    </row>
    <row r="2642">
      <c r="A2642" s="1" t="s">
        <v>2641</v>
      </c>
      <c r="D2642" s="3">
        <f>IFERROR(__xludf.DUMMYFUNCTION("SPLIT(A2642, ""|"")"),43436.0)</f>
        <v>43436</v>
      </c>
      <c r="E2642" s="2">
        <f>IFERROR(__xludf.DUMMYFUNCTION("""COMPUTED_VALUE"""),1173993.0)</f>
        <v>1173993</v>
      </c>
      <c r="F2642" s="2">
        <f>IFERROR(__xludf.DUMMYFUNCTION("""COMPUTED_VALUE"""),5264710.0)</f>
        <v>5264710</v>
      </c>
      <c r="G2642" s="2">
        <f>IFERROR(__xludf.DUMMYFUNCTION("""COMPUTED_VALUE"""),14.0833)</f>
        <v>14.0833</v>
      </c>
    </row>
    <row r="2643">
      <c r="A2643" s="1" t="s">
        <v>2642</v>
      </c>
      <c r="D2643" s="3">
        <f>IFERROR(__xludf.DUMMYFUNCTION("SPLIT(A2643, ""|"")"),43436.0)</f>
        <v>43436</v>
      </c>
      <c r="E2643" s="2">
        <f>IFERROR(__xludf.DUMMYFUNCTION("""COMPUTED_VALUE"""),1427553.0)</f>
        <v>1427553</v>
      </c>
      <c r="F2643" s="2">
        <f>IFERROR(__xludf.DUMMYFUNCTION("""COMPUTED_VALUE"""),5267571.0)</f>
        <v>5267571</v>
      </c>
      <c r="G2643" s="2">
        <f>IFERROR(__xludf.DUMMYFUNCTION("""COMPUTED_VALUE"""),102.5037)</f>
        <v>102.5037</v>
      </c>
    </row>
    <row r="2644">
      <c r="A2644" s="1" t="s">
        <v>2643</v>
      </c>
      <c r="D2644" s="3">
        <f>IFERROR(__xludf.DUMMYFUNCTION("SPLIT(A2644, ""|"")"),43436.0)</f>
        <v>43436</v>
      </c>
      <c r="E2644" s="2">
        <f>IFERROR(__xludf.DUMMYFUNCTION("""COMPUTED_VALUE"""),1801743.0)</f>
        <v>1801743</v>
      </c>
      <c r="F2644" s="2">
        <f>IFERROR(__xludf.DUMMYFUNCTION("""COMPUTED_VALUE"""),5266741.0)</f>
        <v>5266741</v>
      </c>
      <c r="G2644" s="2">
        <f>IFERROR(__xludf.DUMMYFUNCTION("""COMPUTED_VALUE"""),148.1283)</f>
        <v>148.1283</v>
      </c>
    </row>
    <row r="2645">
      <c r="A2645" s="1" t="s">
        <v>2644</v>
      </c>
      <c r="D2645" s="3">
        <f>IFERROR(__xludf.DUMMYFUNCTION("SPLIT(A2645, ""|"")"),43436.0)</f>
        <v>43436</v>
      </c>
      <c r="E2645" s="2">
        <f>IFERROR(__xludf.DUMMYFUNCTION("""COMPUTED_VALUE"""),1350243.0)</f>
        <v>1350243</v>
      </c>
      <c r="F2645" s="2">
        <f>IFERROR(__xludf.DUMMYFUNCTION("""COMPUTED_VALUE"""),5269442.0)</f>
        <v>5269442</v>
      </c>
      <c r="G2645" s="2">
        <f>IFERROR(__xludf.DUMMYFUNCTION("""COMPUTED_VALUE"""),72.7664)</f>
        <v>72.7664</v>
      </c>
    </row>
    <row r="2646">
      <c r="A2646" s="1" t="s">
        <v>2645</v>
      </c>
      <c r="D2646" s="3">
        <f>IFERROR(__xludf.DUMMYFUNCTION("SPLIT(A2646, ""|"")"),43436.0)</f>
        <v>43436</v>
      </c>
      <c r="E2646" s="2">
        <f>IFERROR(__xludf.DUMMYFUNCTION("""COMPUTED_VALUE"""),1747713.0)</f>
        <v>1747713</v>
      </c>
      <c r="F2646" s="2">
        <f>IFERROR(__xludf.DUMMYFUNCTION("""COMPUTED_VALUE"""),5268731.0)</f>
        <v>5268731</v>
      </c>
      <c r="G2646" s="2">
        <f>IFERROR(__xludf.DUMMYFUNCTION("""COMPUTED_VALUE"""),62.742)</f>
        <v>62.742</v>
      </c>
    </row>
    <row r="2647">
      <c r="A2647" s="1" t="s">
        <v>2646</v>
      </c>
      <c r="D2647" s="3">
        <f>IFERROR(__xludf.DUMMYFUNCTION("SPLIT(A2647, ""|"")"),43436.0)</f>
        <v>43436</v>
      </c>
      <c r="E2647" s="2">
        <f>IFERROR(__xludf.DUMMYFUNCTION("""COMPUTED_VALUE"""),1801923.0)</f>
        <v>1801923</v>
      </c>
      <c r="F2647" s="2">
        <f>IFERROR(__xludf.DUMMYFUNCTION("""COMPUTED_VALUE"""),5267320.0)</f>
        <v>5267320</v>
      </c>
      <c r="G2647" s="2">
        <f>IFERROR(__xludf.DUMMYFUNCTION("""COMPUTED_VALUE"""),50.25)</f>
        <v>50.25</v>
      </c>
    </row>
    <row r="2648">
      <c r="A2648" s="1" t="s">
        <v>2647</v>
      </c>
      <c r="D2648" s="3">
        <f>IFERROR(__xludf.DUMMYFUNCTION("SPLIT(A2648, ""|"")"),43436.0)</f>
        <v>43436</v>
      </c>
      <c r="E2648" s="2">
        <f>IFERROR(__xludf.DUMMYFUNCTION("""COMPUTED_VALUE"""),1802433.0)</f>
        <v>1802433</v>
      </c>
      <c r="F2648" s="2">
        <f>IFERROR(__xludf.DUMMYFUNCTION("""COMPUTED_VALUE"""),5269192.0)</f>
        <v>5269192</v>
      </c>
      <c r="G2648" s="2">
        <f>IFERROR(__xludf.DUMMYFUNCTION("""COMPUTED_VALUE"""),42.1631)</f>
        <v>42.1631</v>
      </c>
    </row>
    <row r="2649">
      <c r="A2649" s="1" t="s">
        <v>2648</v>
      </c>
      <c r="D2649" s="3">
        <f>IFERROR(__xludf.DUMMYFUNCTION("SPLIT(A2649, ""|"")"),43436.0)</f>
        <v>43436</v>
      </c>
      <c r="E2649" s="2">
        <f>IFERROR(__xludf.DUMMYFUNCTION("""COMPUTED_VALUE"""),1738923.0)</f>
        <v>1738923</v>
      </c>
      <c r="F2649" s="2">
        <f>IFERROR(__xludf.DUMMYFUNCTION("""COMPUTED_VALUE"""),5266659.0)</f>
        <v>5266659</v>
      </c>
      <c r="G2649" s="2">
        <f>IFERROR(__xludf.DUMMYFUNCTION("""COMPUTED_VALUE"""),28.2736)</f>
        <v>28.2736</v>
      </c>
    </row>
    <row r="2650">
      <c r="A2650" s="1" t="s">
        <v>2649</v>
      </c>
      <c r="D2650" s="3">
        <f>IFERROR(__xludf.DUMMYFUNCTION("SPLIT(A2650, ""|"")"),43436.0)</f>
        <v>43436</v>
      </c>
      <c r="E2650" s="2">
        <f>IFERROR(__xludf.DUMMYFUNCTION("""COMPUTED_VALUE"""),260553.0)</f>
        <v>260553</v>
      </c>
      <c r="F2650" s="2">
        <f>IFERROR(__xludf.DUMMYFUNCTION("""COMPUTED_VALUE"""),5264518.0)</f>
        <v>5264518</v>
      </c>
      <c r="G2650" s="2">
        <f>IFERROR(__xludf.DUMMYFUNCTION("""COMPUTED_VALUE"""),62.4083)</f>
        <v>62.4083</v>
      </c>
    </row>
    <row r="2651">
      <c r="A2651" s="1" t="s">
        <v>2650</v>
      </c>
      <c r="D2651" s="3">
        <f>IFERROR(__xludf.DUMMYFUNCTION("SPLIT(A2651, ""|"")"),43436.0)</f>
        <v>43436</v>
      </c>
      <c r="E2651" s="2">
        <f>IFERROR(__xludf.DUMMYFUNCTION("""COMPUTED_VALUE"""),44823.0)</f>
        <v>44823</v>
      </c>
      <c r="F2651" s="2">
        <f>IFERROR(__xludf.DUMMYFUNCTION("""COMPUTED_VALUE"""),5268917.0)</f>
        <v>5268917</v>
      </c>
      <c r="G2651" s="2">
        <f>IFERROR(__xludf.DUMMYFUNCTION("""COMPUTED_VALUE"""),92.967)</f>
        <v>92.967</v>
      </c>
    </row>
    <row r="2652">
      <c r="A2652" s="1" t="s">
        <v>2651</v>
      </c>
      <c r="D2652" s="3">
        <f>IFERROR(__xludf.DUMMYFUNCTION("SPLIT(A2652, ""|"")"),43436.0)</f>
        <v>43436</v>
      </c>
      <c r="E2652" s="2">
        <f>IFERROR(__xludf.DUMMYFUNCTION("""COMPUTED_VALUE"""),1253943.0)</f>
        <v>1253943</v>
      </c>
      <c r="F2652" s="2">
        <f>IFERROR(__xludf.DUMMYFUNCTION("""COMPUTED_VALUE"""),5264858.0)</f>
        <v>5264858</v>
      </c>
      <c r="G2652" s="2">
        <f>IFERROR(__xludf.DUMMYFUNCTION("""COMPUTED_VALUE"""),69.6875)</f>
        <v>69.6875</v>
      </c>
    </row>
    <row r="2653">
      <c r="A2653" s="1" t="s">
        <v>2652</v>
      </c>
      <c r="D2653" s="3">
        <f>IFERROR(__xludf.DUMMYFUNCTION("SPLIT(A2653, ""|"")"),43436.0)</f>
        <v>43436</v>
      </c>
      <c r="E2653" s="2">
        <f>IFERROR(__xludf.DUMMYFUNCTION("""COMPUTED_VALUE"""),1801473.0)</f>
        <v>1801473</v>
      </c>
      <c r="F2653" s="2">
        <f>IFERROR(__xludf.DUMMYFUNCTION("""COMPUTED_VALUE"""),5265848.0)</f>
        <v>5265848</v>
      </c>
      <c r="G2653" s="2">
        <f>IFERROR(__xludf.DUMMYFUNCTION("""COMPUTED_VALUE"""),54.9782)</f>
        <v>54.9782</v>
      </c>
    </row>
    <row r="2654">
      <c r="A2654" s="1" t="s">
        <v>2653</v>
      </c>
      <c r="D2654" s="3">
        <f>IFERROR(__xludf.DUMMYFUNCTION("SPLIT(A2654, ""|"")"),42925.0)</f>
        <v>42925</v>
      </c>
      <c r="E2654" s="2">
        <f>IFERROR(__xludf.DUMMYFUNCTION("""COMPUTED_VALUE"""),1184643.0)</f>
        <v>1184643</v>
      </c>
      <c r="F2654" s="2">
        <f>IFERROR(__xludf.DUMMYFUNCTION("""COMPUTED_VALUE"""),3633316.0)</f>
        <v>3633316</v>
      </c>
      <c r="G2654" s="2">
        <f>IFERROR(__xludf.DUMMYFUNCTION("""COMPUTED_VALUE"""),167.4862)</f>
        <v>167.4862</v>
      </c>
    </row>
    <row r="2655">
      <c r="A2655" s="1" t="s">
        <v>2654</v>
      </c>
      <c r="D2655" s="3">
        <f>IFERROR(__xludf.DUMMYFUNCTION("SPLIT(A2655, ""|"")"),42925.0)</f>
        <v>42925</v>
      </c>
      <c r="E2655" s="2">
        <f>IFERROR(__xludf.DUMMYFUNCTION("""COMPUTED_VALUE"""),436233.0)</f>
        <v>436233</v>
      </c>
      <c r="F2655" s="2">
        <f>IFERROR(__xludf.DUMMYFUNCTION("""COMPUTED_VALUE"""),3632920.0)</f>
        <v>3632920</v>
      </c>
      <c r="G2655" s="2">
        <f>IFERROR(__xludf.DUMMYFUNCTION("""COMPUTED_VALUE"""),249.1666)</f>
        <v>249.1666</v>
      </c>
    </row>
    <row r="2656">
      <c r="A2656" s="1" t="s">
        <v>2655</v>
      </c>
      <c r="D2656" s="3">
        <f>IFERROR(__xludf.DUMMYFUNCTION("SPLIT(A2656, ""|"")"),42925.0)</f>
        <v>42925</v>
      </c>
      <c r="E2656" s="2">
        <f>IFERROR(__xludf.DUMMYFUNCTION("""COMPUTED_VALUE"""),1374543.0)</f>
        <v>1374543</v>
      </c>
      <c r="F2656" s="2">
        <f>IFERROR(__xludf.DUMMYFUNCTION("""COMPUTED_VALUE"""),3634323.0)</f>
        <v>3634323</v>
      </c>
      <c r="G2656" s="2">
        <f>IFERROR(__xludf.DUMMYFUNCTION("""COMPUTED_VALUE"""),46.8626)</f>
        <v>46.8626</v>
      </c>
    </row>
    <row r="2657">
      <c r="A2657" s="1" t="s">
        <v>2656</v>
      </c>
      <c r="D2657" s="3">
        <f>IFERROR(__xludf.DUMMYFUNCTION("SPLIT(A2657, ""|"")"),42925.0)</f>
        <v>42925</v>
      </c>
      <c r="E2657" s="2">
        <f>IFERROR(__xludf.DUMMYFUNCTION("""COMPUTED_VALUE"""),234783.0)</f>
        <v>234783</v>
      </c>
      <c r="F2657" s="2">
        <f>IFERROR(__xludf.DUMMYFUNCTION("""COMPUTED_VALUE"""),3632264.0)</f>
        <v>3632264</v>
      </c>
      <c r="G2657" s="2">
        <f>IFERROR(__xludf.DUMMYFUNCTION("""COMPUTED_VALUE"""),78.5866)</f>
        <v>78.5866</v>
      </c>
    </row>
    <row r="2658">
      <c r="A2658" s="1" t="s">
        <v>2657</v>
      </c>
      <c r="D2658" s="3">
        <f>IFERROR(__xludf.DUMMYFUNCTION("SPLIT(A2658, ""|"")"),42925.0)</f>
        <v>42925</v>
      </c>
      <c r="E2658" s="2">
        <f>IFERROR(__xludf.DUMMYFUNCTION("""COMPUTED_VALUE"""),1330143.0)</f>
        <v>1330143</v>
      </c>
      <c r="F2658" s="2">
        <f>IFERROR(__xludf.DUMMYFUNCTION("""COMPUTED_VALUE"""),3632904.0)</f>
        <v>3632904</v>
      </c>
      <c r="G2658" s="2">
        <f>IFERROR(__xludf.DUMMYFUNCTION("""COMPUTED_VALUE"""),56.194)</f>
        <v>56.194</v>
      </c>
    </row>
    <row r="2659">
      <c r="A2659" s="1" t="s">
        <v>2658</v>
      </c>
      <c r="D2659" s="3">
        <f>IFERROR(__xludf.DUMMYFUNCTION("SPLIT(A2659, ""|"")"),42925.0)</f>
        <v>42925</v>
      </c>
      <c r="E2659" s="2">
        <f>IFERROR(__xludf.DUMMYFUNCTION("""COMPUTED_VALUE"""),1367703.0)</f>
        <v>1367703</v>
      </c>
      <c r="F2659" s="2">
        <f>IFERROR(__xludf.DUMMYFUNCTION("""COMPUTED_VALUE"""),3633854.0)</f>
        <v>3633854</v>
      </c>
      <c r="G2659" s="2">
        <f>IFERROR(__xludf.DUMMYFUNCTION("""COMPUTED_VALUE"""),80.1009)</f>
        <v>80.1009</v>
      </c>
    </row>
    <row r="2660">
      <c r="A2660" s="1" t="s">
        <v>2659</v>
      </c>
      <c r="D2660" s="3">
        <f>IFERROR(__xludf.DUMMYFUNCTION("SPLIT(A2660, ""|"")"),42925.0)</f>
        <v>42925</v>
      </c>
      <c r="E2660" s="2">
        <f>IFERROR(__xludf.DUMMYFUNCTION("""COMPUTED_VALUE"""),91623.0)</f>
        <v>91623</v>
      </c>
      <c r="F2660" s="2">
        <f>IFERROR(__xludf.DUMMYFUNCTION("""COMPUTED_VALUE"""),3633188.0)</f>
        <v>3633188</v>
      </c>
      <c r="G2660" s="2">
        <f>IFERROR(__xludf.DUMMYFUNCTION("""COMPUTED_VALUE"""),38.5293)</f>
        <v>38.5293</v>
      </c>
    </row>
    <row r="2661">
      <c r="A2661" s="1" t="s">
        <v>2660</v>
      </c>
      <c r="D2661" s="3">
        <f>IFERROR(__xludf.DUMMYFUNCTION("SPLIT(A2661, ""|"")"),42925.0)</f>
        <v>42925</v>
      </c>
      <c r="E2661" s="2">
        <f>IFERROR(__xludf.DUMMYFUNCTION("""COMPUTED_VALUE"""),1374483.0)</f>
        <v>1374483</v>
      </c>
      <c r="F2661" s="2">
        <f>IFERROR(__xludf.DUMMYFUNCTION("""COMPUTED_VALUE"""),3634201.0)</f>
        <v>3634201</v>
      </c>
      <c r="G2661" s="2">
        <f>IFERROR(__xludf.DUMMYFUNCTION("""COMPUTED_VALUE"""),31.9206)</f>
        <v>31.9206</v>
      </c>
    </row>
    <row r="2662">
      <c r="A2662" s="1" t="s">
        <v>2661</v>
      </c>
      <c r="D2662" s="3">
        <f>IFERROR(__xludf.DUMMYFUNCTION("SPLIT(A2662, ""|"")"),43181.0)</f>
        <v>43181</v>
      </c>
      <c r="E2662" s="2">
        <f>IFERROR(__xludf.DUMMYFUNCTION("""COMPUTED_VALUE"""),1110273.0)</f>
        <v>1110273</v>
      </c>
      <c r="F2662" s="2">
        <f>IFERROR(__xludf.DUMMYFUNCTION("""COMPUTED_VALUE"""),4321767.0)</f>
        <v>4321767</v>
      </c>
      <c r="G2662" s="2">
        <f>IFERROR(__xludf.DUMMYFUNCTION("""COMPUTED_VALUE"""),79.7389)</f>
        <v>79.7389</v>
      </c>
    </row>
    <row r="2663">
      <c r="A2663" s="1" t="s">
        <v>2662</v>
      </c>
      <c r="D2663" s="3">
        <f>IFERROR(__xludf.DUMMYFUNCTION("SPLIT(A2663, ""|"")"),43181.0)</f>
        <v>43181</v>
      </c>
      <c r="E2663" s="2">
        <f>IFERROR(__xludf.DUMMYFUNCTION("""COMPUTED_VALUE"""),223263.0)</f>
        <v>223263</v>
      </c>
      <c r="F2663" s="2">
        <f>IFERROR(__xludf.DUMMYFUNCTION("""COMPUTED_VALUE"""),4320373.0)</f>
        <v>4320373</v>
      </c>
      <c r="G2663" s="2">
        <f>IFERROR(__xludf.DUMMYFUNCTION("""COMPUTED_VALUE"""),97.2467)</f>
        <v>97.2467</v>
      </c>
    </row>
    <row r="2664">
      <c r="A2664" s="1" t="s">
        <v>2663</v>
      </c>
      <c r="D2664" s="3">
        <f>IFERROR(__xludf.DUMMYFUNCTION("SPLIT(A2664, ""|"")"),43181.0)</f>
        <v>43181</v>
      </c>
      <c r="E2664" s="2">
        <f>IFERROR(__xludf.DUMMYFUNCTION("""COMPUTED_VALUE"""),1474593.0)</f>
        <v>1474593</v>
      </c>
      <c r="F2664" s="2">
        <f>IFERROR(__xludf.DUMMYFUNCTION("""COMPUTED_VALUE"""),4321318.0)</f>
        <v>4321318</v>
      </c>
      <c r="G2664" s="2">
        <f>IFERROR(__xludf.DUMMYFUNCTION("""COMPUTED_VALUE"""),82.3853)</f>
        <v>82.3853</v>
      </c>
    </row>
    <row r="2665">
      <c r="A2665" s="1" t="s">
        <v>2664</v>
      </c>
      <c r="D2665" s="3">
        <f>IFERROR(__xludf.DUMMYFUNCTION("SPLIT(A2665, ""|"")"),43181.0)</f>
        <v>43181</v>
      </c>
      <c r="E2665" s="2">
        <f>IFERROR(__xludf.DUMMYFUNCTION("""COMPUTED_VALUE"""),1198923.0)</f>
        <v>1198923</v>
      </c>
      <c r="F2665" s="2">
        <f>IFERROR(__xludf.DUMMYFUNCTION("""COMPUTED_VALUE"""),4320245.0)</f>
        <v>4320245</v>
      </c>
      <c r="G2665" s="2">
        <f>IFERROR(__xludf.DUMMYFUNCTION("""COMPUTED_VALUE"""),65.7877)</f>
        <v>65.7877</v>
      </c>
    </row>
    <row r="2666">
      <c r="A2666" s="1" t="s">
        <v>2665</v>
      </c>
      <c r="D2666" s="3">
        <f>IFERROR(__xludf.DUMMYFUNCTION("SPLIT(A2666, ""|"")"),43437.0)</f>
        <v>43437</v>
      </c>
      <c r="E2666" s="2">
        <f>IFERROR(__xludf.DUMMYFUNCTION("""COMPUTED_VALUE"""),1473483.0)</f>
        <v>1473483</v>
      </c>
      <c r="F2666" s="2">
        <f>IFERROR(__xludf.DUMMYFUNCTION("""COMPUTED_VALUE"""),5271954.0)</f>
        <v>5271954</v>
      </c>
      <c r="G2666" s="2">
        <f>IFERROR(__xludf.DUMMYFUNCTION("""COMPUTED_VALUE"""),85.2222999999999)</f>
        <v>85.2223</v>
      </c>
    </row>
    <row r="2667">
      <c r="A2667" s="1" t="s">
        <v>2666</v>
      </c>
      <c r="D2667" s="3">
        <f>IFERROR(__xludf.DUMMYFUNCTION("SPLIT(A2667, ""|"")"),43437.0)</f>
        <v>43437</v>
      </c>
      <c r="E2667" s="2">
        <f>IFERROR(__xludf.DUMMYFUNCTION("""COMPUTED_VALUE"""),1714233.0)</f>
        <v>1714233</v>
      </c>
      <c r="F2667" s="2">
        <f>IFERROR(__xludf.DUMMYFUNCTION("""COMPUTED_VALUE"""),5272373.0)</f>
        <v>5272373</v>
      </c>
      <c r="G2667" s="2">
        <f>IFERROR(__xludf.DUMMYFUNCTION("""COMPUTED_VALUE"""),30.1478)</f>
        <v>30.1478</v>
      </c>
    </row>
    <row r="2668">
      <c r="A2668" s="1" t="s">
        <v>2667</v>
      </c>
      <c r="D2668" s="3">
        <f>IFERROR(__xludf.DUMMYFUNCTION("SPLIT(A2668, ""|"")"),43437.0)</f>
        <v>43437</v>
      </c>
      <c r="E2668" s="2">
        <f>IFERROR(__xludf.DUMMYFUNCTION("""COMPUTED_VALUE"""),1803513.0)</f>
        <v>1803513</v>
      </c>
      <c r="F2668" s="2">
        <f>IFERROR(__xludf.DUMMYFUNCTION("""COMPUTED_VALUE"""),5272838.0)</f>
        <v>5272838</v>
      </c>
      <c r="G2668" s="2">
        <f>IFERROR(__xludf.DUMMYFUNCTION("""COMPUTED_VALUE"""),553.2385)</f>
        <v>553.2385</v>
      </c>
    </row>
    <row r="2669">
      <c r="A2669" s="1" t="s">
        <v>2668</v>
      </c>
      <c r="D2669" s="3">
        <f>IFERROR(__xludf.DUMMYFUNCTION("SPLIT(A2669, ""|"")"),43437.0)</f>
        <v>43437</v>
      </c>
      <c r="E2669" s="2">
        <f>IFERROR(__xludf.DUMMYFUNCTION("""COMPUTED_VALUE"""),1802793.0)</f>
        <v>1802793</v>
      </c>
      <c r="F2669" s="2">
        <f>IFERROR(__xludf.DUMMYFUNCTION("""COMPUTED_VALUE"""),5270501.0)</f>
        <v>5270501</v>
      </c>
      <c r="G2669" s="2">
        <f>IFERROR(__xludf.DUMMYFUNCTION("""COMPUTED_VALUE"""),53.5032999999999)</f>
        <v>53.5033</v>
      </c>
    </row>
    <row r="2670">
      <c r="A2670" s="1" t="s">
        <v>2669</v>
      </c>
      <c r="D2670" s="3">
        <f>IFERROR(__xludf.DUMMYFUNCTION("SPLIT(A2670, ""|"")"),43437.0)</f>
        <v>43437</v>
      </c>
      <c r="E2670" s="2">
        <f>IFERROR(__xludf.DUMMYFUNCTION("""COMPUTED_VALUE"""),1225773.0)</f>
        <v>1225773</v>
      </c>
      <c r="F2670" s="2">
        <f>IFERROR(__xludf.DUMMYFUNCTION("""COMPUTED_VALUE"""),5273102.0)</f>
        <v>5273102</v>
      </c>
      <c r="G2670" s="2">
        <f>IFERROR(__xludf.DUMMYFUNCTION("""COMPUTED_VALUE"""),38.4359)</f>
        <v>38.4359</v>
      </c>
    </row>
    <row r="2671">
      <c r="A2671" s="1" t="s">
        <v>2670</v>
      </c>
      <c r="D2671" s="3">
        <f>IFERROR(__xludf.DUMMYFUNCTION("SPLIT(A2671, ""|"")"),43437.0)</f>
        <v>43437</v>
      </c>
      <c r="E2671" s="2">
        <f>IFERROR(__xludf.DUMMYFUNCTION("""COMPUTED_VALUE"""),1803093.0)</f>
        <v>1803093</v>
      </c>
      <c r="F2671" s="2">
        <f>IFERROR(__xludf.DUMMYFUNCTION("""COMPUTED_VALUE"""),5271452.0)</f>
        <v>5271452</v>
      </c>
      <c r="G2671" s="2">
        <f>IFERROR(__xludf.DUMMYFUNCTION("""COMPUTED_VALUE"""),79.3334)</f>
        <v>79.3334</v>
      </c>
    </row>
    <row r="2672">
      <c r="A2672" s="1" t="s">
        <v>2671</v>
      </c>
      <c r="D2672" s="3">
        <f>IFERROR(__xludf.DUMMYFUNCTION("SPLIT(A2672, ""|"")"),43437.0)</f>
        <v>43437</v>
      </c>
      <c r="E2672" s="2">
        <f>IFERROR(__xludf.DUMMYFUNCTION("""COMPUTED_VALUE"""),1528353.0)</f>
        <v>1528353</v>
      </c>
      <c r="F2672" s="2">
        <f>IFERROR(__xludf.DUMMYFUNCTION("""COMPUTED_VALUE"""),5269952.0)</f>
        <v>5269952</v>
      </c>
      <c r="G2672" s="2">
        <f>IFERROR(__xludf.DUMMYFUNCTION("""COMPUTED_VALUE"""),75.4792)</f>
        <v>75.4792</v>
      </c>
    </row>
    <row r="2673">
      <c r="A2673" s="1" t="s">
        <v>2672</v>
      </c>
      <c r="D2673" s="3">
        <f>IFERROR(__xludf.DUMMYFUNCTION("SPLIT(A2673, ""|"")"),43437.0)</f>
        <v>43437</v>
      </c>
      <c r="E2673" s="2">
        <f>IFERROR(__xludf.DUMMYFUNCTION("""COMPUTED_VALUE"""),1802703.0)</f>
        <v>1802703</v>
      </c>
      <c r="F2673" s="2">
        <f>IFERROR(__xludf.DUMMYFUNCTION("""COMPUTED_VALUE"""),5270142.0)</f>
        <v>5270142</v>
      </c>
      <c r="G2673" s="2">
        <f>IFERROR(__xludf.DUMMYFUNCTION("""COMPUTED_VALUE"""),80.3209)</f>
        <v>80.3209</v>
      </c>
    </row>
    <row r="2674">
      <c r="A2674" s="1" t="s">
        <v>2673</v>
      </c>
      <c r="D2674" s="3">
        <f>IFERROR(__xludf.DUMMYFUNCTION("SPLIT(A2674, ""|"")"),43437.0)</f>
        <v>43437</v>
      </c>
      <c r="E2674" s="2">
        <f>IFERROR(__xludf.DUMMYFUNCTION("""COMPUTED_VALUE"""),1513473.0)</f>
        <v>1513473</v>
      </c>
      <c r="F2674" s="2">
        <f>IFERROR(__xludf.DUMMYFUNCTION("""COMPUTED_VALUE"""),5272126.0)</f>
        <v>5272126</v>
      </c>
      <c r="G2674" s="2">
        <f>IFERROR(__xludf.DUMMYFUNCTION("""COMPUTED_VALUE"""),85.1315)</f>
        <v>85.1315</v>
      </c>
    </row>
    <row r="2675">
      <c r="A2675" s="1" t="s">
        <v>2674</v>
      </c>
      <c r="D2675" s="3">
        <f>IFERROR(__xludf.DUMMYFUNCTION("SPLIT(A2675, ""|"")"),42926.0)</f>
        <v>42926</v>
      </c>
      <c r="E2675" s="2">
        <f>IFERROR(__xludf.DUMMYFUNCTION("""COMPUTED_VALUE"""),391113.0)</f>
        <v>391113</v>
      </c>
      <c r="F2675" s="2">
        <f>IFERROR(__xludf.DUMMYFUNCTION("""COMPUTED_VALUE"""),3635831.0)</f>
        <v>3635831</v>
      </c>
      <c r="G2675" s="2">
        <f>IFERROR(__xludf.DUMMYFUNCTION("""COMPUTED_VALUE"""),78.0321)</f>
        <v>78.0321</v>
      </c>
    </row>
    <row r="2676">
      <c r="A2676" s="1" t="s">
        <v>2675</v>
      </c>
      <c r="D2676" s="3">
        <f>IFERROR(__xludf.DUMMYFUNCTION("SPLIT(A2676, ""|"")"),42926.0)</f>
        <v>42926</v>
      </c>
      <c r="E2676" s="2">
        <f>IFERROR(__xludf.DUMMYFUNCTION("""COMPUTED_VALUE"""),186663.0)</f>
        <v>186663</v>
      </c>
      <c r="F2676" s="2">
        <f>IFERROR(__xludf.DUMMYFUNCTION("""COMPUTED_VALUE"""),3635393.0)</f>
        <v>3635393</v>
      </c>
      <c r="G2676" s="2">
        <f>IFERROR(__xludf.DUMMYFUNCTION("""COMPUTED_VALUE"""),68.332)</f>
        <v>68.332</v>
      </c>
    </row>
    <row r="2677">
      <c r="A2677" s="1" t="s">
        <v>2676</v>
      </c>
      <c r="D2677" s="3">
        <f>IFERROR(__xludf.DUMMYFUNCTION("SPLIT(A2677, ""|"")"),42926.0)</f>
        <v>42926</v>
      </c>
      <c r="E2677" s="2">
        <f>IFERROR(__xludf.DUMMYFUNCTION("""COMPUTED_VALUE"""),146733.0)</f>
        <v>146733</v>
      </c>
      <c r="F2677" s="2">
        <f>IFERROR(__xludf.DUMMYFUNCTION("""COMPUTED_VALUE"""),3636698.0)</f>
        <v>3636698</v>
      </c>
      <c r="G2677" s="2">
        <f>IFERROR(__xludf.DUMMYFUNCTION("""COMPUTED_VALUE"""),82.9991)</f>
        <v>82.9991</v>
      </c>
    </row>
    <row r="2678">
      <c r="A2678" s="1" t="s">
        <v>2677</v>
      </c>
      <c r="D2678" s="3">
        <f>IFERROR(__xludf.DUMMYFUNCTION("SPLIT(A2678, ""|"")"),42926.0)</f>
        <v>42926</v>
      </c>
      <c r="E2678" s="2">
        <f>IFERROR(__xludf.DUMMYFUNCTION("""COMPUTED_VALUE"""),274113.0)</f>
        <v>274113</v>
      </c>
      <c r="F2678" s="2">
        <f>IFERROR(__xludf.DUMMYFUNCTION("""COMPUTED_VALUE"""),3636278.0)</f>
        <v>3636278</v>
      </c>
      <c r="G2678" s="2">
        <f>IFERROR(__xludf.DUMMYFUNCTION("""COMPUTED_VALUE"""),31.5594)</f>
        <v>31.5594</v>
      </c>
    </row>
    <row r="2679">
      <c r="A2679" s="1" t="s">
        <v>2678</v>
      </c>
      <c r="D2679" s="3">
        <f>IFERROR(__xludf.DUMMYFUNCTION("SPLIT(A2679, ""|"")"),42926.0)</f>
        <v>42926</v>
      </c>
      <c r="E2679" s="2">
        <f>IFERROR(__xludf.DUMMYFUNCTION("""COMPUTED_VALUE"""),1179843.0)</f>
        <v>1179843</v>
      </c>
      <c r="F2679" s="2">
        <f>IFERROR(__xludf.DUMMYFUNCTION("""COMPUTED_VALUE"""),3635956.0)</f>
        <v>3635956</v>
      </c>
      <c r="G2679" s="2">
        <f>IFERROR(__xludf.DUMMYFUNCTION("""COMPUTED_VALUE"""),23.5749)</f>
        <v>23.5749</v>
      </c>
    </row>
    <row r="2680">
      <c r="A2680" s="1" t="s">
        <v>2679</v>
      </c>
      <c r="D2680" s="3">
        <f>IFERROR(__xludf.DUMMYFUNCTION("SPLIT(A2680, ""|"")"),42926.0)</f>
        <v>42926</v>
      </c>
      <c r="E2680" s="2">
        <f>IFERROR(__xludf.DUMMYFUNCTION("""COMPUTED_VALUE"""),186663.0)</f>
        <v>186663</v>
      </c>
      <c r="F2680" s="2">
        <f>IFERROR(__xludf.DUMMYFUNCTION("""COMPUTED_VALUE"""),3635348.0)</f>
        <v>3635348</v>
      </c>
      <c r="G2680" s="2">
        <f>IFERROR(__xludf.DUMMYFUNCTION("""COMPUTED_VALUE"""),8.1675)</f>
        <v>8.1675</v>
      </c>
    </row>
    <row r="2681">
      <c r="A2681" s="1" t="s">
        <v>2680</v>
      </c>
      <c r="D2681" s="3">
        <f>IFERROR(__xludf.DUMMYFUNCTION("SPLIT(A2681, ""|"")"),42926.0)</f>
        <v>42926</v>
      </c>
      <c r="E2681" s="2">
        <f>IFERROR(__xludf.DUMMYFUNCTION("""COMPUTED_VALUE"""),1375383.0)</f>
        <v>1375383</v>
      </c>
      <c r="F2681" s="2">
        <f>IFERROR(__xludf.DUMMYFUNCTION("""COMPUTED_VALUE"""),3637743.0)</f>
        <v>3637743</v>
      </c>
      <c r="G2681" s="2">
        <f>IFERROR(__xludf.DUMMYFUNCTION("""COMPUTED_VALUE"""),60.1414)</f>
        <v>60.1414</v>
      </c>
    </row>
    <row r="2682">
      <c r="A2682" s="1" t="s">
        <v>2681</v>
      </c>
      <c r="D2682" s="3">
        <f>IFERROR(__xludf.DUMMYFUNCTION("SPLIT(A2682, ""|"")"),42926.0)</f>
        <v>42926</v>
      </c>
      <c r="E2682" s="2">
        <f>IFERROR(__xludf.DUMMYFUNCTION("""COMPUTED_VALUE"""),1247553.0)</f>
        <v>1247553</v>
      </c>
      <c r="F2682" s="2">
        <f>IFERROR(__xludf.DUMMYFUNCTION("""COMPUTED_VALUE"""),3637470.0)</f>
        <v>3637470</v>
      </c>
      <c r="G2682" s="2">
        <f>IFERROR(__xludf.DUMMYFUNCTION("""COMPUTED_VALUE"""),69.8691)</f>
        <v>69.8691</v>
      </c>
    </row>
    <row r="2683">
      <c r="A2683" s="1" t="s">
        <v>2682</v>
      </c>
      <c r="D2683" s="3">
        <f>IFERROR(__xludf.DUMMYFUNCTION("SPLIT(A2683, ""|"")"),42926.0)</f>
        <v>42926</v>
      </c>
      <c r="E2683" s="2">
        <f>IFERROR(__xludf.DUMMYFUNCTION("""COMPUTED_VALUE"""),1366023.0)</f>
        <v>1366023</v>
      </c>
      <c r="F2683" s="2">
        <f>IFERROR(__xludf.DUMMYFUNCTION("""COMPUTED_VALUE"""),3636432.0)</f>
        <v>3636432</v>
      </c>
      <c r="G2683" s="2">
        <f>IFERROR(__xludf.DUMMYFUNCTION("""COMPUTED_VALUE"""),44.0770999999999)</f>
        <v>44.0771</v>
      </c>
    </row>
    <row r="2684">
      <c r="A2684" s="1" t="s">
        <v>2683</v>
      </c>
      <c r="D2684" s="3">
        <f>IFERROR(__xludf.DUMMYFUNCTION("SPLIT(A2684, ""|"")"),42926.0)</f>
        <v>42926</v>
      </c>
      <c r="E2684" s="2">
        <f>IFERROR(__xludf.DUMMYFUNCTION("""COMPUTED_VALUE"""),147933.0)</f>
        <v>147933</v>
      </c>
      <c r="F2684" s="2">
        <f>IFERROR(__xludf.DUMMYFUNCTION("""COMPUTED_VALUE"""),3635201.0)</f>
        <v>3635201</v>
      </c>
      <c r="G2684" s="2">
        <f>IFERROR(__xludf.DUMMYFUNCTION("""COMPUTED_VALUE"""),59.0256)</f>
        <v>59.0256</v>
      </c>
    </row>
    <row r="2685">
      <c r="A2685" s="1" t="s">
        <v>2684</v>
      </c>
      <c r="D2685" s="3">
        <f>IFERROR(__xludf.DUMMYFUNCTION("SPLIT(A2685, ""|"")"),43182.0)</f>
        <v>43182</v>
      </c>
      <c r="E2685" s="2">
        <f>IFERROR(__xludf.DUMMYFUNCTION("""COMPUTED_VALUE"""),1556583.0)</f>
        <v>1556583</v>
      </c>
      <c r="F2685" s="2">
        <f>IFERROR(__xludf.DUMMYFUNCTION("""COMPUTED_VALUE"""),4323959.0)</f>
        <v>4323959</v>
      </c>
      <c r="G2685" s="2">
        <f>IFERROR(__xludf.DUMMYFUNCTION("""COMPUTED_VALUE"""),13.2524)</f>
        <v>13.2524</v>
      </c>
    </row>
    <row r="2686">
      <c r="A2686" s="1" t="s">
        <v>2685</v>
      </c>
      <c r="D2686" s="3">
        <f>IFERROR(__xludf.DUMMYFUNCTION("SPLIT(A2686, ""|"")"),43182.0)</f>
        <v>43182</v>
      </c>
      <c r="E2686" s="2">
        <f>IFERROR(__xludf.DUMMYFUNCTION("""COMPUTED_VALUE"""),1334643.0)</f>
        <v>1334643</v>
      </c>
      <c r="F2686" s="2">
        <f>IFERROR(__xludf.DUMMYFUNCTION("""COMPUTED_VALUE"""),4322443.0)</f>
        <v>4322443</v>
      </c>
      <c r="G2686" s="2">
        <f>IFERROR(__xludf.DUMMYFUNCTION("""COMPUTED_VALUE"""),87.1409)</f>
        <v>87.1409</v>
      </c>
    </row>
    <row r="2687">
      <c r="A2687" s="1" t="s">
        <v>2686</v>
      </c>
      <c r="D2687" s="3">
        <f>IFERROR(__xludf.DUMMYFUNCTION("SPLIT(A2687, ""|"")"),43182.0)</f>
        <v>43182</v>
      </c>
      <c r="E2687" s="2">
        <f>IFERROR(__xludf.DUMMYFUNCTION("""COMPUTED_VALUE"""),1351803.0)</f>
        <v>1351803</v>
      </c>
      <c r="F2687" s="2">
        <f>IFERROR(__xludf.DUMMYFUNCTION("""COMPUTED_VALUE"""),4324379.0)</f>
        <v>4324379</v>
      </c>
      <c r="G2687" s="2">
        <f>IFERROR(__xludf.DUMMYFUNCTION("""COMPUTED_VALUE"""),64.6886)</f>
        <v>64.6886</v>
      </c>
    </row>
    <row r="2688">
      <c r="A2688" s="1" t="s">
        <v>2687</v>
      </c>
      <c r="D2688" s="3">
        <f>IFERROR(__xludf.DUMMYFUNCTION("SPLIT(A2688, ""|"")"),43182.0)</f>
        <v>43182</v>
      </c>
      <c r="E2688" s="2">
        <f>IFERROR(__xludf.DUMMYFUNCTION("""COMPUTED_VALUE"""),1324833.0)</f>
        <v>1324833</v>
      </c>
      <c r="F2688" s="2">
        <f>IFERROR(__xludf.DUMMYFUNCTION("""COMPUTED_VALUE"""),4323567.0)</f>
        <v>4323567</v>
      </c>
      <c r="G2688" s="2">
        <f>IFERROR(__xludf.DUMMYFUNCTION("""COMPUTED_VALUE"""),33.1659)</f>
        <v>33.1659</v>
      </c>
    </row>
    <row r="2689">
      <c r="A2689" s="1" t="s">
        <v>2688</v>
      </c>
      <c r="D2689" s="3">
        <f>IFERROR(__xludf.DUMMYFUNCTION("SPLIT(A2689, ""|"")"),43182.0)</f>
        <v>43182</v>
      </c>
      <c r="E2689" s="2">
        <f>IFERROR(__xludf.DUMMYFUNCTION("""COMPUTED_VALUE"""),1300023.0)</f>
        <v>1300023</v>
      </c>
      <c r="F2689" s="2">
        <f>IFERROR(__xludf.DUMMYFUNCTION("""COMPUTED_VALUE"""),4322964.0)</f>
        <v>4322964</v>
      </c>
      <c r="G2689" s="2">
        <f>IFERROR(__xludf.DUMMYFUNCTION("""COMPUTED_VALUE"""),62.2586)</f>
        <v>62.2586</v>
      </c>
    </row>
    <row r="2690">
      <c r="A2690" s="1" t="s">
        <v>2689</v>
      </c>
      <c r="D2690" s="3">
        <f>IFERROR(__xludf.DUMMYFUNCTION("SPLIT(A2690, ""|"")"),43182.0)</f>
        <v>43182</v>
      </c>
      <c r="E2690" s="2">
        <f>IFERROR(__xludf.DUMMYFUNCTION("""COMPUTED_VALUE"""),1556523.0)</f>
        <v>1556523</v>
      </c>
      <c r="F2690" s="2">
        <f>IFERROR(__xludf.DUMMYFUNCTION("""COMPUTED_VALUE"""),4323782.0)</f>
        <v>4323782</v>
      </c>
      <c r="G2690" s="2">
        <f>IFERROR(__xludf.DUMMYFUNCTION("""COMPUTED_VALUE"""),34.6857)</f>
        <v>34.6857</v>
      </c>
    </row>
    <row r="2691">
      <c r="A2691" s="1" t="s">
        <v>2690</v>
      </c>
      <c r="D2691" s="3">
        <f>IFERROR(__xludf.DUMMYFUNCTION("SPLIT(A2691, ""|"")"),43438.0)</f>
        <v>43438</v>
      </c>
      <c r="E2691" s="2">
        <f>IFERROR(__xludf.DUMMYFUNCTION("""COMPUTED_VALUE"""),1238583.0)</f>
        <v>1238583</v>
      </c>
      <c r="F2691" s="2">
        <f>IFERROR(__xludf.DUMMYFUNCTION("""COMPUTED_VALUE"""),5276769.0)</f>
        <v>5276769</v>
      </c>
      <c r="G2691" s="2">
        <f>IFERROR(__xludf.DUMMYFUNCTION("""COMPUTED_VALUE"""),25.0084)</f>
        <v>25.0084</v>
      </c>
    </row>
    <row r="2692">
      <c r="A2692" s="1" t="s">
        <v>2691</v>
      </c>
      <c r="D2692" s="3">
        <f>IFERROR(__xludf.DUMMYFUNCTION("SPLIT(A2692, ""|"")"),43438.0)</f>
        <v>43438</v>
      </c>
      <c r="E2692" s="2">
        <f>IFERROR(__xludf.DUMMYFUNCTION("""COMPUTED_VALUE"""),1674183.0)</f>
        <v>1674183</v>
      </c>
      <c r="F2692" s="2">
        <f>IFERROR(__xludf.DUMMYFUNCTION("""COMPUTED_VALUE"""),5277659.0)</f>
        <v>5277659</v>
      </c>
      <c r="G2692" s="2">
        <f>IFERROR(__xludf.DUMMYFUNCTION("""COMPUTED_VALUE"""),47.1736)</f>
        <v>47.1736</v>
      </c>
    </row>
    <row r="2693">
      <c r="A2693" s="1" t="s">
        <v>2692</v>
      </c>
      <c r="D2693" s="3">
        <f>IFERROR(__xludf.DUMMYFUNCTION("SPLIT(A2693, ""|"")"),43438.0)</f>
        <v>43438</v>
      </c>
      <c r="E2693" s="2">
        <f>IFERROR(__xludf.DUMMYFUNCTION("""COMPUTED_VALUE"""),1804623.0)</f>
        <v>1804623</v>
      </c>
      <c r="F2693" s="2">
        <f>IFERROR(__xludf.DUMMYFUNCTION("""COMPUTED_VALUE"""),5276478.0)</f>
        <v>5276478</v>
      </c>
      <c r="G2693" s="2">
        <f>IFERROR(__xludf.DUMMYFUNCTION("""COMPUTED_VALUE"""),18.6508)</f>
        <v>18.6508</v>
      </c>
    </row>
    <row r="2694">
      <c r="A2694" s="1" t="s">
        <v>2693</v>
      </c>
      <c r="D2694" s="3">
        <f>IFERROR(__xludf.DUMMYFUNCTION("SPLIT(A2694, ""|"")"),43438.0)</f>
        <v>43438</v>
      </c>
      <c r="E2694" s="2">
        <f>IFERROR(__xludf.DUMMYFUNCTION("""COMPUTED_VALUE"""),1442343.0)</f>
        <v>1442343</v>
      </c>
      <c r="F2694" s="2">
        <f>IFERROR(__xludf.DUMMYFUNCTION("""COMPUTED_VALUE"""),5275404.0)</f>
        <v>5275404</v>
      </c>
      <c r="G2694" s="2">
        <f>IFERROR(__xludf.DUMMYFUNCTION("""COMPUTED_VALUE"""),91.125)</f>
        <v>91.125</v>
      </c>
    </row>
    <row r="2695">
      <c r="A2695" s="1" t="s">
        <v>2694</v>
      </c>
      <c r="D2695" s="3">
        <f>IFERROR(__xludf.DUMMYFUNCTION("SPLIT(A2695, ""|"")"),43438.0)</f>
        <v>43438</v>
      </c>
      <c r="E2695" s="2">
        <f>IFERROR(__xludf.DUMMYFUNCTION("""COMPUTED_VALUE"""),1194483.0)</f>
        <v>1194483</v>
      </c>
      <c r="F2695" s="2">
        <f>IFERROR(__xludf.DUMMYFUNCTION("""COMPUTED_VALUE"""),5277460.0)</f>
        <v>5277460</v>
      </c>
      <c r="G2695" s="2">
        <f>IFERROR(__xludf.DUMMYFUNCTION("""COMPUTED_VALUE"""),92.9828)</f>
        <v>92.9828</v>
      </c>
    </row>
    <row r="2696">
      <c r="A2696" s="1" t="s">
        <v>2695</v>
      </c>
      <c r="D2696" s="3">
        <f>IFERROR(__xludf.DUMMYFUNCTION("SPLIT(A2696, ""|"")"),43438.0)</f>
        <v>43438</v>
      </c>
      <c r="E2696" s="2">
        <f>IFERROR(__xludf.DUMMYFUNCTION("""COMPUTED_VALUE"""),1804173.0)</f>
        <v>1804173</v>
      </c>
      <c r="F2696" s="2">
        <f>IFERROR(__xludf.DUMMYFUNCTION("""COMPUTED_VALUE"""),5274869.0)</f>
        <v>5274869</v>
      </c>
      <c r="G2696" s="2">
        <f>IFERROR(__xludf.DUMMYFUNCTION("""COMPUTED_VALUE"""),29.925)</f>
        <v>29.925</v>
      </c>
    </row>
    <row r="2697">
      <c r="A2697" s="1" t="s">
        <v>2696</v>
      </c>
      <c r="D2697" s="3">
        <f>IFERROR(__xludf.DUMMYFUNCTION("SPLIT(A2697, ""|"")"),43438.0)</f>
        <v>43438</v>
      </c>
      <c r="E2697" s="2">
        <f>IFERROR(__xludf.DUMMYFUNCTION("""COMPUTED_VALUE"""),1804653.0)</f>
        <v>1804653</v>
      </c>
      <c r="F2697" s="2">
        <f>IFERROR(__xludf.DUMMYFUNCTION("""COMPUTED_VALUE"""),5276592.0)</f>
        <v>5276592</v>
      </c>
      <c r="G2697" s="2">
        <f>IFERROR(__xludf.DUMMYFUNCTION("""COMPUTED_VALUE"""),27.989)</f>
        <v>27.989</v>
      </c>
    </row>
    <row r="2698">
      <c r="A2698" s="1" t="s">
        <v>2697</v>
      </c>
      <c r="D2698" s="3">
        <f>IFERROR(__xludf.DUMMYFUNCTION("SPLIT(A2698, ""|"")"),43438.0)</f>
        <v>43438</v>
      </c>
      <c r="E2698" s="2">
        <f>IFERROR(__xludf.DUMMYFUNCTION("""COMPUTED_VALUE"""),1804833.0)</f>
        <v>1804833</v>
      </c>
      <c r="F2698" s="2">
        <f>IFERROR(__xludf.DUMMYFUNCTION("""COMPUTED_VALUE"""),5277220.0)</f>
        <v>5277220</v>
      </c>
      <c r="G2698" s="2">
        <f>IFERROR(__xludf.DUMMYFUNCTION("""COMPUTED_VALUE"""),165.0833)</f>
        <v>165.0833</v>
      </c>
    </row>
    <row r="2699">
      <c r="A2699" s="1" t="s">
        <v>2698</v>
      </c>
      <c r="D2699" s="3">
        <f>IFERROR(__xludf.DUMMYFUNCTION("SPLIT(A2699, ""|"")"),43438.0)</f>
        <v>43438</v>
      </c>
      <c r="E2699" s="2">
        <f>IFERROR(__xludf.DUMMYFUNCTION("""COMPUTED_VALUE"""),1804413.0)</f>
        <v>1804413</v>
      </c>
      <c r="F2699" s="2">
        <f>IFERROR(__xludf.DUMMYFUNCTION("""COMPUTED_VALUE"""),5275769.0)</f>
        <v>5275769</v>
      </c>
      <c r="G2699" s="2">
        <f>IFERROR(__xludf.DUMMYFUNCTION("""COMPUTED_VALUE"""),37.4167)</f>
        <v>37.4167</v>
      </c>
    </row>
    <row r="2700">
      <c r="A2700" s="1" t="s">
        <v>2699</v>
      </c>
      <c r="D2700" s="3">
        <f>IFERROR(__xludf.DUMMYFUNCTION("SPLIT(A2700, ""|"")"),43438.0)</f>
        <v>43438</v>
      </c>
      <c r="E2700" s="2">
        <f>IFERROR(__xludf.DUMMYFUNCTION("""COMPUTED_VALUE"""),1690593.0)</f>
        <v>1690593</v>
      </c>
      <c r="F2700" s="2">
        <f>IFERROR(__xludf.DUMMYFUNCTION("""COMPUTED_VALUE"""),5274337.0)</f>
        <v>5274337</v>
      </c>
      <c r="G2700" s="2">
        <f>IFERROR(__xludf.DUMMYFUNCTION("""COMPUTED_VALUE"""),23.8479)</f>
        <v>23.8479</v>
      </c>
    </row>
    <row r="2701">
      <c r="A2701" s="1" t="s">
        <v>2700</v>
      </c>
      <c r="D2701" s="3">
        <f>IFERROR(__xludf.DUMMYFUNCTION("SPLIT(A2701, ""|"")"),42927.0)</f>
        <v>42927</v>
      </c>
      <c r="E2701" s="2">
        <f>IFERROR(__xludf.DUMMYFUNCTION("""COMPUTED_VALUE"""),1375473.0)</f>
        <v>1375473</v>
      </c>
      <c r="F2701" s="2">
        <f>IFERROR(__xludf.DUMMYFUNCTION("""COMPUTED_VALUE"""),3638308.0)</f>
        <v>3638308</v>
      </c>
      <c r="G2701" s="2">
        <f>IFERROR(__xludf.DUMMYFUNCTION("""COMPUTED_VALUE"""),76.4623)</f>
        <v>76.4623</v>
      </c>
    </row>
    <row r="2702">
      <c r="A2702" s="1" t="s">
        <v>2701</v>
      </c>
      <c r="D2702" s="3">
        <f>IFERROR(__xludf.DUMMYFUNCTION("SPLIT(A2702, ""|"")"),42927.0)</f>
        <v>42927</v>
      </c>
      <c r="E2702" s="2">
        <f>IFERROR(__xludf.DUMMYFUNCTION("""COMPUTED_VALUE"""),1223523.0)</f>
        <v>1223523</v>
      </c>
      <c r="F2702" s="2">
        <f>IFERROR(__xludf.DUMMYFUNCTION("""COMPUTED_VALUE"""),3640051.0)</f>
        <v>3640051</v>
      </c>
      <c r="G2702" s="2">
        <f>IFERROR(__xludf.DUMMYFUNCTION("""COMPUTED_VALUE"""),95.2059)</f>
        <v>95.2059</v>
      </c>
    </row>
    <row r="2703">
      <c r="A2703" s="1" t="s">
        <v>2702</v>
      </c>
      <c r="D2703" s="3">
        <f>IFERROR(__xludf.DUMMYFUNCTION("SPLIT(A2703, ""|"")"),42927.0)</f>
        <v>42927</v>
      </c>
      <c r="E2703" s="2">
        <f>IFERROR(__xludf.DUMMYFUNCTION("""COMPUTED_VALUE"""),996933.0)</f>
        <v>996933</v>
      </c>
      <c r="F2703" s="2">
        <f>IFERROR(__xludf.DUMMYFUNCTION("""COMPUTED_VALUE"""),3640214.0)</f>
        <v>3640214</v>
      </c>
      <c r="G2703" s="2">
        <f>IFERROR(__xludf.DUMMYFUNCTION("""COMPUTED_VALUE"""),37.4931)</f>
        <v>37.4931</v>
      </c>
    </row>
    <row r="2704">
      <c r="A2704" s="1" t="s">
        <v>2703</v>
      </c>
      <c r="D2704" s="3">
        <f>IFERROR(__xludf.DUMMYFUNCTION("SPLIT(A2704, ""|"")"),42927.0)</f>
        <v>42927</v>
      </c>
      <c r="E2704" s="2">
        <f>IFERROR(__xludf.DUMMYFUNCTION("""COMPUTED_VALUE"""),1270233.0)</f>
        <v>1270233</v>
      </c>
      <c r="F2704" s="2">
        <f>IFERROR(__xludf.DUMMYFUNCTION("""COMPUTED_VALUE"""),3638724.0)</f>
        <v>3638724</v>
      </c>
      <c r="G2704" s="2">
        <f>IFERROR(__xludf.DUMMYFUNCTION("""COMPUTED_VALUE"""),32.25)</f>
        <v>32.25</v>
      </c>
    </row>
    <row r="2705">
      <c r="A2705" s="1" t="s">
        <v>2704</v>
      </c>
      <c r="D2705" s="3">
        <f>IFERROR(__xludf.DUMMYFUNCTION("SPLIT(A2705, ""|"")"),43183.0)</f>
        <v>43183</v>
      </c>
      <c r="E2705" s="2">
        <f>IFERROR(__xludf.DUMMYFUNCTION("""COMPUTED_VALUE"""),1557333.0)</f>
        <v>1557333</v>
      </c>
      <c r="F2705" s="2">
        <f>IFERROR(__xludf.DUMMYFUNCTION("""COMPUTED_VALUE"""),4326480.0)</f>
        <v>4326480</v>
      </c>
      <c r="G2705" s="2">
        <f>IFERROR(__xludf.DUMMYFUNCTION("""COMPUTED_VALUE"""),20.5411)</f>
        <v>20.5411</v>
      </c>
    </row>
    <row r="2706">
      <c r="A2706" s="1" t="s">
        <v>2705</v>
      </c>
      <c r="D2706" s="3">
        <f>IFERROR(__xludf.DUMMYFUNCTION("SPLIT(A2706, ""|"")"),43183.0)</f>
        <v>43183</v>
      </c>
      <c r="E2706" s="2">
        <f>IFERROR(__xludf.DUMMYFUNCTION("""COMPUTED_VALUE"""),1237893.0)</f>
        <v>1237893</v>
      </c>
      <c r="F2706" s="2">
        <f>IFERROR(__xludf.DUMMYFUNCTION("""COMPUTED_VALUE"""),4325955.0)</f>
        <v>4325955</v>
      </c>
      <c r="G2706" s="2">
        <f>IFERROR(__xludf.DUMMYFUNCTION("""COMPUTED_VALUE"""),67.0365)</f>
        <v>67.0365</v>
      </c>
    </row>
    <row r="2707">
      <c r="A2707" s="1" t="s">
        <v>2706</v>
      </c>
      <c r="D2707" s="3">
        <f>IFERROR(__xludf.DUMMYFUNCTION("SPLIT(A2707, ""|"")"),43183.0)</f>
        <v>43183</v>
      </c>
      <c r="E2707" s="2">
        <f>IFERROR(__xludf.DUMMYFUNCTION("""COMPUTED_VALUE"""),1236333.0)</f>
        <v>1236333</v>
      </c>
      <c r="F2707" s="2">
        <f>IFERROR(__xludf.DUMMYFUNCTION("""COMPUTED_VALUE"""),4324840.0)</f>
        <v>4324840</v>
      </c>
      <c r="G2707" s="2">
        <f>IFERROR(__xludf.DUMMYFUNCTION("""COMPUTED_VALUE"""),108.662)</f>
        <v>108.662</v>
      </c>
    </row>
    <row r="2708">
      <c r="A2708" s="1" t="s">
        <v>2707</v>
      </c>
      <c r="D2708" s="3">
        <f>IFERROR(__xludf.DUMMYFUNCTION("SPLIT(A2708, ""|"")"),43183.0)</f>
        <v>43183</v>
      </c>
      <c r="E2708" s="2">
        <f>IFERROR(__xludf.DUMMYFUNCTION("""COMPUTED_VALUE"""),1556793.0)</f>
        <v>1556793</v>
      </c>
      <c r="F2708" s="2">
        <f>IFERROR(__xludf.DUMMYFUNCTION("""COMPUTED_VALUE"""),4324884.0)</f>
        <v>4324884</v>
      </c>
      <c r="G2708" s="2">
        <f>IFERROR(__xludf.DUMMYFUNCTION("""COMPUTED_VALUE"""),55.9583)</f>
        <v>55.9583</v>
      </c>
    </row>
    <row r="2709">
      <c r="A2709" s="1" t="s">
        <v>2708</v>
      </c>
      <c r="D2709" s="3">
        <f>IFERROR(__xludf.DUMMYFUNCTION("SPLIT(A2709, ""|"")"),43183.0)</f>
        <v>43183</v>
      </c>
      <c r="E2709" s="2">
        <f>IFERROR(__xludf.DUMMYFUNCTION("""COMPUTED_VALUE"""),1556613.0)</f>
        <v>1556613</v>
      </c>
      <c r="F2709" s="2">
        <f>IFERROR(__xludf.DUMMYFUNCTION("""COMPUTED_VALUE"""),4325668.0)</f>
        <v>4325668</v>
      </c>
      <c r="G2709" s="2">
        <f>IFERROR(__xludf.DUMMYFUNCTION("""COMPUTED_VALUE"""),5.30459999999999)</f>
        <v>5.3046</v>
      </c>
    </row>
    <row r="2710">
      <c r="A2710" s="1" t="s">
        <v>2709</v>
      </c>
      <c r="D2710" s="3">
        <f>IFERROR(__xludf.DUMMYFUNCTION("SPLIT(A2710, ""|"")"),43183.0)</f>
        <v>43183</v>
      </c>
      <c r="E2710" s="2">
        <f>IFERROR(__xludf.DUMMYFUNCTION("""COMPUTED_VALUE"""),1455873.0)</f>
        <v>1455873</v>
      </c>
      <c r="F2710" s="2">
        <f>IFERROR(__xludf.DUMMYFUNCTION("""COMPUTED_VALUE"""),4325919.0)</f>
        <v>4325919</v>
      </c>
      <c r="G2710" s="2">
        <f>IFERROR(__xludf.DUMMYFUNCTION("""COMPUTED_VALUE"""),101.6333)</f>
        <v>101.6333</v>
      </c>
    </row>
    <row r="2711">
      <c r="A2711" s="1" t="s">
        <v>2710</v>
      </c>
      <c r="D2711" s="3">
        <f>IFERROR(__xludf.DUMMYFUNCTION("SPLIT(A2711, ""|"")"),43439.0)</f>
        <v>43439</v>
      </c>
      <c r="E2711" s="2">
        <f>IFERROR(__xludf.DUMMYFUNCTION("""COMPUTED_VALUE"""),1030563.0)</f>
        <v>1030563</v>
      </c>
      <c r="F2711" s="2">
        <f>IFERROR(__xludf.DUMMYFUNCTION("""COMPUTED_VALUE"""),5279834.0)</f>
        <v>5279834</v>
      </c>
      <c r="G2711" s="2">
        <f>IFERROR(__xludf.DUMMYFUNCTION("""COMPUTED_VALUE"""),235.5796)</f>
        <v>235.5796</v>
      </c>
    </row>
    <row r="2712">
      <c r="A2712" s="1" t="s">
        <v>2711</v>
      </c>
      <c r="D2712" s="3">
        <f>IFERROR(__xludf.DUMMYFUNCTION("SPLIT(A2712, ""|"")"),43439.0)</f>
        <v>43439</v>
      </c>
      <c r="E2712" s="2">
        <f>IFERROR(__xludf.DUMMYFUNCTION("""COMPUTED_VALUE"""),1747353.0)</f>
        <v>1747353</v>
      </c>
      <c r="F2712" s="2">
        <f>IFERROR(__xludf.DUMMYFUNCTION("""COMPUTED_VALUE"""),5279673.0)</f>
        <v>5279673</v>
      </c>
      <c r="G2712" s="2">
        <f>IFERROR(__xludf.DUMMYFUNCTION("""COMPUTED_VALUE"""),26.0459)</f>
        <v>26.0459</v>
      </c>
    </row>
    <row r="2713">
      <c r="A2713" s="1" t="s">
        <v>2712</v>
      </c>
      <c r="D2713" s="3">
        <f>IFERROR(__xludf.DUMMYFUNCTION("SPLIT(A2713, ""|"")"),43439.0)</f>
        <v>43439</v>
      </c>
      <c r="E2713" s="2">
        <f>IFERROR(__xludf.DUMMYFUNCTION("""COMPUTED_VALUE"""),1173993.0)</f>
        <v>1173993</v>
      </c>
      <c r="F2713" s="2">
        <f>IFERROR(__xludf.DUMMYFUNCTION("""COMPUTED_VALUE"""),5281000.0)</f>
        <v>5281000</v>
      </c>
      <c r="G2713" s="2">
        <f>IFERROR(__xludf.DUMMYFUNCTION("""COMPUTED_VALUE"""),85.7311)</f>
        <v>85.7311</v>
      </c>
    </row>
    <row r="2714">
      <c r="A2714" s="1" t="s">
        <v>2713</v>
      </c>
      <c r="D2714" s="3">
        <f>IFERROR(__xludf.DUMMYFUNCTION("SPLIT(A2714, ""|"")"),43439.0)</f>
        <v>43439</v>
      </c>
      <c r="E2714" s="2">
        <f>IFERROR(__xludf.DUMMYFUNCTION("""COMPUTED_VALUE"""),1223523.0)</f>
        <v>1223523</v>
      </c>
      <c r="F2714" s="2">
        <f>IFERROR(__xludf.DUMMYFUNCTION("""COMPUTED_VALUE"""),5278694.0)</f>
        <v>5278694</v>
      </c>
      <c r="G2714" s="2">
        <f>IFERROR(__xludf.DUMMYFUNCTION("""COMPUTED_VALUE"""),77.1891)</f>
        <v>77.1891</v>
      </c>
    </row>
    <row r="2715">
      <c r="A2715" s="1" t="s">
        <v>2714</v>
      </c>
      <c r="D2715" s="3">
        <f>IFERROR(__xludf.DUMMYFUNCTION("SPLIT(A2715, ""|"")"),43439.0)</f>
        <v>43439</v>
      </c>
      <c r="E2715" s="2">
        <f>IFERROR(__xludf.DUMMYFUNCTION("""COMPUTED_VALUE"""),1804743.0)</f>
        <v>1804743</v>
      </c>
      <c r="F2715" s="2">
        <f>IFERROR(__xludf.DUMMYFUNCTION("""COMPUTED_VALUE"""),5282035.0)</f>
        <v>5282035</v>
      </c>
      <c r="G2715" s="2">
        <f>IFERROR(__xludf.DUMMYFUNCTION("""COMPUTED_VALUE"""),14.9167)</f>
        <v>14.9167</v>
      </c>
    </row>
    <row r="2716">
      <c r="A2716" s="1" t="s">
        <v>2715</v>
      </c>
      <c r="D2716" s="3">
        <f>IFERROR(__xludf.DUMMYFUNCTION("SPLIT(A2716, ""|"")"),43439.0)</f>
        <v>43439</v>
      </c>
      <c r="E2716" s="2">
        <f>IFERROR(__xludf.DUMMYFUNCTION("""COMPUTED_VALUE"""),1269453.0)</f>
        <v>1269453</v>
      </c>
      <c r="F2716" s="2">
        <f>IFERROR(__xludf.DUMMYFUNCTION("""COMPUTED_VALUE"""),5279771.0)</f>
        <v>5279771</v>
      </c>
      <c r="G2716" s="2">
        <f>IFERROR(__xludf.DUMMYFUNCTION("""COMPUTED_VALUE"""),67.0082)</f>
        <v>67.0082</v>
      </c>
    </row>
    <row r="2717">
      <c r="A2717" s="1" t="s">
        <v>2716</v>
      </c>
      <c r="D2717" s="3">
        <f>IFERROR(__xludf.DUMMYFUNCTION("SPLIT(A2717, ""|"")"),43439.0)</f>
        <v>43439</v>
      </c>
      <c r="E2717" s="2">
        <f>IFERROR(__xludf.DUMMYFUNCTION("""COMPUTED_VALUE"""),1805643.0)</f>
        <v>1805643</v>
      </c>
      <c r="F2717" s="2">
        <f>IFERROR(__xludf.DUMMYFUNCTION("""COMPUTED_VALUE"""),5279954.0)</f>
        <v>5279954</v>
      </c>
      <c r="G2717" s="2">
        <f>IFERROR(__xludf.DUMMYFUNCTION("""COMPUTED_VALUE"""),11.925)</f>
        <v>11.925</v>
      </c>
    </row>
    <row r="2718">
      <c r="A2718" s="1" t="s">
        <v>2717</v>
      </c>
      <c r="D2718" s="3">
        <f>IFERROR(__xludf.DUMMYFUNCTION("SPLIT(A2718, ""|"")"),42928.0)</f>
        <v>42928</v>
      </c>
      <c r="E2718" s="2">
        <f>IFERROR(__xludf.DUMMYFUNCTION("""COMPUTED_VALUE"""),1375953.0)</f>
        <v>1375953</v>
      </c>
      <c r="F2718" s="2">
        <f>IFERROR(__xludf.DUMMYFUNCTION("""COMPUTED_VALUE"""),3640261.0)</f>
        <v>3640261</v>
      </c>
      <c r="G2718" s="2">
        <f>IFERROR(__xludf.DUMMYFUNCTION("""COMPUTED_VALUE"""),15.0504)</f>
        <v>15.0504</v>
      </c>
    </row>
    <row r="2719">
      <c r="A2719" s="1" t="s">
        <v>2718</v>
      </c>
      <c r="D2719" s="3">
        <f>IFERROR(__xludf.DUMMYFUNCTION("SPLIT(A2719, ""|"")"),42928.0)</f>
        <v>42928</v>
      </c>
      <c r="E2719" s="2">
        <f>IFERROR(__xludf.DUMMYFUNCTION("""COMPUTED_VALUE"""),300033.0)</f>
        <v>300033</v>
      </c>
      <c r="F2719" s="2">
        <f>IFERROR(__xludf.DUMMYFUNCTION("""COMPUTED_VALUE"""),3640444.0)</f>
        <v>3640444</v>
      </c>
      <c r="G2719" s="2">
        <f>IFERROR(__xludf.DUMMYFUNCTION("""COMPUTED_VALUE"""),59.5042)</f>
        <v>59.5042</v>
      </c>
    </row>
    <row r="2720">
      <c r="A2720" s="1" t="s">
        <v>2719</v>
      </c>
      <c r="D2720" s="3">
        <f>IFERROR(__xludf.DUMMYFUNCTION("SPLIT(A2720, ""|"")"),42928.0)</f>
        <v>42928</v>
      </c>
      <c r="E2720" s="2">
        <f>IFERROR(__xludf.DUMMYFUNCTION("""COMPUTED_VALUE"""),1288023.0)</f>
        <v>1288023</v>
      </c>
      <c r="F2720" s="2">
        <f>IFERROR(__xludf.DUMMYFUNCTION("""COMPUTED_VALUE"""),3641993.0)</f>
        <v>3641993</v>
      </c>
      <c r="G2720" s="2">
        <f>IFERROR(__xludf.DUMMYFUNCTION("""COMPUTED_VALUE"""),64.0148)</f>
        <v>64.0148</v>
      </c>
    </row>
    <row r="2721">
      <c r="A2721" s="1" t="s">
        <v>2720</v>
      </c>
      <c r="D2721" s="3">
        <f>IFERROR(__xludf.DUMMYFUNCTION("SPLIT(A2721, ""|"")"),42928.0)</f>
        <v>42928</v>
      </c>
      <c r="E2721" s="2">
        <f>IFERROR(__xludf.DUMMYFUNCTION("""COMPUTED_VALUE"""),1306983.0)</f>
        <v>1306983</v>
      </c>
      <c r="F2721" s="2">
        <f>IFERROR(__xludf.DUMMYFUNCTION("""COMPUTED_VALUE"""),3641867.0)</f>
        <v>3641867</v>
      </c>
      <c r="G2721" s="2">
        <f>IFERROR(__xludf.DUMMYFUNCTION("""COMPUTED_VALUE"""),121.199199999999)</f>
        <v>121.1992</v>
      </c>
    </row>
    <row r="2722">
      <c r="A2722" s="1" t="s">
        <v>2721</v>
      </c>
      <c r="D2722" s="3">
        <f>IFERROR(__xludf.DUMMYFUNCTION("SPLIT(A2722, ""|"")"),43184.0)</f>
        <v>43184</v>
      </c>
      <c r="E2722" s="2">
        <f>IFERROR(__xludf.DUMMYFUNCTION("""COMPUTED_VALUE"""),481893.0)</f>
        <v>481893</v>
      </c>
      <c r="F2722" s="2">
        <f>IFERROR(__xludf.DUMMYFUNCTION("""COMPUTED_VALUE"""),4327404.0)</f>
        <v>4327404</v>
      </c>
      <c r="G2722" s="2">
        <f>IFERROR(__xludf.DUMMYFUNCTION("""COMPUTED_VALUE"""),66.55)</f>
        <v>66.55</v>
      </c>
    </row>
    <row r="2723">
      <c r="A2723" s="1" t="s">
        <v>2722</v>
      </c>
      <c r="D2723" s="3">
        <f>IFERROR(__xludf.DUMMYFUNCTION("SPLIT(A2723, ""|"")"),43184.0)</f>
        <v>43184</v>
      </c>
      <c r="E2723" s="2">
        <f>IFERROR(__xludf.DUMMYFUNCTION("""COMPUTED_VALUE"""),1557393.0)</f>
        <v>1557393</v>
      </c>
      <c r="F2723" s="2">
        <f>IFERROR(__xludf.DUMMYFUNCTION("""COMPUTED_VALUE"""),4326673.0)</f>
        <v>4326673</v>
      </c>
      <c r="G2723" s="2">
        <f>IFERROR(__xludf.DUMMYFUNCTION("""COMPUTED_VALUE"""),37.3407)</f>
        <v>37.3407</v>
      </c>
    </row>
    <row r="2724">
      <c r="A2724" s="1" t="s">
        <v>2723</v>
      </c>
      <c r="D2724" s="3">
        <f>IFERROR(__xludf.DUMMYFUNCTION("SPLIT(A2724, ""|"")"),43184.0)</f>
        <v>43184</v>
      </c>
      <c r="E2724" s="2">
        <f>IFERROR(__xludf.DUMMYFUNCTION("""COMPUTED_VALUE"""),1188903.0)</f>
        <v>1188903</v>
      </c>
      <c r="F2724" s="2">
        <f>IFERROR(__xludf.DUMMYFUNCTION("""COMPUTED_VALUE"""),4328598.0)</f>
        <v>4328598</v>
      </c>
      <c r="G2724" s="2">
        <f>IFERROR(__xludf.DUMMYFUNCTION("""COMPUTED_VALUE"""),59.7555)</f>
        <v>59.7555</v>
      </c>
    </row>
    <row r="2725">
      <c r="A2725" s="1" t="s">
        <v>2724</v>
      </c>
      <c r="D2725" s="3">
        <f>IFERROR(__xludf.DUMMYFUNCTION("SPLIT(A2725, ""|"")"),43184.0)</f>
        <v>43184</v>
      </c>
      <c r="E2725" s="2">
        <f>IFERROR(__xludf.DUMMYFUNCTION("""COMPUTED_VALUE"""),1505163.0)</f>
        <v>1505163</v>
      </c>
      <c r="F2725" s="2">
        <f>IFERROR(__xludf.DUMMYFUNCTION("""COMPUTED_VALUE"""),4327689.0)</f>
        <v>4327689</v>
      </c>
      <c r="G2725" s="2">
        <f>IFERROR(__xludf.DUMMYFUNCTION("""COMPUTED_VALUE"""),59.8315)</f>
        <v>59.8315</v>
      </c>
    </row>
    <row r="2726">
      <c r="A2726" s="1" t="s">
        <v>2725</v>
      </c>
      <c r="D2726" s="3">
        <f>IFERROR(__xludf.DUMMYFUNCTION("SPLIT(A2726, ""|"")"),43184.0)</f>
        <v>43184</v>
      </c>
      <c r="E2726" s="2">
        <f>IFERROR(__xludf.DUMMYFUNCTION("""COMPUTED_VALUE"""),1369833.0)</f>
        <v>1369833</v>
      </c>
      <c r="F2726" s="2">
        <f>IFERROR(__xludf.DUMMYFUNCTION("""COMPUTED_VALUE"""),4328209.0)</f>
        <v>4328209</v>
      </c>
      <c r="G2726" s="2">
        <f>IFERROR(__xludf.DUMMYFUNCTION("""COMPUTED_VALUE"""),69.9859)</f>
        <v>69.9859</v>
      </c>
    </row>
    <row r="2727">
      <c r="A2727" s="1" t="s">
        <v>2726</v>
      </c>
      <c r="D2727" s="3">
        <f>IFERROR(__xludf.DUMMYFUNCTION("SPLIT(A2727, ""|"")"),43184.0)</f>
        <v>43184</v>
      </c>
      <c r="E2727" s="2">
        <f>IFERROR(__xludf.DUMMYFUNCTION("""COMPUTED_VALUE"""),1477113.0)</f>
        <v>1477113</v>
      </c>
      <c r="F2727" s="2">
        <f>IFERROR(__xludf.DUMMYFUNCTION("""COMPUTED_VALUE"""),4329643.0)</f>
        <v>4329643</v>
      </c>
      <c r="G2727" s="2">
        <f>IFERROR(__xludf.DUMMYFUNCTION("""COMPUTED_VALUE"""),33.3484)</f>
        <v>33.3484</v>
      </c>
    </row>
    <row r="2728">
      <c r="A2728" s="1" t="s">
        <v>2727</v>
      </c>
      <c r="D2728" s="3">
        <f>IFERROR(__xludf.DUMMYFUNCTION("SPLIT(A2728, ""|"")"),43440.0)</f>
        <v>43440</v>
      </c>
      <c r="E2728" s="2">
        <f>IFERROR(__xludf.DUMMYFUNCTION("""COMPUTED_VALUE"""),1807383.0)</f>
        <v>1807383</v>
      </c>
      <c r="F2728" s="2">
        <f>IFERROR(__xludf.DUMMYFUNCTION("""COMPUTED_VALUE"""),5286027.0)</f>
        <v>5286027</v>
      </c>
      <c r="G2728" s="2">
        <f>IFERROR(__xludf.DUMMYFUNCTION("""COMPUTED_VALUE"""),61.95)</f>
        <v>61.95</v>
      </c>
    </row>
    <row r="2729">
      <c r="A2729" s="1" t="s">
        <v>2728</v>
      </c>
      <c r="D2729" s="3">
        <f>IFERROR(__xludf.DUMMYFUNCTION("SPLIT(A2729, ""|"")"),43440.0)</f>
        <v>43440</v>
      </c>
      <c r="E2729" s="2">
        <f>IFERROR(__xludf.DUMMYFUNCTION("""COMPUTED_VALUE"""),423153.0)</f>
        <v>423153</v>
      </c>
      <c r="F2729" s="2">
        <f>IFERROR(__xludf.DUMMYFUNCTION("""COMPUTED_VALUE"""),5284364.0)</f>
        <v>5284364</v>
      </c>
      <c r="G2729" s="2">
        <f>IFERROR(__xludf.DUMMYFUNCTION("""COMPUTED_VALUE"""),174.9008)</f>
        <v>174.9008</v>
      </c>
    </row>
    <row r="2730">
      <c r="A2730" s="1" t="s">
        <v>2729</v>
      </c>
      <c r="D2730" s="3">
        <f>IFERROR(__xludf.DUMMYFUNCTION("SPLIT(A2730, ""|"")"),43440.0)</f>
        <v>43440</v>
      </c>
      <c r="E2730" s="2">
        <f>IFERROR(__xludf.DUMMYFUNCTION("""COMPUTED_VALUE"""),1319343.0)</f>
        <v>1319343</v>
      </c>
      <c r="F2730" s="2">
        <f>IFERROR(__xludf.DUMMYFUNCTION("""COMPUTED_VALUE"""),5284697.0)</f>
        <v>5284697</v>
      </c>
      <c r="G2730" s="2">
        <f>IFERROR(__xludf.DUMMYFUNCTION("""COMPUTED_VALUE"""),51.9318)</f>
        <v>51.9318</v>
      </c>
    </row>
    <row r="2731">
      <c r="A2731" s="1" t="s">
        <v>2730</v>
      </c>
      <c r="D2731" s="3">
        <f>IFERROR(__xludf.DUMMYFUNCTION("SPLIT(A2731, ""|"")"),43440.0)</f>
        <v>43440</v>
      </c>
      <c r="E2731" s="2">
        <f>IFERROR(__xludf.DUMMYFUNCTION("""COMPUTED_VALUE"""),1128333.0)</f>
        <v>1128333</v>
      </c>
      <c r="F2731" s="2">
        <f>IFERROR(__xludf.DUMMYFUNCTION("""COMPUTED_VALUE"""),5284337.0)</f>
        <v>5284337</v>
      </c>
      <c r="G2731" s="2">
        <f>IFERROR(__xludf.DUMMYFUNCTION("""COMPUTED_VALUE"""),64.5917)</f>
        <v>64.5917</v>
      </c>
    </row>
    <row r="2732">
      <c r="A2732" s="1" t="s">
        <v>2731</v>
      </c>
      <c r="D2732" s="3">
        <f>IFERROR(__xludf.DUMMYFUNCTION("SPLIT(A2732, ""|"")"),43440.0)</f>
        <v>43440</v>
      </c>
      <c r="E2732" s="2">
        <f>IFERROR(__xludf.DUMMYFUNCTION("""COMPUTED_VALUE"""),1666593.0)</f>
        <v>1666593</v>
      </c>
      <c r="F2732" s="2">
        <f>IFERROR(__xludf.DUMMYFUNCTION("""COMPUTED_VALUE"""),5284087.0)</f>
        <v>5284087</v>
      </c>
      <c r="G2732" s="2">
        <f>IFERROR(__xludf.DUMMYFUNCTION("""COMPUTED_VALUE"""),110.3711)</f>
        <v>110.3711</v>
      </c>
    </row>
    <row r="2733">
      <c r="A2733" s="1" t="s">
        <v>2732</v>
      </c>
      <c r="D2733" s="3">
        <f>IFERROR(__xludf.DUMMYFUNCTION("SPLIT(A2733, ""|"")"),43440.0)</f>
        <v>43440</v>
      </c>
      <c r="E2733" s="2">
        <f>IFERROR(__xludf.DUMMYFUNCTION("""COMPUTED_VALUE"""),1443723.0)</f>
        <v>1443723</v>
      </c>
      <c r="F2733" s="2">
        <f>IFERROR(__xludf.DUMMYFUNCTION("""COMPUTED_VALUE"""),5285446.0)</f>
        <v>5285446</v>
      </c>
      <c r="G2733" s="2">
        <f>IFERROR(__xludf.DUMMYFUNCTION("""COMPUTED_VALUE"""),57.6581999999999)</f>
        <v>57.6582</v>
      </c>
    </row>
    <row r="2734">
      <c r="A2734" s="1" t="s">
        <v>2733</v>
      </c>
      <c r="D2734" s="3">
        <f>IFERROR(__xludf.DUMMYFUNCTION("SPLIT(A2734, ""|"")"),43440.0)</f>
        <v>43440</v>
      </c>
      <c r="E2734" s="2">
        <f>IFERROR(__xludf.DUMMYFUNCTION("""COMPUTED_VALUE"""),1545003.0)</f>
        <v>1545003</v>
      </c>
      <c r="F2734" s="2">
        <f>IFERROR(__xludf.DUMMYFUNCTION("""COMPUTED_VALUE"""),5284254.0)</f>
        <v>5284254</v>
      </c>
      <c r="G2734" s="2">
        <f>IFERROR(__xludf.DUMMYFUNCTION("""COMPUTED_VALUE"""),43.9666999999999)</f>
        <v>43.9667</v>
      </c>
    </row>
    <row r="2735">
      <c r="A2735" s="1" t="s">
        <v>2734</v>
      </c>
      <c r="D2735" s="3">
        <f>IFERROR(__xludf.DUMMYFUNCTION("SPLIT(A2735, ""|"")"),43440.0)</f>
        <v>43440</v>
      </c>
      <c r="E2735" s="2">
        <f>IFERROR(__xludf.DUMMYFUNCTION("""COMPUTED_VALUE"""),1807023.0)</f>
        <v>1807023</v>
      </c>
      <c r="F2735" s="2">
        <f>IFERROR(__xludf.DUMMYFUNCTION("""COMPUTED_VALUE"""),5284301.0)</f>
        <v>5284301</v>
      </c>
      <c r="G2735" s="2">
        <f>IFERROR(__xludf.DUMMYFUNCTION("""COMPUTED_VALUE"""),33.1465)</f>
        <v>33.1465</v>
      </c>
    </row>
    <row r="2736">
      <c r="A2736" s="1" t="s">
        <v>2735</v>
      </c>
      <c r="D2736" s="3">
        <f>IFERROR(__xludf.DUMMYFUNCTION("SPLIT(A2736, ""|"")"),43440.0)</f>
        <v>43440</v>
      </c>
      <c r="E2736" s="2">
        <f>IFERROR(__xludf.DUMMYFUNCTION("""COMPUTED_VALUE"""),1432323.0)</f>
        <v>1432323</v>
      </c>
      <c r="F2736" s="2">
        <f>IFERROR(__xludf.DUMMYFUNCTION("""COMPUTED_VALUE"""),5285912.0)</f>
        <v>5285912</v>
      </c>
      <c r="G2736" s="2">
        <f>IFERROR(__xludf.DUMMYFUNCTION("""COMPUTED_VALUE"""),23.9625)</f>
        <v>23.9625</v>
      </c>
    </row>
    <row r="2737">
      <c r="A2737" s="1" t="s">
        <v>2736</v>
      </c>
      <c r="D2737" s="3">
        <f>IFERROR(__xludf.DUMMYFUNCTION("SPLIT(A2737, ""|"")"),43440.0)</f>
        <v>43440</v>
      </c>
      <c r="E2737" s="2">
        <f>IFERROR(__xludf.DUMMYFUNCTION("""COMPUTED_VALUE"""),1447083.0)</f>
        <v>1447083</v>
      </c>
      <c r="F2737" s="2">
        <f>IFERROR(__xludf.DUMMYFUNCTION("""COMPUTED_VALUE"""),5285071.0)</f>
        <v>5285071</v>
      </c>
      <c r="G2737" s="2">
        <f>IFERROR(__xludf.DUMMYFUNCTION("""COMPUTED_VALUE"""),46.3829999999999)</f>
        <v>46.383</v>
      </c>
    </row>
    <row r="2738">
      <c r="A2738" s="1" t="s">
        <v>2737</v>
      </c>
      <c r="D2738" s="3">
        <f>IFERROR(__xludf.DUMMYFUNCTION("SPLIT(A2738, ""|"")"),43440.0)</f>
        <v>43440</v>
      </c>
      <c r="E2738" s="2">
        <f>IFERROR(__xludf.DUMMYFUNCTION("""COMPUTED_VALUE"""),1803393.0)</f>
        <v>1803393</v>
      </c>
      <c r="F2738" s="2">
        <f>IFERROR(__xludf.DUMMYFUNCTION("""COMPUTED_VALUE"""),5284938.0)</f>
        <v>5284938</v>
      </c>
      <c r="G2738" s="2">
        <f>IFERROR(__xludf.DUMMYFUNCTION("""COMPUTED_VALUE"""),175.6667)</f>
        <v>175.6667</v>
      </c>
    </row>
    <row r="2739">
      <c r="A2739" s="1" t="s">
        <v>2738</v>
      </c>
      <c r="D2739" s="3">
        <f>IFERROR(__xludf.DUMMYFUNCTION("SPLIT(A2739, ""|"")"),43440.0)</f>
        <v>43440</v>
      </c>
      <c r="E2739" s="2">
        <f>IFERROR(__xludf.DUMMYFUNCTION("""COMPUTED_VALUE"""),1504203.0)</f>
        <v>1504203</v>
      </c>
      <c r="F2739" s="2">
        <f>IFERROR(__xludf.DUMMYFUNCTION("""COMPUTED_VALUE"""),5282954.0)</f>
        <v>5282954</v>
      </c>
      <c r="G2739" s="2">
        <f>IFERROR(__xludf.DUMMYFUNCTION("""COMPUTED_VALUE"""),62.0758)</f>
        <v>62.0758</v>
      </c>
    </row>
    <row r="2740">
      <c r="A2740" s="1" t="s">
        <v>2739</v>
      </c>
      <c r="D2740" s="3">
        <f>IFERROR(__xludf.DUMMYFUNCTION("SPLIT(A2740, ""|"")"),43440.0)</f>
        <v>43440</v>
      </c>
      <c r="E2740" s="2">
        <f>IFERROR(__xludf.DUMMYFUNCTION("""COMPUTED_VALUE"""),217743.0)</f>
        <v>217743</v>
      </c>
      <c r="F2740" s="2">
        <f>IFERROR(__xludf.DUMMYFUNCTION("""COMPUTED_VALUE"""),5284326.0)</f>
        <v>5284326</v>
      </c>
      <c r="G2740" s="2">
        <f>IFERROR(__xludf.DUMMYFUNCTION("""COMPUTED_VALUE"""),116.811)</f>
        <v>116.811</v>
      </c>
    </row>
    <row r="2741">
      <c r="A2741" s="1" t="s">
        <v>2740</v>
      </c>
      <c r="D2741" s="3">
        <f>IFERROR(__xludf.DUMMYFUNCTION("SPLIT(A2741, ""|"")"),42929.0)</f>
        <v>42929</v>
      </c>
      <c r="E2741" s="2">
        <f>IFERROR(__xludf.DUMMYFUNCTION("""COMPUTED_VALUE"""),1274733.0)</f>
        <v>1274733</v>
      </c>
      <c r="F2741" s="2">
        <f>IFERROR(__xludf.DUMMYFUNCTION("""COMPUTED_VALUE"""),3644244.0)</f>
        <v>3644244</v>
      </c>
      <c r="G2741" s="2">
        <f>IFERROR(__xludf.DUMMYFUNCTION("""COMPUTED_VALUE"""),94.3734)</f>
        <v>94.3734</v>
      </c>
    </row>
    <row r="2742">
      <c r="A2742" s="1" t="s">
        <v>2741</v>
      </c>
      <c r="D2742" s="3">
        <f>IFERROR(__xludf.DUMMYFUNCTION("SPLIT(A2742, ""|"")"),42929.0)</f>
        <v>42929</v>
      </c>
      <c r="E2742" s="2">
        <f>IFERROR(__xludf.DUMMYFUNCTION("""COMPUTED_VALUE"""),1038963.0)</f>
        <v>1038963</v>
      </c>
      <c r="F2742" s="2">
        <f>IFERROR(__xludf.DUMMYFUNCTION("""COMPUTED_VALUE"""),3643669.0)</f>
        <v>3643669</v>
      </c>
      <c r="G2742" s="2">
        <f>IFERROR(__xludf.DUMMYFUNCTION("""COMPUTED_VALUE"""),69.8433)</f>
        <v>69.8433</v>
      </c>
    </row>
    <row r="2743">
      <c r="A2743" s="1" t="s">
        <v>2742</v>
      </c>
      <c r="D2743" s="3">
        <f>IFERROR(__xludf.DUMMYFUNCTION("SPLIT(A2743, ""|"")"),42929.0)</f>
        <v>42929</v>
      </c>
      <c r="E2743" s="2">
        <f>IFERROR(__xludf.DUMMYFUNCTION("""COMPUTED_VALUE"""),1376643.0)</f>
        <v>1376643</v>
      </c>
      <c r="F2743" s="2">
        <f>IFERROR(__xludf.DUMMYFUNCTION("""COMPUTED_VALUE"""),3643088.0)</f>
        <v>3643088</v>
      </c>
      <c r="G2743" s="2">
        <f>IFERROR(__xludf.DUMMYFUNCTION("""COMPUTED_VALUE"""),30.39)</f>
        <v>30.39</v>
      </c>
    </row>
    <row r="2744">
      <c r="A2744" s="1" t="s">
        <v>2743</v>
      </c>
      <c r="D2744" s="3">
        <f>IFERROR(__xludf.DUMMYFUNCTION("SPLIT(A2744, ""|"")"),42929.0)</f>
        <v>42929</v>
      </c>
      <c r="E2744" s="2">
        <f>IFERROR(__xludf.DUMMYFUNCTION("""COMPUTED_VALUE"""),1153263.0)</f>
        <v>1153263</v>
      </c>
      <c r="F2744" s="2">
        <f>IFERROR(__xludf.DUMMYFUNCTION("""COMPUTED_VALUE"""),3644153.0)</f>
        <v>3644153</v>
      </c>
      <c r="G2744" s="2">
        <f>IFERROR(__xludf.DUMMYFUNCTION("""COMPUTED_VALUE"""),111.107)</f>
        <v>111.107</v>
      </c>
    </row>
    <row r="2745">
      <c r="A2745" s="1" t="s">
        <v>2744</v>
      </c>
      <c r="D2745" s="3">
        <f>IFERROR(__xludf.DUMMYFUNCTION("SPLIT(A2745, ""|"")"),42929.0)</f>
        <v>42929</v>
      </c>
      <c r="E2745" s="2">
        <f>IFERROR(__xludf.DUMMYFUNCTION("""COMPUTED_VALUE"""),1220583.0)</f>
        <v>1220583</v>
      </c>
      <c r="F2745" s="2">
        <f>IFERROR(__xludf.DUMMYFUNCTION("""COMPUTED_VALUE"""),3644544.0)</f>
        <v>3644544</v>
      </c>
      <c r="G2745" s="2">
        <f>IFERROR(__xludf.DUMMYFUNCTION("""COMPUTED_VALUE"""),59.3983)</f>
        <v>59.3983</v>
      </c>
    </row>
    <row r="2746">
      <c r="A2746" s="1" t="s">
        <v>2745</v>
      </c>
      <c r="D2746" s="3">
        <f>IFERROR(__xludf.DUMMYFUNCTION("SPLIT(A2746, ""|"")"),42929.0)</f>
        <v>42929</v>
      </c>
      <c r="E2746" s="2">
        <f>IFERROR(__xludf.DUMMYFUNCTION("""COMPUTED_VALUE"""),1224573.0)</f>
        <v>1224573</v>
      </c>
      <c r="F2746" s="2">
        <f>IFERROR(__xludf.DUMMYFUNCTION("""COMPUTED_VALUE"""),3643574.0)</f>
        <v>3643574</v>
      </c>
      <c r="G2746" s="2">
        <f>IFERROR(__xludf.DUMMYFUNCTION("""COMPUTED_VALUE"""),19.6512)</f>
        <v>19.6512</v>
      </c>
    </row>
    <row r="2747">
      <c r="A2747" s="1" t="s">
        <v>2746</v>
      </c>
      <c r="D2747" s="3">
        <f>IFERROR(__xludf.DUMMYFUNCTION("SPLIT(A2747, ""|"")"),43185.0)</f>
        <v>43185</v>
      </c>
      <c r="E2747" s="2">
        <f>IFERROR(__xludf.DUMMYFUNCTION("""COMPUTED_VALUE"""),1224123.0)</f>
        <v>1224123</v>
      </c>
      <c r="F2747" s="2">
        <f>IFERROR(__xludf.DUMMYFUNCTION("""COMPUTED_VALUE"""),4330093.0)</f>
        <v>4330093</v>
      </c>
      <c r="G2747" s="2">
        <f>IFERROR(__xludf.DUMMYFUNCTION("""COMPUTED_VALUE"""),109.1422)</f>
        <v>109.1422</v>
      </c>
    </row>
    <row r="2748">
      <c r="A2748" s="1" t="s">
        <v>2747</v>
      </c>
      <c r="D2748" s="3">
        <f>IFERROR(__xludf.DUMMYFUNCTION("SPLIT(A2748, ""|"")"),43185.0)</f>
        <v>43185</v>
      </c>
      <c r="E2748" s="2">
        <f>IFERROR(__xludf.DUMMYFUNCTION("""COMPUTED_VALUE"""),1304853.0)</f>
        <v>1304853</v>
      </c>
      <c r="F2748" s="2">
        <f>IFERROR(__xludf.DUMMYFUNCTION("""COMPUTED_VALUE"""),4330156.0)</f>
        <v>4330156</v>
      </c>
      <c r="G2748" s="2">
        <f>IFERROR(__xludf.DUMMYFUNCTION("""COMPUTED_VALUE"""),64.294)</f>
        <v>64.294</v>
      </c>
    </row>
    <row r="2749">
      <c r="A2749" s="1" t="s">
        <v>2748</v>
      </c>
      <c r="D2749" s="3">
        <f>IFERROR(__xludf.DUMMYFUNCTION("SPLIT(A2749, ""|"")"),43185.0)</f>
        <v>43185</v>
      </c>
      <c r="E2749" s="2">
        <f>IFERROR(__xludf.DUMMYFUNCTION("""COMPUTED_VALUE"""),1558293.0)</f>
        <v>1558293</v>
      </c>
      <c r="F2749" s="2">
        <f>IFERROR(__xludf.DUMMYFUNCTION("""COMPUTED_VALUE"""),4330036.0)</f>
        <v>4330036</v>
      </c>
      <c r="G2749" s="2">
        <f>IFERROR(__xludf.DUMMYFUNCTION("""COMPUTED_VALUE"""),42.2168)</f>
        <v>42.2168</v>
      </c>
    </row>
    <row r="2750">
      <c r="A2750" s="1" t="s">
        <v>2749</v>
      </c>
      <c r="D2750" s="3">
        <f>IFERROR(__xludf.DUMMYFUNCTION("SPLIT(A2750, ""|"")"),43185.0)</f>
        <v>43185</v>
      </c>
      <c r="E2750" s="2">
        <f>IFERROR(__xludf.DUMMYFUNCTION("""COMPUTED_VALUE"""),184683.0)</f>
        <v>184683</v>
      </c>
      <c r="F2750" s="2">
        <f>IFERROR(__xludf.DUMMYFUNCTION("""COMPUTED_VALUE"""),4331725.0)</f>
        <v>4331725</v>
      </c>
      <c r="G2750" s="2">
        <f>IFERROR(__xludf.DUMMYFUNCTION("""COMPUTED_VALUE"""),137.9704)</f>
        <v>137.9704</v>
      </c>
    </row>
    <row r="2751">
      <c r="A2751" s="1" t="s">
        <v>2750</v>
      </c>
      <c r="D2751" s="3">
        <f>IFERROR(__xludf.DUMMYFUNCTION("SPLIT(A2751, ""|"")"),43185.0)</f>
        <v>43185</v>
      </c>
      <c r="E2751" s="2">
        <f>IFERROR(__xludf.DUMMYFUNCTION("""COMPUTED_VALUE"""),437733.0)</f>
        <v>437733</v>
      </c>
      <c r="F2751" s="2">
        <f>IFERROR(__xludf.DUMMYFUNCTION("""COMPUTED_VALUE"""),4332405.0)</f>
        <v>4332405</v>
      </c>
      <c r="G2751" s="2">
        <f>IFERROR(__xludf.DUMMYFUNCTION("""COMPUTED_VALUE"""),73.5736)</f>
        <v>73.5736</v>
      </c>
    </row>
    <row r="2752">
      <c r="A2752" s="1" t="s">
        <v>2751</v>
      </c>
      <c r="D2752" s="3">
        <f>IFERROR(__xludf.DUMMYFUNCTION("SPLIT(A2752, ""|"")"),43185.0)</f>
        <v>43185</v>
      </c>
      <c r="E2752" s="2">
        <f>IFERROR(__xludf.DUMMYFUNCTION("""COMPUTED_VALUE"""),231213.0)</f>
        <v>231213</v>
      </c>
      <c r="F2752" s="2">
        <f>IFERROR(__xludf.DUMMYFUNCTION("""COMPUTED_VALUE"""),4332342.0)</f>
        <v>4332342</v>
      </c>
      <c r="G2752" s="2">
        <f>IFERROR(__xludf.DUMMYFUNCTION("""COMPUTED_VALUE"""),93.3235)</f>
        <v>93.3235</v>
      </c>
    </row>
    <row r="2753">
      <c r="A2753" s="1" t="s">
        <v>2752</v>
      </c>
      <c r="D2753" s="3">
        <f>IFERROR(__xludf.DUMMYFUNCTION("SPLIT(A2753, ""|"")"),43185.0)</f>
        <v>43185</v>
      </c>
      <c r="E2753" s="2">
        <f>IFERROR(__xludf.DUMMYFUNCTION("""COMPUTED_VALUE"""),304143.0)</f>
        <v>304143</v>
      </c>
      <c r="F2753" s="2">
        <f>IFERROR(__xludf.DUMMYFUNCTION("""COMPUTED_VALUE"""),4332326.0)</f>
        <v>4332326</v>
      </c>
      <c r="G2753" s="2">
        <f>IFERROR(__xludf.DUMMYFUNCTION("""COMPUTED_VALUE"""),48.1222)</f>
        <v>48.1222</v>
      </c>
    </row>
    <row r="2754">
      <c r="A2754" s="1" t="s">
        <v>2753</v>
      </c>
      <c r="D2754" s="3">
        <f>IFERROR(__xludf.DUMMYFUNCTION("SPLIT(A2754, ""|"")"),43441.0)</f>
        <v>43441</v>
      </c>
      <c r="E2754" s="2">
        <f>IFERROR(__xludf.DUMMYFUNCTION("""COMPUTED_VALUE"""),1185813.0)</f>
        <v>1185813</v>
      </c>
      <c r="F2754" s="2">
        <f>IFERROR(__xludf.DUMMYFUNCTION("""COMPUTED_VALUE"""),5287448.0)</f>
        <v>5287448</v>
      </c>
      <c r="G2754" s="2">
        <f>IFERROR(__xludf.DUMMYFUNCTION("""COMPUTED_VALUE"""),85.4921)</f>
        <v>85.4921</v>
      </c>
    </row>
    <row r="2755">
      <c r="A2755" s="1" t="s">
        <v>2754</v>
      </c>
      <c r="D2755" s="3">
        <f>IFERROR(__xludf.DUMMYFUNCTION("SPLIT(A2755, ""|"")"),43441.0)</f>
        <v>43441</v>
      </c>
      <c r="E2755" s="2">
        <f>IFERROR(__xludf.DUMMYFUNCTION("""COMPUTED_VALUE"""),1807773.0)</f>
        <v>1807773</v>
      </c>
      <c r="F2755" s="2">
        <f>IFERROR(__xludf.DUMMYFUNCTION("""COMPUTED_VALUE"""),5286786.0)</f>
        <v>5286786</v>
      </c>
      <c r="G2755" s="2">
        <f>IFERROR(__xludf.DUMMYFUNCTION("""COMPUTED_VALUE"""),7.545)</f>
        <v>7.545</v>
      </c>
    </row>
    <row r="2756">
      <c r="A2756" s="1" t="s">
        <v>2755</v>
      </c>
      <c r="D2756" s="3">
        <f>IFERROR(__xludf.DUMMYFUNCTION("SPLIT(A2756, ""|"")"),43441.0)</f>
        <v>43441</v>
      </c>
      <c r="E2756" s="2">
        <f>IFERROR(__xludf.DUMMYFUNCTION("""COMPUTED_VALUE"""),1423773.0)</f>
        <v>1423773</v>
      </c>
      <c r="F2756" s="2">
        <f>IFERROR(__xludf.DUMMYFUNCTION("""COMPUTED_VALUE"""),5287567.0)</f>
        <v>5287567</v>
      </c>
      <c r="G2756" s="2">
        <f>IFERROR(__xludf.DUMMYFUNCTION("""COMPUTED_VALUE"""),74.2775)</f>
        <v>74.2775</v>
      </c>
    </row>
    <row r="2757">
      <c r="A2757" s="1" t="s">
        <v>2756</v>
      </c>
      <c r="D2757" s="3">
        <f>IFERROR(__xludf.DUMMYFUNCTION("SPLIT(A2757, ""|"")"),43441.0)</f>
        <v>43441</v>
      </c>
      <c r="E2757" s="2">
        <f>IFERROR(__xludf.DUMMYFUNCTION("""COMPUTED_VALUE"""),1310703.0)</f>
        <v>1310703</v>
      </c>
      <c r="F2757" s="2">
        <f>IFERROR(__xludf.DUMMYFUNCTION("""COMPUTED_VALUE"""),5286254.0)</f>
        <v>5286254</v>
      </c>
      <c r="G2757" s="2">
        <f>IFERROR(__xludf.DUMMYFUNCTION("""COMPUTED_VALUE"""),135.6521)</f>
        <v>135.6521</v>
      </c>
    </row>
    <row r="2758">
      <c r="A2758" s="1" t="s">
        <v>2757</v>
      </c>
      <c r="D2758" s="3">
        <f>IFERROR(__xludf.DUMMYFUNCTION("SPLIT(A2758, ""|"")"),43441.0)</f>
        <v>43441</v>
      </c>
      <c r="E2758" s="2">
        <f>IFERROR(__xludf.DUMMYFUNCTION("""COMPUTED_VALUE"""),1030563.0)</f>
        <v>1030563</v>
      </c>
      <c r="F2758" s="2">
        <f>IFERROR(__xludf.DUMMYFUNCTION("""COMPUTED_VALUE"""),5286504.0)</f>
        <v>5286504</v>
      </c>
      <c r="G2758" s="2">
        <f>IFERROR(__xludf.DUMMYFUNCTION("""COMPUTED_VALUE"""),87.7017)</f>
        <v>87.7017</v>
      </c>
    </row>
    <row r="2759">
      <c r="A2759" s="1" t="s">
        <v>2758</v>
      </c>
      <c r="D2759" s="3">
        <f>IFERROR(__xludf.DUMMYFUNCTION("SPLIT(A2759, ""|"")"),43441.0)</f>
        <v>43441</v>
      </c>
      <c r="E2759" s="2">
        <f>IFERROR(__xludf.DUMMYFUNCTION("""COMPUTED_VALUE"""),1807983.0)</f>
        <v>1807983</v>
      </c>
      <c r="F2759" s="2">
        <f>IFERROR(__xludf.DUMMYFUNCTION("""COMPUTED_VALUE"""),5287561.0)</f>
        <v>5287561</v>
      </c>
      <c r="G2759" s="2">
        <f>IFERROR(__xludf.DUMMYFUNCTION("""COMPUTED_VALUE"""),13.3875)</f>
        <v>13.3875</v>
      </c>
    </row>
    <row r="2760">
      <c r="A2760" s="1" t="s">
        <v>2759</v>
      </c>
      <c r="D2760" s="3">
        <f>IFERROR(__xludf.DUMMYFUNCTION("SPLIT(A2760, ""|"")"),43441.0)</f>
        <v>43441</v>
      </c>
      <c r="E2760" s="2">
        <f>IFERROR(__xludf.DUMMYFUNCTION("""COMPUTED_VALUE"""),1801533.0)</f>
        <v>1801533</v>
      </c>
      <c r="F2760" s="2">
        <f>IFERROR(__xludf.DUMMYFUNCTION("""COMPUTED_VALUE"""),5288919.0)</f>
        <v>5288919</v>
      </c>
      <c r="G2760" s="2">
        <f>IFERROR(__xludf.DUMMYFUNCTION("""COMPUTED_VALUE"""),67.5636)</f>
        <v>67.5636</v>
      </c>
    </row>
    <row r="2761">
      <c r="A2761" s="1" t="s">
        <v>2760</v>
      </c>
      <c r="D2761" s="3">
        <f>IFERROR(__xludf.DUMMYFUNCTION("SPLIT(A2761, ""|"")"),43441.0)</f>
        <v>43441</v>
      </c>
      <c r="E2761" s="2">
        <f>IFERROR(__xludf.DUMMYFUNCTION("""COMPUTED_VALUE"""),1628463.0)</f>
        <v>1628463</v>
      </c>
      <c r="F2761" s="2">
        <f>IFERROR(__xludf.DUMMYFUNCTION("""COMPUTED_VALUE"""),5287270.0)</f>
        <v>5287270</v>
      </c>
      <c r="G2761" s="2">
        <f>IFERROR(__xludf.DUMMYFUNCTION("""COMPUTED_VALUE"""),40.5864)</f>
        <v>40.5864</v>
      </c>
    </row>
    <row r="2762">
      <c r="A2762" s="1" t="s">
        <v>2761</v>
      </c>
      <c r="D2762" s="3">
        <f>IFERROR(__xludf.DUMMYFUNCTION("SPLIT(A2762, ""|"")"),43441.0)</f>
        <v>43441</v>
      </c>
      <c r="E2762" s="2">
        <f>IFERROR(__xludf.DUMMYFUNCTION("""COMPUTED_VALUE"""),1807653.0)</f>
        <v>1807653</v>
      </c>
      <c r="F2762" s="2">
        <f>IFERROR(__xludf.DUMMYFUNCTION("""COMPUTED_VALUE"""),5286345.0)</f>
        <v>5286345</v>
      </c>
      <c r="G2762" s="2">
        <f>IFERROR(__xludf.DUMMYFUNCTION("""COMPUTED_VALUE"""),46.6667)</f>
        <v>46.6667</v>
      </c>
    </row>
    <row r="2763">
      <c r="A2763" s="1" t="s">
        <v>2762</v>
      </c>
      <c r="D2763" s="3">
        <f>IFERROR(__xludf.DUMMYFUNCTION("SPLIT(A2763, ""|"")"),43441.0)</f>
        <v>43441</v>
      </c>
      <c r="E2763" s="2">
        <f>IFERROR(__xludf.DUMMYFUNCTION("""COMPUTED_VALUE"""),331473.0)</f>
        <v>331473</v>
      </c>
      <c r="F2763" s="2">
        <f>IFERROR(__xludf.DUMMYFUNCTION("""COMPUTED_VALUE"""),5286920.0)</f>
        <v>5286920</v>
      </c>
      <c r="G2763" s="2">
        <f>IFERROR(__xludf.DUMMYFUNCTION("""COMPUTED_VALUE"""),40.0333)</f>
        <v>40.0333</v>
      </c>
    </row>
    <row r="2764">
      <c r="A2764" s="1" t="s">
        <v>2763</v>
      </c>
      <c r="D2764" s="3">
        <f>IFERROR(__xludf.DUMMYFUNCTION("SPLIT(A2764, ""|"")"),42930.0)</f>
        <v>42930</v>
      </c>
      <c r="E2764" s="2">
        <f>IFERROR(__xludf.DUMMYFUNCTION("""COMPUTED_VALUE"""),1302573.0)</f>
        <v>1302573</v>
      </c>
      <c r="F2764" s="2">
        <f>IFERROR(__xludf.DUMMYFUNCTION("""COMPUTED_VALUE"""),3645384.0)</f>
        <v>3645384</v>
      </c>
      <c r="G2764" s="2">
        <f>IFERROR(__xludf.DUMMYFUNCTION("""COMPUTED_VALUE"""),97.5979)</f>
        <v>97.5979</v>
      </c>
    </row>
    <row r="2765">
      <c r="A2765" s="1" t="s">
        <v>2764</v>
      </c>
      <c r="D2765" s="3">
        <f>IFERROR(__xludf.DUMMYFUNCTION("SPLIT(A2765, ""|"")"),42930.0)</f>
        <v>42930</v>
      </c>
      <c r="E2765" s="2">
        <f>IFERROR(__xludf.DUMMYFUNCTION("""COMPUTED_VALUE"""),1103823.0)</f>
        <v>1103823</v>
      </c>
      <c r="F2765" s="2">
        <f>IFERROR(__xludf.DUMMYFUNCTION("""COMPUTED_VALUE"""),3645444.0)</f>
        <v>3645444</v>
      </c>
      <c r="G2765" s="2">
        <f>IFERROR(__xludf.DUMMYFUNCTION("""COMPUTED_VALUE"""),46.3749)</f>
        <v>46.3749</v>
      </c>
    </row>
    <row r="2766">
      <c r="A2766" s="1" t="s">
        <v>2765</v>
      </c>
      <c r="D2766" s="3">
        <f>IFERROR(__xludf.DUMMYFUNCTION("SPLIT(A2766, ""|"")"),42930.0)</f>
        <v>42930</v>
      </c>
      <c r="E2766" s="2">
        <f>IFERROR(__xludf.DUMMYFUNCTION("""COMPUTED_VALUE"""),1272693.0)</f>
        <v>1272693</v>
      </c>
      <c r="F2766" s="2">
        <f>IFERROR(__xludf.DUMMYFUNCTION("""COMPUTED_VALUE"""),3646575.0)</f>
        <v>3646575</v>
      </c>
      <c r="G2766" s="2">
        <f>IFERROR(__xludf.DUMMYFUNCTION("""COMPUTED_VALUE"""),149.204)</f>
        <v>149.204</v>
      </c>
    </row>
    <row r="2767">
      <c r="A2767" s="1" t="s">
        <v>2766</v>
      </c>
      <c r="D2767" s="3">
        <f>IFERROR(__xludf.DUMMYFUNCTION("SPLIT(A2767, ""|"")"),43186.0)</f>
        <v>43186</v>
      </c>
      <c r="E2767" s="2">
        <f>IFERROR(__xludf.DUMMYFUNCTION("""COMPUTED_VALUE"""),1273593.0)</f>
        <v>1273593</v>
      </c>
      <c r="F2767" s="2">
        <f>IFERROR(__xludf.DUMMYFUNCTION("""COMPUTED_VALUE"""),4334113.0)</f>
        <v>4334113</v>
      </c>
      <c r="G2767" s="2">
        <f>IFERROR(__xludf.DUMMYFUNCTION("""COMPUTED_VALUE"""),26.5908)</f>
        <v>26.5908</v>
      </c>
    </row>
    <row r="2768">
      <c r="A2768" s="1" t="s">
        <v>2767</v>
      </c>
      <c r="D2768" s="3">
        <f>IFERROR(__xludf.DUMMYFUNCTION("SPLIT(A2768, ""|"")"),43186.0)</f>
        <v>43186</v>
      </c>
      <c r="E2768" s="2">
        <f>IFERROR(__xludf.DUMMYFUNCTION("""COMPUTED_VALUE"""),1559583.0)</f>
        <v>1559583</v>
      </c>
      <c r="F2768" s="2">
        <f>IFERROR(__xludf.DUMMYFUNCTION("""COMPUTED_VALUE"""),4335477.0)</f>
        <v>4335477</v>
      </c>
      <c r="G2768" s="2">
        <f>IFERROR(__xludf.DUMMYFUNCTION("""COMPUTED_VALUE"""),34.0112)</f>
        <v>34.0112</v>
      </c>
    </row>
    <row r="2769">
      <c r="A2769" s="1" t="s">
        <v>2768</v>
      </c>
      <c r="D2769" s="3">
        <f>IFERROR(__xludf.DUMMYFUNCTION("SPLIT(A2769, ""|"")"),43186.0)</f>
        <v>43186</v>
      </c>
      <c r="E2769" s="2">
        <f>IFERROR(__xludf.DUMMYFUNCTION("""COMPUTED_VALUE"""),1468323.0)</f>
        <v>1468323</v>
      </c>
      <c r="F2769" s="2">
        <f>IFERROR(__xludf.DUMMYFUNCTION("""COMPUTED_VALUE"""),4335367.0)</f>
        <v>4335367</v>
      </c>
      <c r="G2769" s="2">
        <f>IFERROR(__xludf.DUMMYFUNCTION("""COMPUTED_VALUE"""),2.8611)</f>
        <v>2.8611</v>
      </c>
    </row>
    <row r="2770">
      <c r="A2770" s="1" t="s">
        <v>2769</v>
      </c>
      <c r="D2770" s="3">
        <f>IFERROR(__xludf.DUMMYFUNCTION("SPLIT(A2770, ""|"")"),43186.0)</f>
        <v>43186</v>
      </c>
      <c r="E2770" s="2">
        <f>IFERROR(__xludf.DUMMYFUNCTION("""COMPUTED_VALUE"""),1559193.0)</f>
        <v>1559193</v>
      </c>
      <c r="F2770" s="2">
        <f>IFERROR(__xludf.DUMMYFUNCTION("""COMPUTED_VALUE"""),4334899.0)</f>
        <v>4334899</v>
      </c>
      <c r="G2770" s="2">
        <f>IFERROR(__xludf.DUMMYFUNCTION("""COMPUTED_VALUE"""),66.6574)</f>
        <v>66.6574</v>
      </c>
    </row>
    <row r="2771">
      <c r="A2771" s="1" t="s">
        <v>2770</v>
      </c>
      <c r="D2771" s="3">
        <f>IFERROR(__xludf.DUMMYFUNCTION("SPLIT(A2771, ""|"")"),43186.0)</f>
        <v>43186</v>
      </c>
      <c r="E2771" s="2">
        <f>IFERROR(__xludf.DUMMYFUNCTION("""COMPUTED_VALUE"""),1534473.0)</f>
        <v>1534473</v>
      </c>
      <c r="F2771" s="2">
        <f>IFERROR(__xludf.DUMMYFUNCTION("""COMPUTED_VALUE"""),4334356.0)</f>
        <v>4334356</v>
      </c>
      <c r="G2771" s="2">
        <f>IFERROR(__xludf.DUMMYFUNCTION("""COMPUTED_VALUE"""),53.5616)</f>
        <v>53.5616</v>
      </c>
    </row>
    <row r="2772">
      <c r="A2772" s="1" t="s">
        <v>2771</v>
      </c>
      <c r="D2772" s="3">
        <f>IFERROR(__xludf.DUMMYFUNCTION("SPLIT(A2772, ""|"")"),43186.0)</f>
        <v>43186</v>
      </c>
      <c r="E2772" s="2">
        <f>IFERROR(__xludf.DUMMYFUNCTION("""COMPUTED_VALUE"""),1558593.0)</f>
        <v>1558593</v>
      </c>
      <c r="F2772" s="2">
        <f>IFERROR(__xludf.DUMMYFUNCTION("""COMPUTED_VALUE"""),4334964.0)</f>
        <v>4334964</v>
      </c>
      <c r="G2772" s="2">
        <f>IFERROR(__xludf.DUMMYFUNCTION("""COMPUTED_VALUE"""),90.881)</f>
        <v>90.881</v>
      </c>
    </row>
    <row r="2773">
      <c r="A2773" s="1" t="s">
        <v>2772</v>
      </c>
      <c r="D2773" s="3">
        <f>IFERROR(__xludf.DUMMYFUNCTION("SPLIT(A2773, ""|"")"),43442.0)</f>
        <v>43442</v>
      </c>
      <c r="E2773" s="2">
        <f>IFERROR(__xludf.DUMMYFUNCTION("""COMPUTED_VALUE"""),1809723.0)</f>
        <v>1809723</v>
      </c>
      <c r="F2773" s="2">
        <f>IFERROR(__xludf.DUMMYFUNCTION("""COMPUTED_VALUE"""),5292878.0)</f>
        <v>5292878</v>
      </c>
      <c r="G2773" s="2">
        <f>IFERROR(__xludf.DUMMYFUNCTION("""COMPUTED_VALUE"""),60.6151)</f>
        <v>60.6151</v>
      </c>
    </row>
    <row r="2774">
      <c r="A2774" s="1" t="s">
        <v>2773</v>
      </c>
      <c r="D2774" s="3">
        <f>IFERROR(__xludf.DUMMYFUNCTION("SPLIT(A2774, ""|"")"),43442.0)</f>
        <v>43442</v>
      </c>
      <c r="E2774" s="2">
        <f>IFERROR(__xludf.DUMMYFUNCTION("""COMPUTED_VALUE"""),1809633.0)</f>
        <v>1809633</v>
      </c>
      <c r="F2774" s="2">
        <f>IFERROR(__xludf.DUMMYFUNCTION("""COMPUTED_VALUE"""),5292611.0)</f>
        <v>5292611</v>
      </c>
      <c r="G2774" s="2">
        <f>IFERROR(__xludf.DUMMYFUNCTION("""COMPUTED_VALUE"""),47.6757)</f>
        <v>47.6757</v>
      </c>
    </row>
    <row r="2775">
      <c r="A2775" s="1" t="s">
        <v>2774</v>
      </c>
      <c r="D2775" s="3">
        <f>IFERROR(__xludf.DUMMYFUNCTION("SPLIT(A2775, ""|"")"),43442.0)</f>
        <v>43442</v>
      </c>
      <c r="E2775" s="2">
        <f>IFERROR(__xludf.DUMMYFUNCTION("""COMPUTED_VALUE"""),367683.0)</f>
        <v>367683</v>
      </c>
      <c r="F2775" s="2">
        <f>IFERROR(__xludf.DUMMYFUNCTION("""COMPUTED_VALUE"""),5292162.0)</f>
        <v>5292162</v>
      </c>
      <c r="G2775" s="2">
        <f>IFERROR(__xludf.DUMMYFUNCTION("""COMPUTED_VALUE"""),35.9364)</f>
        <v>35.9364</v>
      </c>
    </row>
    <row r="2776">
      <c r="A2776" s="1" t="s">
        <v>2775</v>
      </c>
      <c r="D2776" s="3">
        <f>IFERROR(__xludf.DUMMYFUNCTION("SPLIT(A2776, ""|"")"),43442.0)</f>
        <v>43442</v>
      </c>
      <c r="E2776" s="2">
        <f>IFERROR(__xludf.DUMMYFUNCTION("""COMPUTED_VALUE"""),1809603.0)</f>
        <v>1809603</v>
      </c>
      <c r="F2776" s="2">
        <f>IFERROR(__xludf.DUMMYFUNCTION("""COMPUTED_VALUE"""),5292544.0)</f>
        <v>5292544</v>
      </c>
      <c r="G2776" s="2">
        <f>IFERROR(__xludf.DUMMYFUNCTION("""COMPUTED_VALUE"""),42.2874)</f>
        <v>42.2874</v>
      </c>
    </row>
    <row r="2777">
      <c r="A2777" s="1" t="s">
        <v>2776</v>
      </c>
      <c r="D2777" s="3">
        <f>IFERROR(__xludf.DUMMYFUNCTION("SPLIT(A2777, ""|"")"),43442.0)</f>
        <v>43442</v>
      </c>
      <c r="E2777" s="2">
        <f>IFERROR(__xludf.DUMMYFUNCTION("""COMPUTED_VALUE"""),1304433.0)</f>
        <v>1304433</v>
      </c>
      <c r="F2777" s="2">
        <f>IFERROR(__xludf.DUMMYFUNCTION("""COMPUTED_VALUE"""),5292764.0)</f>
        <v>5292764</v>
      </c>
      <c r="G2777" s="2">
        <f>IFERROR(__xludf.DUMMYFUNCTION("""COMPUTED_VALUE"""),80.9582999999999)</f>
        <v>80.9583</v>
      </c>
    </row>
    <row r="2778">
      <c r="A2778" s="1" t="s">
        <v>2777</v>
      </c>
      <c r="D2778" s="3">
        <f>IFERROR(__xludf.DUMMYFUNCTION("SPLIT(A2778, ""|"")"),43442.0)</f>
        <v>43442</v>
      </c>
      <c r="E2778" s="2">
        <f>IFERROR(__xludf.DUMMYFUNCTION("""COMPUTED_VALUE"""),1435293.0)</f>
        <v>1435293</v>
      </c>
      <c r="F2778" s="2">
        <f>IFERROR(__xludf.DUMMYFUNCTION("""COMPUTED_VALUE"""),5290677.0)</f>
        <v>5290677</v>
      </c>
      <c r="G2778" s="2">
        <f>IFERROR(__xludf.DUMMYFUNCTION("""COMPUTED_VALUE"""),150.5994)</f>
        <v>150.5994</v>
      </c>
    </row>
    <row r="2779">
      <c r="A2779" s="1" t="s">
        <v>2778</v>
      </c>
      <c r="D2779" s="3">
        <f>IFERROR(__xludf.DUMMYFUNCTION("SPLIT(A2779, ""|"")"),43442.0)</f>
        <v>43442</v>
      </c>
      <c r="E2779" s="2">
        <f>IFERROR(__xludf.DUMMYFUNCTION("""COMPUTED_VALUE"""),1332093.0)</f>
        <v>1332093</v>
      </c>
      <c r="F2779" s="2">
        <f>IFERROR(__xludf.DUMMYFUNCTION("""COMPUTED_VALUE"""),5292678.0)</f>
        <v>5292678</v>
      </c>
      <c r="G2779" s="2">
        <f>IFERROR(__xludf.DUMMYFUNCTION("""COMPUTED_VALUE"""),44.9862)</f>
        <v>44.9862</v>
      </c>
    </row>
    <row r="2780">
      <c r="A2780" s="1" t="s">
        <v>2779</v>
      </c>
      <c r="D2780" s="3">
        <f>IFERROR(__xludf.DUMMYFUNCTION("SPLIT(A2780, ""|"")"),43442.0)</f>
        <v>43442</v>
      </c>
      <c r="E2780" s="2">
        <f>IFERROR(__xludf.DUMMYFUNCTION("""COMPUTED_VALUE"""),1134153.0)</f>
        <v>1134153</v>
      </c>
      <c r="F2780" s="2">
        <f>IFERROR(__xludf.DUMMYFUNCTION("""COMPUTED_VALUE"""),5291297.0)</f>
        <v>5291297</v>
      </c>
      <c r="G2780" s="2">
        <f>IFERROR(__xludf.DUMMYFUNCTION("""COMPUTED_VALUE"""),113.4975)</f>
        <v>113.4975</v>
      </c>
    </row>
    <row r="2781">
      <c r="A2781" s="1" t="s">
        <v>2780</v>
      </c>
      <c r="D2781" s="3">
        <f>IFERROR(__xludf.DUMMYFUNCTION("SPLIT(A2781, ""|"")"),43442.0)</f>
        <v>43442</v>
      </c>
      <c r="E2781" s="2">
        <f>IFERROR(__xludf.DUMMYFUNCTION("""COMPUTED_VALUE"""),1324833.0)</f>
        <v>1324833</v>
      </c>
      <c r="F2781" s="2">
        <f>IFERROR(__xludf.DUMMYFUNCTION("""COMPUTED_VALUE"""),5290439.0)</f>
        <v>5290439</v>
      </c>
      <c r="G2781" s="2">
        <f>IFERROR(__xludf.DUMMYFUNCTION("""COMPUTED_VALUE"""),29.8493)</f>
        <v>29.8493</v>
      </c>
    </row>
    <row r="2782">
      <c r="A2782" s="1" t="s">
        <v>2781</v>
      </c>
      <c r="D2782" s="3">
        <f>IFERROR(__xludf.DUMMYFUNCTION("SPLIT(A2782, ""|"")"),43442.0)</f>
        <v>43442</v>
      </c>
      <c r="E2782" s="2">
        <f>IFERROR(__xludf.DUMMYFUNCTION("""COMPUTED_VALUE"""),1808823.0)</f>
        <v>1808823</v>
      </c>
      <c r="F2782" s="2">
        <f>IFERROR(__xludf.DUMMYFUNCTION("""COMPUTED_VALUE"""),5290095.0)</f>
        <v>5290095</v>
      </c>
      <c r="G2782" s="2">
        <f>IFERROR(__xludf.DUMMYFUNCTION("""COMPUTED_VALUE"""),98.3195)</f>
        <v>98.3195</v>
      </c>
    </row>
    <row r="2783">
      <c r="A2783" s="1" t="s">
        <v>2782</v>
      </c>
      <c r="D2783" s="3">
        <f>IFERROR(__xludf.DUMMYFUNCTION("SPLIT(A2783, ""|"")"),42931.0)</f>
        <v>42931</v>
      </c>
      <c r="E2783" s="2">
        <f>IFERROR(__xludf.DUMMYFUNCTION("""COMPUTED_VALUE"""),1349433.0)</f>
        <v>1349433</v>
      </c>
      <c r="F2783" s="2">
        <f>IFERROR(__xludf.DUMMYFUNCTION("""COMPUTED_VALUE"""),3647243.0)</f>
        <v>3647243</v>
      </c>
      <c r="G2783" s="2">
        <f>IFERROR(__xludf.DUMMYFUNCTION("""COMPUTED_VALUE"""),139.784)</f>
        <v>139.784</v>
      </c>
    </row>
    <row r="2784">
      <c r="A2784" s="1" t="s">
        <v>2783</v>
      </c>
      <c r="D2784" s="3">
        <f>IFERROR(__xludf.DUMMYFUNCTION("SPLIT(A2784, ""|"")"),42931.0)</f>
        <v>42931</v>
      </c>
      <c r="E2784" s="2">
        <f>IFERROR(__xludf.DUMMYFUNCTION("""COMPUTED_VALUE"""),120213.0)</f>
        <v>120213</v>
      </c>
      <c r="F2784" s="2">
        <f>IFERROR(__xludf.DUMMYFUNCTION("""COMPUTED_VALUE"""),3647235.0)</f>
        <v>3647235</v>
      </c>
      <c r="G2784" s="2">
        <f>IFERROR(__xludf.DUMMYFUNCTION("""COMPUTED_VALUE"""),60.6439)</f>
        <v>60.6439</v>
      </c>
    </row>
    <row r="2785">
      <c r="A2785" s="1" t="s">
        <v>2784</v>
      </c>
      <c r="D2785" s="3">
        <f>IFERROR(__xludf.DUMMYFUNCTION("SPLIT(A2785, ""|"")"),42931.0)</f>
        <v>42931</v>
      </c>
      <c r="E2785" s="2">
        <f>IFERROR(__xludf.DUMMYFUNCTION("""COMPUTED_VALUE"""),367683.0)</f>
        <v>367683</v>
      </c>
      <c r="F2785" s="2">
        <f>IFERROR(__xludf.DUMMYFUNCTION("""COMPUTED_VALUE"""),3647588.0)</f>
        <v>3647588</v>
      </c>
      <c r="G2785" s="2">
        <f>IFERROR(__xludf.DUMMYFUNCTION("""COMPUTED_VALUE"""),63.3654)</f>
        <v>63.3654</v>
      </c>
    </row>
    <row r="2786">
      <c r="A2786" s="1" t="s">
        <v>2785</v>
      </c>
      <c r="D2786" s="3">
        <f>IFERROR(__xludf.DUMMYFUNCTION("SPLIT(A2786, ""|"")"),42931.0)</f>
        <v>42931</v>
      </c>
      <c r="E2786" s="2">
        <f>IFERROR(__xludf.DUMMYFUNCTION("""COMPUTED_VALUE"""),1378023.0)</f>
        <v>1378023</v>
      </c>
      <c r="F2786" s="2">
        <f>IFERROR(__xludf.DUMMYFUNCTION("""COMPUTED_VALUE"""),3648393.0)</f>
        <v>3648393</v>
      </c>
      <c r="G2786" s="2">
        <f>IFERROR(__xludf.DUMMYFUNCTION("""COMPUTED_VALUE"""),7.3)</f>
        <v>7.3</v>
      </c>
    </row>
    <row r="2787">
      <c r="A2787" s="1" t="s">
        <v>2786</v>
      </c>
      <c r="D2787" s="3">
        <f>IFERROR(__xludf.DUMMYFUNCTION("SPLIT(A2787, ""|"")"),42931.0)</f>
        <v>42931</v>
      </c>
      <c r="E2787" s="2">
        <f>IFERROR(__xludf.DUMMYFUNCTION("""COMPUTED_VALUE"""),1251393.0)</f>
        <v>1251393</v>
      </c>
      <c r="F2787" s="2">
        <f>IFERROR(__xludf.DUMMYFUNCTION("""COMPUTED_VALUE"""),3648157.0)</f>
        <v>3648157</v>
      </c>
      <c r="G2787" s="2">
        <f>IFERROR(__xludf.DUMMYFUNCTION("""COMPUTED_VALUE"""),36.1809)</f>
        <v>36.1809</v>
      </c>
    </row>
    <row r="2788">
      <c r="A2788" s="1" t="s">
        <v>2787</v>
      </c>
      <c r="D2788" s="3">
        <f>IFERROR(__xludf.DUMMYFUNCTION("SPLIT(A2788, ""|"")"),42931.0)</f>
        <v>42931</v>
      </c>
      <c r="E2788" s="2">
        <f>IFERROR(__xludf.DUMMYFUNCTION("""COMPUTED_VALUE"""),1218303.0)</f>
        <v>1218303</v>
      </c>
      <c r="F2788" s="2">
        <f>IFERROR(__xludf.DUMMYFUNCTION("""COMPUTED_VALUE"""),3647244.0)</f>
        <v>3647244</v>
      </c>
      <c r="G2788" s="2">
        <f>IFERROR(__xludf.DUMMYFUNCTION("""COMPUTED_VALUE"""),44.0896)</f>
        <v>44.0896</v>
      </c>
    </row>
    <row r="2789">
      <c r="A2789" s="1" t="s">
        <v>2788</v>
      </c>
      <c r="D2789" s="3">
        <f>IFERROR(__xludf.DUMMYFUNCTION("SPLIT(A2789, ""|"")"),42931.0)</f>
        <v>42931</v>
      </c>
      <c r="E2789" s="2">
        <f>IFERROR(__xludf.DUMMYFUNCTION("""COMPUTED_VALUE"""),1368693.0)</f>
        <v>1368693</v>
      </c>
      <c r="F2789" s="2">
        <f>IFERROR(__xludf.DUMMYFUNCTION("""COMPUTED_VALUE"""),3647678.0)</f>
        <v>3647678</v>
      </c>
      <c r="G2789" s="2">
        <f>IFERROR(__xludf.DUMMYFUNCTION("""COMPUTED_VALUE"""),87.4932)</f>
        <v>87.4932</v>
      </c>
    </row>
    <row r="2790">
      <c r="A2790" s="1" t="s">
        <v>2789</v>
      </c>
      <c r="D2790" s="3">
        <f>IFERROR(__xludf.DUMMYFUNCTION("SPLIT(A2790, ""|"")"),43187.0)</f>
        <v>43187</v>
      </c>
      <c r="E2790" s="2">
        <f>IFERROR(__xludf.DUMMYFUNCTION("""COMPUTED_VALUE"""),1074813.0)</f>
        <v>1074813</v>
      </c>
      <c r="F2790" s="2">
        <f>IFERROR(__xludf.DUMMYFUNCTION("""COMPUTED_VALUE"""),4337587.0)</f>
        <v>4337587</v>
      </c>
      <c r="G2790" s="2">
        <f>IFERROR(__xludf.DUMMYFUNCTION("""COMPUTED_VALUE"""),53.8164)</f>
        <v>53.8164</v>
      </c>
    </row>
    <row r="2791">
      <c r="A2791" s="1" t="s">
        <v>2790</v>
      </c>
      <c r="D2791" s="3">
        <f>IFERROR(__xludf.DUMMYFUNCTION("SPLIT(A2791, ""|"")"),43187.0)</f>
        <v>43187</v>
      </c>
      <c r="E2791" s="2">
        <f>IFERROR(__xludf.DUMMYFUNCTION("""COMPUTED_VALUE"""),1318413.0)</f>
        <v>1318413</v>
      </c>
      <c r="F2791" s="2">
        <f>IFERROR(__xludf.DUMMYFUNCTION("""COMPUTED_VALUE"""),4337457.0)</f>
        <v>4337457</v>
      </c>
      <c r="G2791" s="2">
        <f>IFERROR(__xludf.DUMMYFUNCTION("""COMPUTED_VALUE"""),68.2610999999999)</f>
        <v>68.2611</v>
      </c>
    </row>
    <row r="2792">
      <c r="A2792" s="1" t="s">
        <v>2791</v>
      </c>
      <c r="D2792" s="3">
        <f>IFERROR(__xludf.DUMMYFUNCTION("SPLIT(A2792, ""|"")"),43187.0)</f>
        <v>43187</v>
      </c>
      <c r="E2792" s="2">
        <f>IFERROR(__xludf.DUMMYFUNCTION("""COMPUTED_VALUE"""),1560483.0)</f>
        <v>1560483</v>
      </c>
      <c r="F2792" s="2">
        <f>IFERROR(__xludf.DUMMYFUNCTION("""COMPUTED_VALUE"""),4338988.0)</f>
        <v>4338988</v>
      </c>
      <c r="G2792" s="2">
        <f>IFERROR(__xludf.DUMMYFUNCTION("""COMPUTED_VALUE"""),7.1087)</f>
        <v>7.1087</v>
      </c>
    </row>
    <row r="2793">
      <c r="A2793" s="1" t="s">
        <v>2792</v>
      </c>
      <c r="D2793" s="3">
        <f>IFERROR(__xludf.DUMMYFUNCTION("SPLIT(A2793, ""|"")"),43187.0)</f>
        <v>43187</v>
      </c>
      <c r="E2793" s="2">
        <f>IFERROR(__xludf.DUMMYFUNCTION("""COMPUTED_VALUE"""),1560423.0)</f>
        <v>1560423</v>
      </c>
      <c r="F2793" s="2">
        <f>IFERROR(__xludf.DUMMYFUNCTION("""COMPUTED_VALUE"""),4338762.0)</f>
        <v>4338762</v>
      </c>
      <c r="G2793" s="2">
        <f>IFERROR(__xludf.DUMMYFUNCTION("""COMPUTED_VALUE"""),34.5309)</f>
        <v>34.5309</v>
      </c>
    </row>
    <row r="2794">
      <c r="A2794" s="1" t="s">
        <v>2793</v>
      </c>
      <c r="D2794" s="3">
        <f>IFERROR(__xludf.DUMMYFUNCTION("SPLIT(A2794, ""|"")"),43187.0)</f>
        <v>43187</v>
      </c>
      <c r="E2794" s="2">
        <f>IFERROR(__xludf.DUMMYFUNCTION("""COMPUTED_VALUE"""),1519623.0)</f>
        <v>1519623</v>
      </c>
      <c r="F2794" s="2">
        <f>IFERROR(__xludf.DUMMYFUNCTION("""COMPUTED_VALUE"""),4338985.0)</f>
        <v>4338985</v>
      </c>
      <c r="G2794" s="2">
        <f>IFERROR(__xludf.DUMMYFUNCTION("""COMPUTED_VALUE"""),62.2472999999999)</f>
        <v>62.2473</v>
      </c>
    </row>
    <row r="2795">
      <c r="A2795" s="1" t="s">
        <v>2794</v>
      </c>
      <c r="D2795" s="3">
        <f>IFERROR(__xludf.DUMMYFUNCTION("SPLIT(A2795, ""|"")"),43187.0)</f>
        <v>43187</v>
      </c>
      <c r="E2795" s="2">
        <f>IFERROR(__xludf.DUMMYFUNCTION("""COMPUTED_VALUE"""),1491723.0)</f>
        <v>1491723</v>
      </c>
      <c r="F2795" s="2">
        <f>IFERROR(__xludf.DUMMYFUNCTION("""COMPUTED_VALUE"""),4338155.0)</f>
        <v>4338155</v>
      </c>
      <c r="G2795" s="2">
        <f>IFERROR(__xludf.DUMMYFUNCTION("""COMPUTED_VALUE"""),40.3464999999999)</f>
        <v>40.3465</v>
      </c>
    </row>
    <row r="2796">
      <c r="A2796" s="1" t="s">
        <v>2795</v>
      </c>
      <c r="D2796" s="3">
        <f>IFERROR(__xludf.DUMMYFUNCTION("SPLIT(A2796, ""|"")"),43187.0)</f>
        <v>43187</v>
      </c>
      <c r="E2796" s="2">
        <f>IFERROR(__xludf.DUMMYFUNCTION("""COMPUTED_VALUE"""),1173993.0)</f>
        <v>1173993</v>
      </c>
      <c r="F2796" s="2">
        <f>IFERROR(__xludf.DUMMYFUNCTION("""COMPUTED_VALUE"""),4339211.0)</f>
        <v>4339211</v>
      </c>
      <c r="G2796" s="2">
        <f>IFERROR(__xludf.DUMMYFUNCTION("""COMPUTED_VALUE"""),248.725499999999)</f>
        <v>248.7255</v>
      </c>
    </row>
    <row r="2797">
      <c r="A2797" s="1" t="s">
        <v>2796</v>
      </c>
      <c r="D2797" s="3">
        <f>IFERROR(__xludf.DUMMYFUNCTION("SPLIT(A2797, ""|"")"),43187.0)</f>
        <v>43187</v>
      </c>
      <c r="E2797" s="2">
        <f>IFERROR(__xludf.DUMMYFUNCTION("""COMPUTED_VALUE"""),1559853.0)</f>
        <v>1559853</v>
      </c>
      <c r="F2797" s="2">
        <f>IFERROR(__xludf.DUMMYFUNCTION("""COMPUTED_VALUE"""),4336492.0)</f>
        <v>4336492</v>
      </c>
      <c r="G2797" s="2">
        <f>IFERROR(__xludf.DUMMYFUNCTION("""COMPUTED_VALUE"""),35.3466)</f>
        <v>35.3466</v>
      </c>
    </row>
    <row r="2798">
      <c r="A2798" s="1" t="s">
        <v>2797</v>
      </c>
      <c r="D2798" s="3">
        <f>IFERROR(__xludf.DUMMYFUNCTION("SPLIT(A2798, ""|"")"),43443.0)</f>
        <v>43443</v>
      </c>
      <c r="E2798" s="2">
        <f>IFERROR(__xludf.DUMMYFUNCTION("""COMPUTED_VALUE"""),1722093.0)</f>
        <v>1722093</v>
      </c>
      <c r="F2798" s="2">
        <f>IFERROR(__xludf.DUMMYFUNCTION("""COMPUTED_VALUE"""),5293941.0)</f>
        <v>5293941</v>
      </c>
      <c r="G2798" s="2">
        <f>IFERROR(__xludf.DUMMYFUNCTION("""COMPUTED_VALUE"""),91.4720999999999)</f>
        <v>91.4721</v>
      </c>
    </row>
    <row r="2799">
      <c r="A2799" s="1" t="s">
        <v>2798</v>
      </c>
      <c r="D2799" s="3">
        <f>IFERROR(__xludf.DUMMYFUNCTION("SPLIT(A2799, ""|"")"),43443.0)</f>
        <v>43443</v>
      </c>
      <c r="E2799" s="2">
        <f>IFERROR(__xludf.DUMMYFUNCTION("""COMPUTED_VALUE"""),1809903.0)</f>
        <v>1809903</v>
      </c>
      <c r="F2799" s="2">
        <f>IFERROR(__xludf.DUMMYFUNCTION("""COMPUTED_VALUE"""),5293535.0)</f>
        <v>5293535</v>
      </c>
      <c r="G2799" s="2">
        <f>IFERROR(__xludf.DUMMYFUNCTION("""COMPUTED_VALUE"""),26.3267)</f>
        <v>26.3267</v>
      </c>
    </row>
    <row r="2800">
      <c r="A2800" s="1" t="s">
        <v>2799</v>
      </c>
      <c r="D2800" s="3">
        <f>IFERROR(__xludf.DUMMYFUNCTION("SPLIT(A2800, ""|"")"),43443.0)</f>
        <v>43443</v>
      </c>
      <c r="E2800" s="2">
        <f>IFERROR(__xludf.DUMMYFUNCTION("""COMPUTED_VALUE"""),1656453.0)</f>
        <v>1656453</v>
      </c>
      <c r="F2800" s="2">
        <f>IFERROR(__xludf.DUMMYFUNCTION("""COMPUTED_VALUE"""),5296314.0)</f>
        <v>5296314</v>
      </c>
      <c r="G2800" s="2">
        <f>IFERROR(__xludf.DUMMYFUNCTION("""COMPUTED_VALUE"""),26.2084)</f>
        <v>26.2084</v>
      </c>
    </row>
    <row r="2801">
      <c r="A2801" s="1" t="s">
        <v>2800</v>
      </c>
      <c r="D2801" s="3">
        <f>IFERROR(__xludf.DUMMYFUNCTION("SPLIT(A2801, ""|"")"),43443.0)</f>
        <v>43443</v>
      </c>
      <c r="E2801" s="2">
        <f>IFERROR(__xludf.DUMMYFUNCTION("""COMPUTED_VALUE"""),410973.0)</f>
        <v>410973</v>
      </c>
      <c r="F2801" s="2">
        <f>IFERROR(__xludf.DUMMYFUNCTION("""COMPUTED_VALUE"""),5293831.0)</f>
        <v>5293831</v>
      </c>
      <c r="G2801" s="2">
        <f>IFERROR(__xludf.DUMMYFUNCTION("""COMPUTED_VALUE"""),64.6041)</f>
        <v>64.6041</v>
      </c>
    </row>
    <row r="2802">
      <c r="A2802" s="1" t="s">
        <v>2801</v>
      </c>
      <c r="D2802" s="3">
        <f>IFERROR(__xludf.DUMMYFUNCTION("SPLIT(A2802, ""|"")"),43443.0)</f>
        <v>43443</v>
      </c>
      <c r="E2802" s="2">
        <f>IFERROR(__xludf.DUMMYFUNCTION("""COMPUTED_VALUE"""),1184643.0)</f>
        <v>1184643</v>
      </c>
      <c r="F2802" s="2">
        <f>IFERROR(__xludf.DUMMYFUNCTION("""COMPUTED_VALUE"""),5298435.0)</f>
        <v>5298435</v>
      </c>
      <c r="G2802" s="2">
        <f>IFERROR(__xludf.DUMMYFUNCTION("""COMPUTED_VALUE"""),171.1863)</f>
        <v>171.1863</v>
      </c>
    </row>
    <row r="2803">
      <c r="A2803" s="1" t="s">
        <v>2802</v>
      </c>
      <c r="D2803" s="3">
        <f>IFERROR(__xludf.DUMMYFUNCTION("SPLIT(A2803, ""|"")"),43443.0)</f>
        <v>43443</v>
      </c>
      <c r="E2803" s="2">
        <f>IFERROR(__xludf.DUMMYFUNCTION("""COMPUTED_VALUE"""),1775463.0)</f>
        <v>1775463</v>
      </c>
      <c r="F2803" s="2">
        <f>IFERROR(__xludf.DUMMYFUNCTION("""COMPUTED_VALUE"""),5298249.0)</f>
        <v>5298249</v>
      </c>
      <c r="G2803" s="2">
        <f>IFERROR(__xludf.DUMMYFUNCTION("""COMPUTED_VALUE"""),10.8256)</f>
        <v>10.8256</v>
      </c>
    </row>
    <row r="2804">
      <c r="A2804" s="1" t="s">
        <v>2803</v>
      </c>
      <c r="D2804" s="3">
        <f>IFERROR(__xludf.DUMMYFUNCTION("SPLIT(A2804, ""|"")"),43443.0)</f>
        <v>43443</v>
      </c>
      <c r="E2804" s="2">
        <f>IFERROR(__xludf.DUMMYFUNCTION("""COMPUTED_VALUE"""),1519503.0)</f>
        <v>1519503</v>
      </c>
      <c r="F2804" s="2">
        <f>IFERROR(__xludf.DUMMYFUNCTION("""COMPUTED_VALUE"""),5295810.0)</f>
        <v>5295810</v>
      </c>
      <c r="G2804" s="2">
        <f>IFERROR(__xludf.DUMMYFUNCTION("""COMPUTED_VALUE"""),51.5342)</f>
        <v>51.5342</v>
      </c>
    </row>
    <row r="2805">
      <c r="A2805" s="1" t="s">
        <v>2804</v>
      </c>
      <c r="D2805" s="3">
        <f>IFERROR(__xludf.DUMMYFUNCTION("SPLIT(A2805, ""|"")"),43443.0)</f>
        <v>43443</v>
      </c>
      <c r="E2805" s="2">
        <f>IFERROR(__xludf.DUMMYFUNCTION("""COMPUTED_VALUE"""),1649583.0)</f>
        <v>1649583</v>
      </c>
      <c r="F2805" s="2">
        <f>IFERROR(__xludf.DUMMYFUNCTION("""COMPUTED_VALUE"""),5296934.0)</f>
        <v>5296934</v>
      </c>
      <c r="G2805" s="2">
        <f>IFERROR(__xludf.DUMMYFUNCTION("""COMPUTED_VALUE"""),39.5343)</f>
        <v>39.5343</v>
      </c>
    </row>
    <row r="2806">
      <c r="A2806" s="1" t="s">
        <v>2805</v>
      </c>
      <c r="D2806" s="3">
        <f>IFERROR(__xludf.DUMMYFUNCTION("SPLIT(A2806, ""|"")"),43443.0)</f>
        <v>43443</v>
      </c>
      <c r="E2806" s="2">
        <f>IFERROR(__xludf.DUMMYFUNCTION("""COMPUTED_VALUE"""),77973.0)</f>
        <v>77973</v>
      </c>
      <c r="F2806" s="2">
        <f>IFERROR(__xludf.DUMMYFUNCTION("""COMPUTED_VALUE"""),5293863.0)</f>
        <v>5293863</v>
      </c>
      <c r="G2806" s="2">
        <f>IFERROR(__xludf.DUMMYFUNCTION("""COMPUTED_VALUE"""),15.7332)</f>
        <v>15.7332</v>
      </c>
    </row>
    <row r="2807">
      <c r="A2807" s="1" t="s">
        <v>2806</v>
      </c>
      <c r="D2807" s="3">
        <f>IFERROR(__xludf.DUMMYFUNCTION("SPLIT(A2807, ""|"")"),43443.0)</f>
        <v>43443</v>
      </c>
      <c r="E2807" s="2">
        <f>IFERROR(__xludf.DUMMYFUNCTION("""COMPUTED_VALUE"""),126573.0)</f>
        <v>126573</v>
      </c>
      <c r="F2807" s="2">
        <f>IFERROR(__xludf.DUMMYFUNCTION("""COMPUTED_VALUE"""),5295821.0)</f>
        <v>5295821</v>
      </c>
      <c r="G2807" s="2">
        <f>IFERROR(__xludf.DUMMYFUNCTION("""COMPUTED_VALUE"""),75.0322999999999)</f>
        <v>75.0323</v>
      </c>
    </row>
    <row r="2808">
      <c r="A2808" s="1" t="s">
        <v>2807</v>
      </c>
      <c r="D2808" s="3">
        <f>IFERROR(__xludf.DUMMYFUNCTION("SPLIT(A2808, ""|"")"),42932.0)</f>
        <v>42932</v>
      </c>
      <c r="E2808" s="2">
        <f>IFERROR(__xludf.DUMMYFUNCTION("""COMPUTED_VALUE"""),1184643.0)</f>
        <v>1184643</v>
      </c>
      <c r="F2808" s="2">
        <f>IFERROR(__xludf.DUMMYFUNCTION("""COMPUTED_VALUE"""),3650877.0)</f>
        <v>3650877</v>
      </c>
      <c r="G2808" s="2">
        <f>IFERROR(__xludf.DUMMYFUNCTION("""COMPUTED_VALUE"""),85.1545)</f>
        <v>85.1545</v>
      </c>
    </row>
    <row r="2809">
      <c r="A2809" s="1" t="s">
        <v>2808</v>
      </c>
      <c r="D2809" s="3">
        <f>IFERROR(__xludf.DUMMYFUNCTION("SPLIT(A2809, ""|"")"),42932.0)</f>
        <v>42932</v>
      </c>
      <c r="E2809" s="2">
        <f>IFERROR(__xludf.DUMMYFUNCTION("""COMPUTED_VALUE"""),1125063.0)</f>
        <v>1125063</v>
      </c>
      <c r="F2809" s="2">
        <f>IFERROR(__xludf.DUMMYFUNCTION("""COMPUTED_VALUE"""),3648780.0)</f>
        <v>3648780</v>
      </c>
      <c r="G2809" s="2">
        <f>IFERROR(__xludf.DUMMYFUNCTION("""COMPUTED_VALUE"""),118.668)</f>
        <v>118.668</v>
      </c>
    </row>
    <row r="2810">
      <c r="A2810" s="1" t="s">
        <v>2809</v>
      </c>
      <c r="D2810" s="3">
        <f>IFERROR(__xludf.DUMMYFUNCTION("SPLIT(A2810, ""|"")"),42932.0)</f>
        <v>42932</v>
      </c>
      <c r="E2810" s="2">
        <f>IFERROR(__xludf.DUMMYFUNCTION("""COMPUTED_VALUE"""),1378593.0)</f>
        <v>1378593</v>
      </c>
      <c r="F2810" s="2">
        <f>IFERROR(__xludf.DUMMYFUNCTION("""COMPUTED_VALUE"""),3650915.0)</f>
        <v>3650915</v>
      </c>
      <c r="G2810" s="2">
        <f>IFERROR(__xludf.DUMMYFUNCTION("""COMPUTED_VALUE"""),33.575)</f>
        <v>33.575</v>
      </c>
    </row>
    <row r="2811">
      <c r="A2811" s="1" t="s">
        <v>2810</v>
      </c>
      <c r="D2811" s="3">
        <f>IFERROR(__xludf.DUMMYFUNCTION("SPLIT(A2811, ""|"")"),42932.0)</f>
        <v>42932</v>
      </c>
      <c r="E2811" s="2">
        <f>IFERROR(__xludf.DUMMYFUNCTION("""COMPUTED_VALUE"""),425463.0)</f>
        <v>425463</v>
      </c>
      <c r="F2811" s="2">
        <f>IFERROR(__xludf.DUMMYFUNCTION("""COMPUTED_VALUE"""),3649481.0)</f>
        <v>3649481</v>
      </c>
      <c r="G2811" s="2">
        <f>IFERROR(__xludf.DUMMYFUNCTION("""COMPUTED_VALUE"""),87.0212)</f>
        <v>87.0212</v>
      </c>
    </row>
    <row r="2812">
      <c r="A2812" s="1" t="s">
        <v>2811</v>
      </c>
      <c r="D2812" s="3">
        <f>IFERROR(__xludf.DUMMYFUNCTION("SPLIT(A2812, ""|"")"),42932.0)</f>
        <v>42932</v>
      </c>
      <c r="E2812" s="2">
        <f>IFERROR(__xludf.DUMMYFUNCTION("""COMPUTED_VALUE"""),1223673.0)</f>
        <v>1223673</v>
      </c>
      <c r="F2812" s="2">
        <f>IFERROR(__xludf.DUMMYFUNCTION("""COMPUTED_VALUE"""),3650221.0)</f>
        <v>3650221</v>
      </c>
      <c r="G2812" s="2">
        <f>IFERROR(__xludf.DUMMYFUNCTION("""COMPUTED_VALUE"""),61.4657)</f>
        <v>61.4657</v>
      </c>
    </row>
    <row r="2813">
      <c r="A2813" s="1" t="s">
        <v>2812</v>
      </c>
      <c r="D2813" s="3">
        <f>IFERROR(__xludf.DUMMYFUNCTION("SPLIT(A2813, ""|"")"),43188.0)</f>
        <v>43188</v>
      </c>
      <c r="E2813" s="2">
        <f>IFERROR(__xludf.DUMMYFUNCTION("""COMPUTED_VALUE"""),1560633.0)</f>
        <v>1560633</v>
      </c>
      <c r="F2813" s="2">
        <f>IFERROR(__xludf.DUMMYFUNCTION("""COMPUTED_VALUE"""),4339599.0)</f>
        <v>4339599</v>
      </c>
      <c r="G2813" s="2">
        <f>IFERROR(__xludf.DUMMYFUNCTION("""COMPUTED_VALUE"""),20.75)</f>
        <v>20.75</v>
      </c>
    </row>
    <row r="2814">
      <c r="A2814" s="1" t="s">
        <v>2813</v>
      </c>
      <c r="D2814" s="3">
        <f>IFERROR(__xludf.DUMMYFUNCTION("SPLIT(A2814, ""|"")"),43188.0)</f>
        <v>43188</v>
      </c>
      <c r="E2814" s="2">
        <f>IFERROR(__xludf.DUMMYFUNCTION("""COMPUTED_VALUE"""),1145583.0)</f>
        <v>1145583</v>
      </c>
      <c r="F2814" s="2">
        <f>IFERROR(__xludf.DUMMYFUNCTION("""COMPUTED_VALUE"""),4340842.0)</f>
        <v>4340842</v>
      </c>
      <c r="G2814" s="2">
        <f>IFERROR(__xludf.DUMMYFUNCTION("""COMPUTED_VALUE"""),84.9158)</f>
        <v>84.9158</v>
      </c>
    </row>
    <row r="2815">
      <c r="A2815" s="1" t="s">
        <v>2814</v>
      </c>
      <c r="D2815" s="3">
        <f>IFERROR(__xludf.DUMMYFUNCTION("SPLIT(A2815, ""|"")"),43188.0)</f>
        <v>43188</v>
      </c>
      <c r="E2815" s="2">
        <f>IFERROR(__xludf.DUMMYFUNCTION("""COMPUTED_VALUE"""),1561083.0)</f>
        <v>1561083</v>
      </c>
      <c r="F2815" s="2">
        <f>IFERROR(__xludf.DUMMYFUNCTION("""COMPUTED_VALUE"""),4341485.0)</f>
        <v>4341485</v>
      </c>
      <c r="G2815" s="2">
        <f>IFERROR(__xludf.DUMMYFUNCTION("""COMPUTED_VALUE"""),31.0958)</f>
        <v>31.0958</v>
      </c>
    </row>
    <row r="2816">
      <c r="A2816" s="1" t="s">
        <v>2815</v>
      </c>
      <c r="D2816" s="3">
        <f>IFERROR(__xludf.DUMMYFUNCTION("SPLIT(A2816, ""|"")"),43188.0)</f>
        <v>43188</v>
      </c>
      <c r="E2816" s="2">
        <f>IFERROR(__xludf.DUMMYFUNCTION("""COMPUTED_VALUE"""),1559463.0)</f>
        <v>1559463</v>
      </c>
      <c r="F2816" s="2">
        <f>IFERROR(__xludf.DUMMYFUNCTION("""COMPUTED_VALUE"""),4341246.0)</f>
        <v>4341246</v>
      </c>
      <c r="G2816" s="2">
        <f>IFERROR(__xludf.DUMMYFUNCTION("""COMPUTED_VALUE"""),12.3035)</f>
        <v>12.3035</v>
      </c>
    </row>
    <row r="2817">
      <c r="A2817" s="1" t="s">
        <v>2816</v>
      </c>
      <c r="D2817" s="3">
        <f>IFERROR(__xludf.DUMMYFUNCTION("SPLIT(A2817, ""|"")"),43188.0)</f>
        <v>43188</v>
      </c>
      <c r="E2817" s="2">
        <f>IFERROR(__xludf.DUMMYFUNCTION("""COMPUTED_VALUE"""),1467843.0)</f>
        <v>1467843</v>
      </c>
      <c r="F2817" s="2">
        <f>IFERROR(__xludf.DUMMYFUNCTION("""COMPUTED_VALUE"""),4341404.0)</f>
        <v>4341404</v>
      </c>
      <c r="G2817" s="2">
        <f>IFERROR(__xludf.DUMMYFUNCTION("""COMPUTED_VALUE"""),41.1082)</f>
        <v>41.1082</v>
      </c>
    </row>
    <row r="2818">
      <c r="A2818" s="1" t="s">
        <v>2817</v>
      </c>
      <c r="D2818" s="3">
        <f>IFERROR(__xludf.DUMMYFUNCTION("SPLIT(A2818, ""|"")"),43188.0)</f>
        <v>43188</v>
      </c>
      <c r="E2818" s="2">
        <f>IFERROR(__xludf.DUMMYFUNCTION("""COMPUTED_VALUE"""),1560603.0)</f>
        <v>1560603</v>
      </c>
      <c r="F2818" s="2">
        <f>IFERROR(__xludf.DUMMYFUNCTION("""COMPUTED_VALUE"""),4339465.0)</f>
        <v>4339465</v>
      </c>
      <c r="G2818" s="2">
        <f>IFERROR(__xludf.DUMMYFUNCTION("""COMPUTED_VALUE"""),8.8333)</f>
        <v>8.8333</v>
      </c>
    </row>
    <row r="2819">
      <c r="A2819" s="1" t="s">
        <v>2818</v>
      </c>
      <c r="D2819" s="3">
        <f>IFERROR(__xludf.DUMMYFUNCTION("SPLIT(A2819, ""|"")"),43188.0)</f>
        <v>43188</v>
      </c>
      <c r="E2819" s="2">
        <f>IFERROR(__xludf.DUMMYFUNCTION("""COMPUTED_VALUE"""),1035903.0)</f>
        <v>1035903</v>
      </c>
      <c r="F2819" s="2">
        <f>IFERROR(__xludf.DUMMYFUNCTION("""COMPUTED_VALUE"""),4340374.0)</f>
        <v>4340374</v>
      </c>
      <c r="G2819" s="2">
        <f>IFERROR(__xludf.DUMMYFUNCTION("""COMPUTED_VALUE"""),154.4167)</f>
        <v>154.4167</v>
      </c>
    </row>
    <row r="2820">
      <c r="A2820" s="1" t="s">
        <v>2819</v>
      </c>
      <c r="D2820" s="3">
        <f>IFERROR(__xludf.DUMMYFUNCTION("SPLIT(A2820, ""|"")"),43444.0)</f>
        <v>43444</v>
      </c>
      <c r="E2820" s="2">
        <f>IFERROR(__xludf.DUMMYFUNCTION("""COMPUTED_VALUE"""),278853.0)</f>
        <v>278853</v>
      </c>
      <c r="F2820" s="2">
        <f>IFERROR(__xludf.DUMMYFUNCTION("""COMPUTED_VALUE"""),5301271.0)</f>
        <v>5301271</v>
      </c>
      <c r="G2820" s="2">
        <f>IFERROR(__xludf.DUMMYFUNCTION("""COMPUTED_VALUE"""),39.8625)</f>
        <v>39.8625</v>
      </c>
    </row>
    <row r="2821">
      <c r="A2821" s="1" t="s">
        <v>2820</v>
      </c>
      <c r="D2821" s="3">
        <f>IFERROR(__xludf.DUMMYFUNCTION("SPLIT(A2821, ""|"")"),43444.0)</f>
        <v>43444</v>
      </c>
      <c r="E2821" s="2">
        <f>IFERROR(__xludf.DUMMYFUNCTION("""COMPUTED_VALUE"""),1811763.0)</f>
        <v>1811763</v>
      </c>
      <c r="F2821" s="2">
        <f>IFERROR(__xludf.DUMMYFUNCTION("""COMPUTED_VALUE"""),5300762.0)</f>
        <v>5300762</v>
      </c>
      <c r="G2821" s="2">
        <f>IFERROR(__xludf.DUMMYFUNCTION("""COMPUTED_VALUE"""),10.4266)</f>
        <v>10.4266</v>
      </c>
    </row>
    <row r="2822">
      <c r="A2822" s="1" t="s">
        <v>2821</v>
      </c>
      <c r="D2822" s="3">
        <f>IFERROR(__xludf.DUMMYFUNCTION("SPLIT(A2822, ""|"")"),43444.0)</f>
        <v>43444</v>
      </c>
      <c r="E2822" s="2">
        <f>IFERROR(__xludf.DUMMYFUNCTION("""COMPUTED_VALUE"""),1110273.0)</f>
        <v>1110273</v>
      </c>
      <c r="F2822" s="2">
        <f>IFERROR(__xludf.DUMMYFUNCTION("""COMPUTED_VALUE"""),5302693.0)</f>
        <v>5302693</v>
      </c>
      <c r="G2822" s="2">
        <f>IFERROR(__xludf.DUMMYFUNCTION("""COMPUTED_VALUE"""),90.4812999999999)</f>
        <v>90.4813</v>
      </c>
    </row>
    <row r="2823">
      <c r="A2823" s="1" t="s">
        <v>2822</v>
      </c>
      <c r="D2823" s="3">
        <f>IFERROR(__xludf.DUMMYFUNCTION("SPLIT(A2823, ""|"")"),43444.0)</f>
        <v>43444</v>
      </c>
      <c r="E2823" s="2">
        <f>IFERROR(__xludf.DUMMYFUNCTION("""COMPUTED_VALUE"""),1725633.0)</f>
        <v>1725633</v>
      </c>
      <c r="F2823" s="2">
        <f>IFERROR(__xludf.DUMMYFUNCTION("""COMPUTED_VALUE"""),5300875.0)</f>
        <v>5300875</v>
      </c>
      <c r="G2823" s="2">
        <f>IFERROR(__xludf.DUMMYFUNCTION("""COMPUTED_VALUE"""),74.6417)</f>
        <v>74.6417</v>
      </c>
    </row>
    <row r="2824">
      <c r="A2824" s="1" t="s">
        <v>2823</v>
      </c>
      <c r="D2824" s="3">
        <f>IFERROR(__xludf.DUMMYFUNCTION("SPLIT(A2824, ""|"")"),43444.0)</f>
        <v>43444</v>
      </c>
      <c r="E2824" s="2">
        <f>IFERROR(__xludf.DUMMYFUNCTION("""COMPUTED_VALUE"""),1811463.0)</f>
        <v>1811463</v>
      </c>
      <c r="F2824" s="2">
        <f>IFERROR(__xludf.DUMMYFUNCTION("""COMPUTED_VALUE"""),5299688.0)</f>
        <v>5299688</v>
      </c>
      <c r="G2824" s="2">
        <f>IFERROR(__xludf.DUMMYFUNCTION("""COMPUTED_VALUE"""),53.0823)</f>
        <v>53.0823</v>
      </c>
    </row>
    <row r="2825">
      <c r="A2825" s="1" t="s">
        <v>2824</v>
      </c>
      <c r="D2825" s="3">
        <f>IFERROR(__xludf.DUMMYFUNCTION("SPLIT(A2825, ""|"")"),43444.0)</f>
        <v>43444</v>
      </c>
      <c r="E2825" s="2">
        <f>IFERROR(__xludf.DUMMYFUNCTION("""COMPUTED_VALUE"""),1296213.0)</f>
        <v>1296213</v>
      </c>
      <c r="F2825" s="2">
        <f>IFERROR(__xludf.DUMMYFUNCTION("""COMPUTED_VALUE"""),5299320.0)</f>
        <v>5299320</v>
      </c>
      <c r="G2825" s="2">
        <f>IFERROR(__xludf.DUMMYFUNCTION("""COMPUTED_VALUE"""),151.983)</f>
        <v>151.983</v>
      </c>
    </row>
    <row r="2826">
      <c r="A2826" s="1" t="s">
        <v>2825</v>
      </c>
      <c r="D2826" s="3">
        <f>IFERROR(__xludf.DUMMYFUNCTION("SPLIT(A2826, ""|"")"),43444.0)</f>
        <v>43444</v>
      </c>
      <c r="E2826" s="2">
        <f>IFERROR(__xludf.DUMMYFUNCTION("""COMPUTED_VALUE"""),1533513.0)</f>
        <v>1533513</v>
      </c>
      <c r="F2826" s="2">
        <f>IFERROR(__xludf.DUMMYFUNCTION("""COMPUTED_VALUE"""),5299513.0)</f>
        <v>5299513</v>
      </c>
      <c r="G2826" s="2">
        <f>IFERROR(__xludf.DUMMYFUNCTION("""COMPUTED_VALUE"""),73.6800999999999)</f>
        <v>73.6801</v>
      </c>
    </row>
    <row r="2827">
      <c r="A2827" s="1" t="s">
        <v>2826</v>
      </c>
      <c r="D2827" s="3">
        <f>IFERROR(__xludf.DUMMYFUNCTION("SPLIT(A2827, ""|"")"),43444.0)</f>
        <v>43444</v>
      </c>
      <c r="E2827" s="2">
        <f>IFERROR(__xludf.DUMMYFUNCTION("""COMPUTED_VALUE"""),1811703.0)</f>
        <v>1811703</v>
      </c>
      <c r="F2827" s="2">
        <f>IFERROR(__xludf.DUMMYFUNCTION("""COMPUTED_VALUE"""),5300720.0)</f>
        <v>5300720</v>
      </c>
      <c r="G2827" s="2">
        <f>IFERROR(__xludf.DUMMYFUNCTION("""COMPUTED_VALUE"""),47.4209)</f>
        <v>47.4209</v>
      </c>
    </row>
    <row r="2828">
      <c r="A2828" s="1" t="s">
        <v>2827</v>
      </c>
      <c r="D2828" s="3">
        <f>IFERROR(__xludf.DUMMYFUNCTION("SPLIT(A2828, ""|"")"),43444.0)</f>
        <v>43444</v>
      </c>
      <c r="E2828" s="2">
        <f>IFERROR(__xludf.DUMMYFUNCTION("""COMPUTED_VALUE"""),1689333.0)</f>
        <v>1689333</v>
      </c>
      <c r="F2828" s="2">
        <f>IFERROR(__xludf.DUMMYFUNCTION("""COMPUTED_VALUE"""),5301078.0)</f>
        <v>5301078</v>
      </c>
      <c r="G2828" s="2">
        <f>IFERROR(__xludf.DUMMYFUNCTION("""COMPUTED_VALUE"""),27.6297)</f>
        <v>27.6297</v>
      </c>
    </row>
    <row r="2829">
      <c r="A2829" s="1" t="s">
        <v>2828</v>
      </c>
      <c r="D2829" s="3">
        <f>IFERROR(__xludf.DUMMYFUNCTION("SPLIT(A2829, ""|"")"),43444.0)</f>
        <v>43444</v>
      </c>
      <c r="E2829" s="2">
        <f>IFERROR(__xludf.DUMMYFUNCTION("""COMPUTED_VALUE"""),1305483.0)</f>
        <v>1305483</v>
      </c>
      <c r="F2829" s="2">
        <f>IFERROR(__xludf.DUMMYFUNCTION("""COMPUTED_VALUE"""),5302515.0)</f>
        <v>5302515</v>
      </c>
      <c r="G2829" s="2">
        <f>IFERROR(__xludf.DUMMYFUNCTION("""COMPUTED_VALUE"""),113.5105)</f>
        <v>113.5105</v>
      </c>
    </row>
    <row r="2830">
      <c r="A2830" s="1" t="s">
        <v>2829</v>
      </c>
      <c r="D2830" s="3">
        <f>IFERROR(__xludf.DUMMYFUNCTION("SPLIT(A2830, ""|"")"),43444.0)</f>
        <v>43444</v>
      </c>
      <c r="E2830" s="2">
        <f>IFERROR(__xludf.DUMMYFUNCTION("""COMPUTED_VALUE"""),1811643.0)</f>
        <v>1811643</v>
      </c>
      <c r="F2830" s="2">
        <f>IFERROR(__xludf.DUMMYFUNCTION("""COMPUTED_VALUE"""),5300337.0)</f>
        <v>5300337</v>
      </c>
      <c r="G2830" s="2">
        <f>IFERROR(__xludf.DUMMYFUNCTION("""COMPUTED_VALUE"""),38.4434)</f>
        <v>38.4434</v>
      </c>
    </row>
    <row r="2831">
      <c r="A2831" s="1" t="s">
        <v>2830</v>
      </c>
      <c r="D2831" s="3">
        <f>IFERROR(__xludf.DUMMYFUNCTION("SPLIT(A2831, ""|"")"),42933.0)</f>
        <v>42933</v>
      </c>
      <c r="E2831" s="2">
        <f>IFERROR(__xludf.DUMMYFUNCTION("""COMPUTED_VALUE"""),1352673.0)</f>
        <v>1352673</v>
      </c>
      <c r="F2831" s="2">
        <f>IFERROR(__xludf.DUMMYFUNCTION("""COMPUTED_VALUE"""),3654039.0)</f>
        <v>3654039</v>
      </c>
      <c r="G2831" s="2">
        <f>IFERROR(__xludf.DUMMYFUNCTION("""COMPUTED_VALUE"""),15.3593)</f>
        <v>15.3593</v>
      </c>
    </row>
    <row r="2832">
      <c r="A2832" s="1" t="s">
        <v>2831</v>
      </c>
      <c r="D2832" s="3">
        <f>IFERROR(__xludf.DUMMYFUNCTION("SPLIT(A2832, ""|"")"),42933.0)</f>
        <v>42933</v>
      </c>
      <c r="E2832" s="2">
        <f>IFERROR(__xludf.DUMMYFUNCTION("""COMPUTED_VALUE"""),1213623.0)</f>
        <v>1213623</v>
      </c>
      <c r="F2832" s="2">
        <f>IFERROR(__xludf.DUMMYFUNCTION("""COMPUTED_VALUE"""),3652046.0)</f>
        <v>3652046</v>
      </c>
      <c r="G2832" s="2">
        <f>IFERROR(__xludf.DUMMYFUNCTION("""COMPUTED_VALUE"""),64.7434)</f>
        <v>64.7434</v>
      </c>
    </row>
    <row r="2833">
      <c r="A2833" s="1" t="s">
        <v>2832</v>
      </c>
      <c r="D2833" s="3">
        <f>IFERROR(__xludf.DUMMYFUNCTION("SPLIT(A2833, ""|"")"),42933.0)</f>
        <v>42933</v>
      </c>
      <c r="E2833" s="2">
        <f>IFERROR(__xludf.DUMMYFUNCTION("""COMPUTED_VALUE"""),395523.0)</f>
        <v>395523</v>
      </c>
      <c r="F2833" s="2">
        <f>IFERROR(__xludf.DUMMYFUNCTION("""COMPUTED_VALUE"""),3653273.0)</f>
        <v>3653273</v>
      </c>
      <c r="G2833" s="2">
        <f>IFERROR(__xludf.DUMMYFUNCTION("""COMPUTED_VALUE"""),151.2596)</f>
        <v>151.2596</v>
      </c>
    </row>
    <row r="2834">
      <c r="A2834" s="1" t="s">
        <v>2833</v>
      </c>
      <c r="D2834" s="3">
        <f>IFERROR(__xludf.DUMMYFUNCTION("SPLIT(A2834, ""|"")"),42933.0)</f>
        <v>42933</v>
      </c>
      <c r="E2834" s="2">
        <f>IFERROR(__xludf.DUMMYFUNCTION("""COMPUTED_VALUE"""),1379193.0)</f>
        <v>1379193</v>
      </c>
      <c r="F2834" s="2">
        <f>IFERROR(__xludf.DUMMYFUNCTION("""COMPUTED_VALUE"""),3654070.0)</f>
        <v>3654070</v>
      </c>
      <c r="G2834" s="2">
        <f>IFERROR(__xludf.DUMMYFUNCTION("""COMPUTED_VALUE"""),33.8334)</f>
        <v>33.8334</v>
      </c>
    </row>
    <row r="2835">
      <c r="A2835" s="1" t="s">
        <v>2834</v>
      </c>
      <c r="D2835" s="3">
        <f>IFERROR(__xludf.DUMMYFUNCTION("SPLIT(A2835, ""|"")"),42933.0)</f>
        <v>42933</v>
      </c>
      <c r="E2835" s="2">
        <f>IFERROR(__xludf.DUMMYFUNCTION("""COMPUTED_VALUE"""),306753.0)</f>
        <v>306753</v>
      </c>
      <c r="F2835" s="2">
        <f>IFERROR(__xludf.DUMMYFUNCTION("""COMPUTED_VALUE"""),3652566.0)</f>
        <v>3652566</v>
      </c>
      <c r="G2835" s="2">
        <f>IFERROR(__xludf.DUMMYFUNCTION("""COMPUTED_VALUE"""),118.7233)</f>
        <v>118.7233</v>
      </c>
    </row>
    <row r="2836">
      <c r="A2836" s="1" t="s">
        <v>2835</v>
      </c>
      <c r="D2836" s="3">
        <f>IFERROR(__xludf.DUMMYFUNCTION("SPLIT(A2836, ""|"")"),42933.0)</f>
        <v>42933</v>
      </c>
      <c r="E2836" s="2">
        <f>IFERROR(__xludf.DUMMYFUNCTION("""COMPUTED_VALUE"""),1141683.0)</f>
        <v>1141683</v>
      </c>
      <c r="F2836" s="2">
        <f>IFERROR(__xludf.DUMMYFUNCTION("""COMPUTED_VALUE"""),3653956.0)</f>
        <v>3653956</v>
      </c>
      <c r="G2836" s="2">
        <f>IFERROR(__xludf.DUMMYFUNCTION("""COMPUTED_VALUE"""),71.4388)</f>
        <v>71.4388</v>
      </c>
    </row>
    <row r="2837">
      <c r="A2837" s="1" t="s">
        <v>2836</v>
      </c>
      <c r="D2837" s="3">
        <f>IFERROR(__xludf.DUMMYFUNCTION("SPLIT(A2837, ""|"")"),42933.0)</f>
        <v>42933</v>
      </c>
      <c r="E2837" s="2">
        <f>IFERROR(__xludf.DUMMYFUNCTION("""COMPUTED_VALUE"""),1379133.0)</f>
        <v>1379133</v>
      </c>
      <c r="F2837" s="2">
        <f>IFERROR(__xludf.DUMMYFUNCTION("""COMPUTED_VALUE"""),3653717.0)</f>
        <v>3653717</v>
      </c>
      <c r="G2837" s="2">
        <f>IFERROR(__xludf.DUMMYFUNCTION("""COMPUTED_VALUE"""),56.3092)</f>
        <v>56.3092</v>
      </c>
    </row>
    <row r="2838">
      <c r="A2838" s="1" t="s">
        <v>2837</v>
      </c>
      <c r="D2838" s="3">
        <f>IFERROR(__xludf.DUMMYFUNCTION("SPLIT(A2838, ""|"")"),42933.0)</f>
        <v>42933</v>
      </c>
      <c r="E2838" s="2">
        <f>IFERROR(__xludf.DUMMYFUNCTION("""COMPUTED_VALUE"""),1379253.0)</f>
        <v>1379253</v>
      </c>
      <c r="F2838" s="2">
        <f>IFERROR(__xludf.DUMMYFUNCTION("""COMPUTED_VALUE"""),3654426.0)</f>
        <v>3654426</v>
      </c>
      <c r="G2838" s="2">
        <f>IFERROR(__xludf.DUMMYFUNCTION("""COMPUTED_VALUE"""),33.3516)</f>
        <v>33.3516</v>
      </c>
    </row>
    <row r="2839">
      <c r="A2839" s="1" t="s">
        <v>2838</v>
      </c>
      <c r="D2839" s="3">
        <f>IFERROR(__xludf.DUMMYFUNCTION("SPLIT(A2839, ""|"")"),42933.0)</f>
        <v>42933</v>
      </c>
      <c r="E2839" s="2">
        <f>IFERROR(__xludf.DUMMYFUNCTION("""COMPUTED_VALUE"""),1367313.0)</f>
        <v>1367313</v>
      </c>
      <c r="F2839" s="2">
        <f>IFERROR(__xludf.DUMMYFUNCTION("""COMPUTED_VALUE"""),3652567.0)</f>
        <v>3652567</v>
      </c>
      <c r="G2839" s="2">
        <f>IFERROR(__xludf.DUMMYFUNCTION("""COMPUTED_VALUE"""),16.5193999999999)</f>
        <v>16.5194</v>
      </c>
    </row>
    <row r="2840">
      <c r="A2840" s="1" t="s">
        <v>2839</v>
      </c>
      <c r="D2840" s="3">
        <f>IFERROR(__xludf.DUMMYFUNCTION("SPLIT(A2840, ""|"")"),43189.0)</f>
        <v>43189</v>
      </c>
      <c r="E2840" s="2">
        <f>IFERROR(__xludf.DUMMYFUNCTION("""COMPUTED_VALUE"""),1440333.0)</f>
        <v>1440333</v>
      </c>
      <c r="F2840" s="2">
        <f>IFERROR(__xludf.DUMMYFUNCTION("""COMPUTED_VALUE"""),4343891.0)</f>
        <v>4343891</v>
      </c>
      <c r="G2840" s="2">
        <f>IFERROR(__xludf.DUMMYFUNCTION("""COMPUTED_VALUE"""),65.5274)</f>
        <v>65.5274</v>
      </c>
    </row>
    <row r="2841">
      <c r="A2841" s="1" t="s">
        <v>2840</v>
      </c>
      <c r="D2841" s="3">
        <f>IFERROR(__xludf.DUMMYFUNCTION("SPLIT(A2841, ""|"")"),43189.0)</f>
        <v>43189</v>
      </c>
      <c r="E2841" s="2">
        <f>IFERROR(__xludf.DUMMYFUNCTION("""COMPUTED_VALUE"""),1440333.0)</f>
        <v>1440333</v>
      </c>
      <c r="F2841" s="2">
        <f>IFERROR(__xludf.DUMMYFUNCTION("""COMPUTED_VALUE"""),4343672.0)</f>
        <v>4343672</v>
      </c>
      <c r="G2841" s="2">
        <f>IFERROR(__xludf.DUMMYFUNCTION("""COMPUTED_VALUE"""),68.1517)</f>
        <v>68.1517</v>
      </c>
    </row>
    <row r="2842">
      <c r="A2842" s="1" t="s">
        <v>2841</v>
      </c>
      <c r="D2842" s="3">
        <f>IFERROR(__xludf.DUMMYFUNCTION("SPLIT(A2842, ""|"")"),43189.0)</f>
        <v>43189</v>
      </c>
      <c r="E2842" s="2">
        <f>IFERROR(__xludf.DUMMYFUNCTION("""COMPUTED_VALUE"""),1214823.0)</f>
        <v>1214823</v>
      </c>
      <c r="F2842" s="2">
        <f>IFERROR(__xludf.DUMMYFUNCTION("""COMPUTED_VALUE"""),4342698.0)</f>
        <v>4342698</v>
      </c>
      <c r="G2842" s="2">
        <f>IFERROR(__xludf.DUMMYFUNCTION("""COMPUTED_VALUE"""),100.4327)</f>
        <v>100.4327</v>
      </c>
    </row>
    <row r="2843">
      <c r="A2843" s="1" t="s">
        <v>2842</v>
      </c>
      <c r="D2843" s="3">
        <f>IFERROR(__xludf.DUMMYFUNCTION("SPLIT(A2843, ""|"")"),43189.0)</f>
        <v>43189</v>
      </c>
      <c r="E2843" s="2">
        <f>IFERROR(__xludf.DUMMYFUNCTION("""COMPUTED_VALUE"""),1561593.0)</f>
        <v>1561593</v>
      </c>
      <c r="F2843" s="2">
        <f>IFERROR(__xludf.DUMMYFUNCTION("""COMPUTED_VALUE"""),4343636.0)</f>
        <v>4343636</v>
      </c>
      <c r="G2843" s="2">
        <f>IFERROR(__xludf.DUMMYFUNCTION("""COMPUTED_VALUE"""),39.3525)</f>
        <v>39.3525</v>
      </c>
    </row>
    <row r="2844">
      <c r="A2844" s="1" t="s">
        <v>2843</v>
      </c>
      <c r="D2844" s="3">
        <f>IFERROR(__xludf.DUMMYFUNCTION("SPLIT(A2844, ""|"")"),43189.0)</f>
        <v>43189</v>
      </c>
      <c r="E2844" s="2">
        <f>IFERROR(__xludf.DUMMYFUNCTION("""COMPUTED_VALUE"""),1561293.0)</f>
        <v>1561293</v>
      </c>
      <c r="F2844" s="2">
        <f>IFERROR(__xludf.DUMMYFUNCTION("""COMPUTED_VALUE"""),4342398.0)</f>
        <v>4342398</v>
      </c>
      <c r="G2844" s="2">
        <f>IFERROR(__xludf.DUMMYFUNCTION("""COMPUTED_VALUE"""),51.1246)</f>
        <v>51.1246</v>
      </c>
    </row>
    <row r="2845">
      <c r="A2845" s="1" t="s">
        <v>2844</v>
      </c>
      <c r="D2845" s="3">
        <f>IFERROR(__xludf.DUMMYFUNCTION("SPLIT(A2845, ""|"")"),43189.0)</f>
        <v>43189</v>
      </c>
      <c r="E2845" s="2">
        <f>IFERROR(__xludf.DUMMYFUNCTION("""COMPUTED_VALUE"""),1077273.0)</f>
        <v>1077273</v>
      </c>
      <c r="F2845" s="2">
        <f>IFERROR(__xludf.DUMMYFUNCTION("""COMPUTED_VALUE"""),4343257.0)</f>
        <v>4343257</v>
      </c>
      <c r="G2845" s="2">
        <f>IFERROR(__xludf.DUMMYFUNCTION("""COMPUTED_VALUE"""),83.2775999999999)</f>
        <v>83.2776</v>
      </c>
    </row>
    <row r="2846">
      <c r="A2846" s="1" t="s">
        <v>2845</v>
      </c>
      <c r="D2846" s="3">
        <f>IFERROR(__xludf.DUMMYFUNCTION("SPLIT(A2846, ""|"")"),43189.0)</f>
        <v>43189</v>
      </c>
      <c r="E2846" s="2">
        <f>IFERROR(__xludf.DUMMYFUNCTION("""COMPUTED_VALUE"""),1333263.0)</f>
        <v>1333263</v>
      </c>
      <c r="F2846" s="2">
        <f>IFERROR(__xludf.DUMMYFUNCTION("""COMPUTED_VALUE"""),4342584.0)</f>
        <v>4342584</v>
      </c>
      <c r="G2846" s="2">
        <f>IFERROR(__xludf.DUMMYFUNCTION("""COMPUTED_VALUE"""),55.6180999999999)</f>
        <v>55.6181</v>
      </c>
    </row>
    <row r="2847">
      <c r="A2847" s="1" t="s">
        <v>2846</v>
      </c>
      <c r="D2847" s="3">
        <f>IFERROR(__xludf.DUMMYFUNCTION("SPLIT(A2847, ""|"")"),43189.0)</f>
        <v>43189</v>
      </c>
      <c r="E2847" s="2">
        <f>IFERROR(__xludf.DUMMYFUNCTION("""COMPUTED_VALUE"""),1345623.0)</f>
        <v>1345623</v>
      </c>
      <c r="F2847" s="2">
        <f>IFERROR(__xludf.DUMMYFUNCTION("""COMPUTED_VALUE"""),4343412.0)</f>
        <v>4343412</v>
      </c>
      <c r="G2847" s="2">
        <f>IFERROR(__xludf.DUMMYFUNCTION("""COMPUTED_VALUE"""),69.75)</f>
        <v>69.75</v>
      </c>
    </row>
    <row r="2848">
      <c r="A2848" s="1" t="s">
        <v>2847</v>
      </c>
      <c r="D2848" s="3">
        <f>IFERROR(__xludf.DUMMYFUNCTION("SPLIT(A2848, ""|"")"),43445.0)</f>
        <v>43445</v>
      </c>
      <c r="E2848" s="2">
        <f>IFERROR(__xludf.DUMMYFUNCTION("""COMPUTED_VALUE"""),1812963.0)</f>
        <v>1812963</v>
      </c>
      <c r="F2848" s="2">
        <f>IFERROR(__xludf.DUMMYFUNCTION("""COMPUTED_VALUE"""),5304823.0)</f>
        <v>5304823</v>
      </c>
      <c r="G2848" s="2">
        <f>IFERROR(__xludf.DUMMYFUNCTION("""COMPUTED_VALUE"""),38.2875)</f>
        <v>38.2875</v>
      </c>
    </row>
    <row r="2849">
      <c r="A2849" s="1" t="s">
        <v>2848</v>
      </c>
      <c r="D2849" s="3">
        <f>IFERROR(__xludf.DUMMYFUNCTION("SPLIT(A2849, ""|"")"),43445.0)</f>
        <v>43445</v>
      </c>
      <c r="E2849" s="2">
        <f>IFERROR(__xludf.DUMMYFUNCTION("""COMPUTED_VALUE"""),1812903.0)</f>
        <v>1812903</v>
      </c>
      <c r="F2849" s="2">
        <f>IFERROR(__xludf.DUMMYFUNCTION("""COMPUTED_VALUE"""),5304581.0)</f>
        <v>5304581</v>
      </c>
      <c r="G2849" s="2">
        <f>IFERROR(__xludf.DUMMYFUNCTION("""COMPUTED_VALUE"""),66.65)</f>
        <v>66.65</v>
      </c>
    </row>
    <row r="2850">
      <c r="A2850" s="1" t="s">
        <v>2849</v>
      </c>
      <c r="D2850" s="3">
        <f>IFERROR(__xludf.DUMMYFUNCTION("SPLIT(A2850, ""|"")"),43445.0)</f>
        <v>43445</v>
      </c>
      <c r="E2850" s="2">
        <f>IFERROR(__xludf.DUMMYFUNCTION("""COMPUTED_VALUE"""),301203.0)</f>
        <v>301203</v>
      </c>
      <c r="F2850" s="2">
        <f>IFERROR(__xludf.DUMMYFUNCTION("""COMPUTED_VALUE"""),5306081.0)</f>
        <v>5306081</v>
      </c>
      <c r="G2850" s="2">
        <f>IFERROR(__xludf.DUMMYFUNCTION("""COMPUTED_VALUE"""),65.4958)</f>
        <v>65.4958</v>
      </c>
    </row>
    <row r="2851">
      <c r="A2851" s="1" t="s">
        <v>2850</v>
      </c>
      <c r="D2851" s="3">
        <f>IFERROR(__xludf.DUMMYFUNCTION("SPLIT(A2851, ""|"")"),43445.0)</f>
        <v>43445</v>
      </c>
      <c r="E2851" s="2">
        <f>IFERROR(__xludf.DUMMYFUNCTION("""COMPUTED_VALUE"""),1812753.0)</f>
        <v>1812753</v>
      </c>
      <c r="F2851" s="2">
        <f>IFERROR(__xludf.DUMMYFUNCTION("""COMPUTED_VALUE"""),5304027.0)</f>
        <v>5304027</v>
      </c>
      <c r="G2851" s="2">
        <f>IFERROR(__xludf.DUMMYFUNCTION("""COMPUTED_VALUE"""),44.8334)</f>
        <v>44.8334</v>
      </c>
    </row>
    <row r="2852">
      <c r="A2852" s="1" t="s">
        <v>2851</v>
      </c>
      <c r="D2852" s="3">
        <f>IFERROR(__xludf.DUMMYFUNCTION("SPLIT(A2852, ""|"")"),43445.0)</f>
        <v>43445</v>
      </c>
      <c r="E2852" s="2">
        <f>IFERROR(__xludf.DUMMYFUNCTION("""COMPUTED_VALUE"""),1246083.0)</f>
        <v>1246083</v>
      </c>
      <c r="F2852" s="2">
        <f>IFERROR(__xludf.DUMMYFUNCTION("""COMPUTED_VALUE"""),5307097.0)</f>
        <v>5307097</v>
      </c>
      <c r="G2852" s="2">
        <f>IFERROR(__xludf.DUMMYFUNCTION("""COMPUTED_VALUE"""),76.3352)</f>
        <v>76.3352</v>
      </c>
    </row>
    <row r="2853">
      <c r="A2853" s="1" t="s">
        <v>2852</v>
      </c>
      <c r="D2853" s="3">
        <f>IFERROR(__xludf.DUMMYFUNCTION("SPLIT(A2853, ""|"")"),43445.0)</f>
        <v>43445</v>
      </c>
      <c r="E2853" s="2">
        <f>IFERROR(__xludf.DUMMYFUNCTION("""COMPUTED_VALUE"""),1033923.0)</f>
        <v>1033923</v>
      </c>
      <c r="F2853" s="2">
        <f>IFERROR(__xludf.DUMMYFUNCTION("""COMPUTED_VALUE"""),5306441.0)</f>
        <v>5306441</v>
      </c>
      <c r="G2853" s="2">
        <f>IFERROR(__xludf.DUMMYFUNCTION("""COMPUTED_VALUE"""),39.65)</f>
        <v>39.65</v>
      </c>
    </row>
    <row r="2854">
      <c r="A2854" s="1" t="s">
        <v>2853</v>
      </c>
      <c r="D2854" s="3">
        <f>IFERROR(__xludf.DUMMYFUNCTION("SPLIT(A2854, ""|"")"),43445.0)</f>
        <v>43445</v>
      </c>
      <c r="E2854" s="2">
        <f>IFERROR(__xludf.DUMMYFUNCTION("""COMPUTED_VALUE"""),1813263.0)</f>
        <v>1813263</v>
      </c>
      <c r="F2854" s="2">
        <f>IFERROR(__xludf.DUMMYFUNCTION("""COMPUTED_VALUE"""),5305681.0)</f>
        <v>5305681</v>
      </c>
      <c r="G2854" s="2">
        <f>IFERROR(__xludf.DUMMYFUNCTION("""COMPUTED_VALUE"""),21.7843)</f>
        <v>21.7843</v>
      </c>
    </row>
    <row r="2855">
      <c r="A2855" s="1" t="s">
        <v>2854</v>
      </c>
      <c r="D2855" s="3">
        <f>IFERROR(__xludf.DUMMYFUNCTION("SPLIT(A2855, ""|"")"),43445.0)</f>
        <v>43445</v>
      </c>
      <c r="E2855" s="2">
        <f>IFERROR(__xludf.DUMMYFUNCTION("""COMPUTED_VALUE"""),91623.0)</f>
        <v>91623</v>
      </c>
      <c r="F2855" s="2">
        <f>IFERROR(__xludf.DUMMYFUNCTION("""COMPUTED_VALUE"""),5303417.0)</f>
        <v>5303417</v>
      </c>
      <c r="G2855" s="2">
        <f>IFERROR(__xludf.DUMMYFUNCTION("""COMPUTED_VALUE"""),38.3174)</f>
        <v>38.3174</v>
      </c>
    </row>
    <row r="2856">
      <c r="A2856" s="1" t="s">
        <v>2855</v>
      </c>
      <c r="D2856" s="3">
        <f>IFERROR(__xludf.DUMMYFUNCTION("SPLIT(A2856, ""|"")"),42934.0)</f>
        <v>42934</v>
      </c>
      <c r="E2856" s="2">
        <f>IFERROR(__xludf.DUMMYFUNCTION("""COMPUTED_VALUE"""),1375353.0)</f>
        <v>1375353</v>
      </c>
      <c r="F2856" s="2">
        <f>IFERROR(__xludf.DUMMYFUNCTION("""COMPUTED_VALUE"""),3655982.0)</f>
        <v>3655982</v>
      </c>
      <c r="G2856" s="2">
        <f>IFERROR(__xludf.DUMMYFUNCTION("""COMPUTED_VALUE"""),72.1264)</f>
        <v>72.1264</v>
      </c>
    </row>
    <row r="2857">
      <c r="A2857" s="1" t="s">
        <v>2856</v>
      </c>
      <c r="D2857" s="3">
        <f>IFERROR(__xludf.DUMMYFUNCTION("SPLIT(A2857, ""|"")"),42934.0)</f>
        <v>42934</v>
      </c>
      <c r="E2857" s="2">
        <f>IFERROR(__xludf.DUMMYFUNCTION("""COMPUTED_VALUE"""),1063383.0)</f>
        <v>1063383</v>
      </c>
      <c r="F2857" s="2">
        <f>IFERROR(__xludf.DUMMYFUNCTION("""COMPUTED_VALUE"""),3654829.0)</f>
        <v>3654829</v>
      </c>
      <c r="G2857" s="2">
        <f>IFERROR(__xludf.DUMMYFUNCTION("""COMPUTED_VALUE"""),91.0875)</f>
        <v>91.0875</v>
      </c>
    </row>
    <row r="2858">
      <c r="A2858" s="1" t="s">
        <v>2857</v>
      </c>
      <c r="D2858" s="3">
        <f>IFERROR(__xludf.DUMMYFUNCTION("SPLIT(A2858, ""|"")"),42934.0)</f>
        <v>42934</v>
      </c>
      <c r="E2858" s="2">
        <f>IFERROR(__xludf.DUMMYFUNCTION("""COMPUTED_VALUE"""),1204983.0)</f>
        <v>1204983</v>
      </c>
      <c r="F2858" s="2">
        <f>IFERROR(__xludf.DUMMYFUNCTION("""COMPUTED_VALUE"""),3655450.0)</f>
        <v>3655450</v>
      </c>
      <c r="G2858" s="2">
        <f>IFERROR(__xludf.DUMMYFUNCTION("""COMPUTED_VALUE"""),80.1642)</f>
        <v>80.1642</v>
      </c>
    </row>
    <row r="2859">
      <c r="A2859" s="1" t="s">
        <v>2858</v>
      </c>
      <c r="D2859" s="3">
        <f>IFERROR(__xludf.DUMMYFUNCTION("SPLIT(A2859, ""|"")"),42934.0)</f>
        <v>42934</v>
      </c>
      <c r="E2859" s="2">
        <f>IFERROR(__xludf.DUMMYFUNCTION("""COMPUTED_VALUE"""),1092093.0)</f>
        <v>1092093</v>
      </c>
      <c r="F2859" s="2">
        <f>IFERROR(__xludf.DUMMYFUNCTION("""COMPUTED_VALUE"""),3654771.0)</f>
        <v>3654771</v>
      </c>
      <c r="G2859" s="2">
        <f>IFERROR(__xludf.DUMMYFUNCTION("""COMPUTED_VALUE"""),31.4114)</f>
        <v>31.4114</v>
      </c>
    </row>
    <row r="2860">
      <c r="A2860" s="1" t="s">
        <v>2859</v>
      </c>
      <c r="D2860" s="3">
        <f>IFERROR(__xludf.DUMMYFUNCTION("SPLIT(A2860, ""|"")"),42934.0)</f>
        <v>42934</v>
      </c>
      <c r="E2860" s="2">
        <f>IFERROR(__xludf.DUMMYFUNCTION("""COMPUTED_VALUE"""),1379523.0)</f>
        <v>1379523</v>
      </c>
      <c r="F2860" s="2">
        <f>IFERROR(__xludf.DUMMYFUNCTION("""COMPUTED_VALUE"""),3655785.0)</f>
        <v>3655785</v>
      </c>
      <c r="G2860" s="2">
        <f>IFERROR(__xludf.DUMMYFUNCTION("""COMPUTED_VALUE"""),237.4163)</f>
        <v>237.4163</v>
      </c>
    </row>
    <row r="2861">
      <c r="A2861" s="1" t="s">
        <v>2860</v>
      </c>
      <c r="D2861" s="3">
        <f>IFERROR(__xludf.DUMMYFUNCTION("SPLIT(A2861, ""|"")"),42934.0)</f>
        <v>42934</v>
      </c>
      <c r="E2861" s="2">
        <f>IFERROR(__xludf.DUMMYFUNCTION("""COMPUTED_VALUE"""),473733.0)</f>
        <v>473733</v>
      </c>
      <c r="F2861" s="2">
        <f>IFERROR(__xludf.DUMMYFUNCTION("""COMPUTED_VALUE"""),3656408.0)</f>
        <v>3656408</v>
      </c>
      <c r="G2861" s="2">
        <f>IFERROR(__xludf.DUMMYFUNCTION("""COMPUTED_VALUE"""),24.9752)</f>
        <v>24.9752</v>
      </c>
    </row>
    <row r="2862">
      <c r="A2862" s="1" t="s">
        <v>2861</v>
      </c>
      <c r="D2862" s="3">
        <f>IFERROR(__xludf.DUMMYFUNCTION("SPLIT(A2862, ""|"")"),42934.0)</f>
        <v>42934</v>
      </c>
      <c r="E2862" s="2">
        <f>IFERROR(__xludf.DUMMYFUNCTION("""COMPUTED_VALUE"""),1077273.0)</f>
        <v>1077273</v>
      </c>
      <c r="F2862" s="2">
        <f>IFERROR(__xludf.DUMMYFUNCTION("""COMPUTED_VALUE"""),3655599.0)</f>
        <v>3655599</v>
      </c>
      <c r="G2862" s="2">
        <f>IFERROR(__xludf.DUMMYFUNCTION("""COMPUTED_VALUE"""),53.6789)</f>
        <v>53.6789</v>
      </c>
    </row>
    <row r="2863">
      <c r="A2863" s="1" t="s">
        <v>2862</v>
      </c>
      <c r="D2863" s="3">
        <f>IFERROR(__xludf.DUMMYFUNCTION("SPLIT(A2863, ""|"")"),42934.0)</f>
        <v>42934</v>
      </c>
      <c r="E2863" s="2">
        <f>IFERROR(__xludf.DUMMYFUNCTION("""COMPUTED_VALUE"""),1379313.0)</f>
        <v>1379313</v>
      </c>
      <c r="F2863" s="2">
        <f>IFERROR(__xludf.DUMMYFUNCTION("""COMPUTED_VALUE"""),3654890.0)</f>
        <v>3654890</v>
      </c>
      <c r="G2863" s="2">
        <f>IFERROR(__xludf.DUMMYFUNCTION("""COMPUTED_VALUE"""),135.2839)</f>
        <v>135.2839</v>
      </c>
    </row>
    <row r="2864">
      <c r="A2864" s="1" t="s">
        <v>2863</v>
      </c>
      <c r="D2864" s="3">
        <f>IFERROR(__xludf.DUMMYFUNCTION("SPLIT(A2864, ""|"")"),42934.0)</f>
        <v>42934</v>
      </c>
      <c r="E2864" s="2">
        <f>IFERROR(__xludf.DUMMYFUNCTION("""COMPUTED_VALUE"""),1379343.0)</f>
        <v>1379343</v>
      </c>
      <c r="F2864" s="2">
        <f>IFERROR(__xludf.DUMMYFUNCTION("""COMPUTED_VALUE"""),3654995.0)</f>
        <v>3654995</v>
      </c>
      <c r="G2864" s="2">
        <f>IFERROR(__xludf.DUMMYFUNCTION("""COMPUTED_VALUE"""),2.85)</f>
        <v>2.85</v>
      </c>
    </row>
    <row r="2865">
      <c r="A2865" s="1" t="s">
        <v>2864</v>
      </c>
      <c r="D2865" s="3">
        <f>IFERROR(__xludf.DUMMYFUNCTION("SPLIT(A2865, ""|"")"),43190.0)</f>
        <v>43190</v>
      </c>
      <c r="E2865" s="2">
        <f>IFERROR(__xludf.DUMMYFUNCTION("""COMPUTED_VALUE"""),485253.0)</f>
        <v>485253</v>
      </c>
      <c r="F2865" s="2">
        <f>IFERROR(__xludf.DUMMYFUNCTION("""COMPUTED_VALUE"""),4346572.0)</f>
        <v>4346572</v>
      </c>
      <c r="G2865" s="2">
        <f>IFERROR(__xludf.DUMMYFUNCTION("""COMPUTED_VALUE"""),118.1593)</f>
        <v>118.1593</v>
      </c>
    </row>
    <row r="2866">
      <c r="A2866" s="1" t="s">
        <v>2865</v>
      </c>
      <c r="D2866" s="3">
        <f>IFERROR(__xludf.DUMMYFUNCTION("SPLIT(A2866, ""|"")"),43190.0)</f>
        <v>43190</v>
      </c>
      <c r="E2866" s="2">
        <f>IFERROR(__xludf.DUMMYFUNCTION("""COMPUTED_VALUE"""),1318413.0)</f>
        <v>1318413</v>
      </c>
      <c r="F2866" s="2">
        <f>IFERROR(__xludf.DUMMYFUNCTION("""COMPUTED_VALUE"""),4345792.0)</f>
        <v>4345792</v>
      </c>
      <c r="G2866" s="2">
        <f>IFERROR(__xludf.DUMMYFUNCTION("""COMPUTED_VALUE"""),66.9334)</f>
        <v>66.9334</v>
      </c>
    </row>
    <row r="2867">
      <c r="A2867" s="1" t="s">
        <v>2866</v>
      </c>
      <c r="D2867" s="3">
        <f>IFERROR(__xludf.DUMMYFUNCTION("SPLIT(A2867, ""|"")"),43190.0)</f>
        <v>43190</v>
      </c>
      <c r="E2867" s="2">
        <f>IFERROR(__xludf.DUMMYFUNCTION("""COMPUTED_VALUE"""),63723.0)</f>
        <v>63723</v>
      </c>
      <c r="F2867" s="2">
        <f>IFERROR(__xludf.DUMMYFUNCTION("""COMPUTED_VALUE"""),4346069.0)</f>
        <v>4346069</v>
      </c>
      <c r="G2867" s="2">
        <f>IFERROR(__xludf.DUMMYFUNCTION("""COMPUTED_VALUE"""),28.2126999999999)</f>
        <v>28.2127</v>
      </c>
    </row>
    <row r="2868">
      <c r="A2868" s="1" t="s">
        <v>2867</v>
      </c>
      <c r="D2868" s="3">
        <f>IFERROR(__xludf.DUMMYFUNCTION("SPLIT(A2868, ""|"")"),43190.0)</f>
        <v>43190</v>
      </c>
      <c r="E2868" s="2">
        <f>IFERROR(__xludf.DUMMYFUNCTION("""COMPUTED_VALUE"""),1562373.0)</f>
        <v>1562373</v>
      </c>
      <c r="F2868" s="2">
        <f>IFERROR(__xludf.DUMMYFUNCTION("""COMPUTED_VALUE"""),4346522.0)</f>
        <v>4346522</v>
      </c>
      <c r="G2868" s="2">
        <f>IFERROR(__xludf.DUMMYFUNCTION("""COMPUTED_VALUE"""),30.625)</f>
        <v>30.625</v>
      </c>
    </row>
    <row r="2869">
      <c r="A2869" s="1" t="s">
        <v>2868</v>
      </c>
      <c r="D2869" s="3">
        <f>IFERROR(__xludf.DUMMYFUNCTION("SPLIT(A2869, ""|"")"),43190.0)</f>
        <v>43190</v>
      </c>
      <c r="E2869" s="2">
        <f>IFERROR(__xludf.DUMMYFUNCTION("""COMPUTED_VALUE"""),1204983.0)</f>
        <v>1204983</v>
      </c>
      <c r="F2869" s="2">
        <f>IFERROR(__xludf.DUMMYFUNCTION("""COMPUTED_VALUE"""),4346748.0)</f>
        <v>4346748</v>
      </c>
      <c r="G2869" s="2">
        <f>IFERROR(__xludf.DUMMYFUNCTION("""COMPUTED_VALUE"""),65.0562)</f>
        <v>65.0562</v>
      </c>
    </row>
    <row r="2870">
      <c r="A2870" s="1" t="s">
        <v>2869</v>
      </c>
      <c r="D2870" s="3">
        <f>IFERROR(__xludf.DUMMYFUNCTION("SPLIT(A2870, ""|"")"),43190.0)</f>
        <v>43190</v>
      </c>
      <c r="E2870" s="2">
        <f>IFERROR(__xludf.DUMMYFUNCTION("""COMPUTED_VALUE"""),1562283.0)</f>
        <v>1562283</v>
      </c>
      <c r="F2870" s="2">
        <f>IFERROR(__xludf.DUMMYFUNCTION("""COMPUTED_VALUE"""),4346392.0)</f>
        <v>4346392</v>
      </c>
      <c r="G2870" s="2">
        <f>IFERROR(__xludf.DUMMYFUNCTION("""COMPUTED_VALUE"""),4.9834)</f>
        <v>4.9834</v>
      </c>
    </row>
    <row r="2871">
      <c r="A2871" s="1" t="s">
        <v>2870</v>
      </c>
      <c r="D2871" s="3">
        <f>IFERROR(__xludf.DUMMYFUNCTION("SPLIT(A2871, ""|"")"),43446.0)</f>
        <v>43446</v>
      </c>
      <c r="E2871" s="2">
        <f>IFERROR(__xludf.DUMMYFUNCTION("""COMPUTED_VALUE"""),1407333.0)</f>
        <v>1407333</v>
      </c>
      <c r="F2871" s="2">
        <f>IFERROR(__xludf.DUMMYFUNCTION("""COMPUTED_VALUE"""),5309318.0)</f>
        <v>5309318</v>
      </c>
      <c r="G2871" s="2">
        <f>IFERROR(__xludf.DUMMYFUNCTION("""COMPUTED_VALUE"""),73.0262)</f>
        <v>73.0262</v>
      </c>
    </row>
    <row r="2872">
      <c r="A2872" s="1" t="s">
        <v>2871</v>
      </c>
      <c r="D2872" s="3">
        <f>IFERROR(__xludf.DUMMYFUNCTION("SPLIT(A2872, ""|"")"),43446.0)</f>
        <v>43446</v>
      </c>
      <c r="E2872" s="2">
        <f>IFERROR(__xludf.DUMMYFUNCTION("""COMPUTED_VALUE"""),1814823.0)</f>
        <v>1814823</v>
      </c>
      <c r="F2872" s="2">
        <f>IFERROR(__xludf.DUMMYFUNCTION("""COMPUTED_VALUE"""),5311109.0)</f>
        <v>5311109</v>
      </c>
      <c r="G2872" s="2">
        <f>IFERROR(__xludf.DUMMYFUNCTION("""COMPUTED_VALUE"""),164.25)</f>
        <v>164.25</v>
      </c>
    </row>
    <row r="2873">
      <c r="A2873" s="1" t="s">
        <v>2872</v>
      </c>
      <c r="D2873" s="3">
        <f>IFERROR(__xludf.DUMMYFUNCTION("SPLIT(A2873, ""|"")"),43446.0)</f>
        <v>43446</v>
      </c>
      <c r="E2873" s="2">
        <f>IFERROR(__xludf.DUMMYFUNCTION("""COMPUTED_VALUE"""),1814403.0)</f>
        <v>1814403</v>
      </c>
      <c r="F2873" s="2">
        <f>IFERROR(__xludf.DUMMYFUNCTION("""COMPUTED_VALUE"""),5309672.0)</f>
        <v>5309672</v>
      </c>
      <c r="G2873" s="2">
        <f>IFERROR(__xludf.DUMMYFUNCTION("""COMPUTED_VALUE"""),17.4677)</f>
        <v>17.4677</v>
      </c>
    </row>
    <row r="2874">
      <c r="A2874" s="1" t="s">
        <v>2873</v>
      </c>
      <c r="D2874" s="3">
        <f>IFERROR(__xludf.DUMMYFUNCTION("SPLIT(A2874, ""|"")"),43446.0)</f>
        <v>43446</v>
      </c>
      <c r="E2874" s="2">
        <f>IFERROR(__xludf.DUMMYFUNCTION("""COMPUTED_VALUE"""),1814133.0)</f>
        <v>1814133</v>
      </c>
      <c r="F2874" s="2">
        <f>IFERROR(__xludf.DUMMYFUNCTION("""COMPUTED_VALUE"""),5308718.0)</f>
        <v>5308718</v>
      </c>
      <c r="G2874" s="2">
        <f>IFERROR(__xludf.DUMMYFUNCTION("""COMPUTED_VALUE"""),59.2263)</f>
        <v>59.2263</v>
      </c>
    </row>
    <row r="2875">
      <c r="A2875" s="1" t="s">
        <v>2874</v>
      </c>
      <c r="D2875" s="3">
        <f>IFERROR(__xludf.DUMMYFUNCTION("SPLIT(A2875, ""|"")"),43446.0)</f>
        <v>43446</v>
      </c>
      <c r="E2875" s="2">
        <f>IFERROR(__xludf.DUMMYFUNCTION("""COMPUTED_VALUE"""),1814523.0)</f>
        <v>1814523</v>
      </c>
      <c r="F2875" s="2">
        <f>IFERROR(__xludf.DUMMYFUNCTION("""COMPUTED_VALUE"""),5310062.0)</f>
        <v>5310062</v>
      </c>
      <c r="G2875" s="2">
        <f>IFERROR(__xludf.DUMMYFUNCTION("""COMPUTED_VALUE"""),28.25)</f>
        <v>28.25</v>
      </c>
    </row>
    <row r="2876">
      <c r="A2876" s="1" t="s">
        <v>2875</v>
      </c>
      <c r="D2876" s="3">
        <f>IFERROR(__xludf.DUMMYFUNCTION("SPLIT(A2876, ""|"")"),43446.0)</f>
        <v>43446</v>
      </c>
      <c r="E2876" s="2">
        <f>IFERROR(__xludf.DUMMYFUNCTION("""COMPUTED_VALUE"""),257913.0)</f>
        <v>257913</v>
      </c>
      <c r="F2876" s="2">
        <f>IFERROR(__xludf.DUMMYFUNCTION("""COMPUTED_VALUE"""),5309444.0)</f>
        <v>5309444</v>
      </c>
      <c r="G2876" s="2">
        <f>IFERROR(__xludf.DUMMYFUNCTION("""COMPUTED_VALUE"""),82.9269)</f>
        <v>82.9269</v>
      </c>
    </row>
    <row r="2877">
      <c r="A2877" s="1" t="s">
        <v>2876</v>
      </c>
      <c r="D2877" s="3">
        <f>IFERROR(__xludf.DUMMYFUNCTION("SPLIT(A2877, ""|"")"),43446.0)</f>
        <v>43446</v>
      </c>
      <c r="E2877" s="2">
        <f>IFERROR(__xludf.DUMMYFUNCTION("""COMPUTED_VALUE"""),1814163.0)</f>
        <v>1814163</v>
      </c>
      <c r="F2877" s="2">
        <f>IFERROR(__xludf.DUMMYFUNCTION("""COMPUTED_VALUE"""),5308789.0)</f>
        <v>5308789</v>
      </c>
      <c r="G2877" s="2">
        <f>IFERROR(__xludf.DUMMYFUNCTION("""COMPUTED_VALUE"""),58.4359999999999)</f>
        <v>58.436</v>
      </c>
    </row>
    <row r="2878">
      <c r="A2878" s="1" t="s">
        <v>2877</v>
      </c>
      <c r="D2878" s="3">
        <f>IFERROR(__xludf.DUMMYFUNCTION("SPLIT(A2878, ""|"")"),43446.0)</f>
        <v>43446</v>
      </c>
      <c r="E2878" s="2">
        <f>IFERROR(__xludf.DUMMYFUNCTION("""COMPUTED_VALUE"""),1813983.0)</f>
        <v>1813983</v>
      </c>
      <c r="F2878" s="2">
        <f>IFERROR(__xludf.DUMMYFUNCTION("""COMPUTED_VALUE"""),5308186.0)</f>
        <v>5308186</v>
      </c>
      <c r="G2878" s="2">
        <f>IFERROR(__xludf.DUMMYFUNCTION("""COMPUTED_VALUE"""),333.325)</f>
        <v>333.325</v>
      </c>
    </row>
    <row r="2879">
      <c r="A2879" s="1" t="s">
        <v>2878</v>
      </c>
      <c r="D2879" s="3">
        <f>IFERROR(__xludf.DUMMYFUNCTION("SPLIT(A2879, ""|"")"),43446.0)</f>
        <v>43446</v>
      </c>
      <c r="E2879" s="2">
        <f>IFERROR(__xludf.DUMMYFUNCTION("""COMPUTED_VALUE"""),1286103.0)</f>
        <v>1286103</v>
      </c>
      <c r="F2879" s="2">
        <f>IFERROR(__xludf.DUMMYFUNCTION("""COMPUTED_VALUE"""),5307451.0)</f>
        <v>5307451</v>
      </c>
      <c r="G2879" s="2">
        <f>IFERROR(__xludf.DUMMYFUNCTION("""COMPUTED_VALUE"""),104.103)</f>
        <v>104.103</v>
      </c>
    </row>
    <row r="2880">
      <c r="A2880" s="1" t="s">
        <v>2879</v>
      </c>
      <c r="D2880" s="3">
        <f>IFERROR(__xludf.DUMMYFUNCTION("SPLIT(A2880, ""|"")"),43446.0)</f>
        <v>43446</v>
      </c>
      <c r="E2880" s="2">
        <f>IFERROR(__xludf.DUMMYFUNCTION("""COMPUTED_VALUE"""),1814613.0)</f>
        <v>1814613</v>
      </c>
      <c r="F2880" s="2">
        <f>IFERROR(__xludf.DUMMYFUNCTION("""COMPUTED_VALUE"""),5310344.0)</f>
        <v>5310344</v>
      </c>
      <c r="G2880" s="2">
        <f>IFERROR(__xludf.DUMMYFUNCTION("""COMPUTED_VALUE"""),6.095)</f>
        <v>6.095</v>
      </c>
    </row>
    <row r="2881">
      <c r="A2881" s="1" t="s">
        <v>2880</v>
      </c>
      <c r="D2881" s="3">
        <f>IFERROR(__xludf.DUMMYFUNCTION("SPLIT(A2881, ""|"")"),43446.0)</f>
        <v>43446</v>
      </c>
      <c r="E2881" s="2">
        <f>IFERROR(__xludf.DUMMYFUNCTION("""COMPUTED_VALUE"""),1011093.0)</f>
        <v>1011093</v>
      </c>
      <c r="F2881" s="2">
        <f>IFERROR(__xludf.DUMMYFUNCTION("""COMPUTED_VALUE"""),5310173.0)</f>
        <v>5310173</v>
      </c>
      <c r="G2881" s="2">
        <f>IFERROR(__xludf.DUMMYFUNCTION("""COMPUTED_VALUE"""),62.3309)</f>
        <v>62.3309</v>
      </c>
    </row>
    <row r="2882">
      <c r="A2882" s="1" t="s">
        <v>2881</v>
      </c>
      <c r="D2882" s="3">
        <f>IFERROR(__xludf.DUMMYFUNCTION("SPLIT(A2882, ""|"")"),43446.0)</f>
        <v>43446</v>
      </c>
      <c r="E2882" s="2">
        <f>IFERROR(__xludf.DUMMYFUNCTION("""COMPUTED_VALUE"""),1028433.0)</f>
        <v>1028433</v>
      </c>
      <c r="F2882" s="2">
        <f>IFERROR(__xludf.DUMMYFUNCTION("""COMPUTED_VALUE"""),5310833.0)</f>
        <v>5310833</v>
      </c>
      <c r="G2882" s="2">
        <f>IFERROR(__xludf.DUMMYFUNCTION("""COMPUTED_VALUE"""),60.0375)</f>
        <v>60.0375</v>
      </c>
    </row>
    <row r="2883">
      <c r="A2883" s="1" t="s">
        <v>2882</v>
      </c>
      <c r="D2883" s="3">
        <f>IFERROR(__xludf.DUMMYFUNCTION("SPLIT(A2883, ""|"")"),43446.0)</f>
        <v>43446</v>
      </c>
      <c r="E2883" s="2">
        <f>IFERROR(__xludf.DUMMYFUNCTION("""COMPUTED_VALUE"""),1019493.0)</f>
        <v>1019493</v>
      </c>
      <c r="F2883" s="2">
        <f>IFERROR(__xludf.DUMMYFUNCTION("""COMPUTED_VALUE"""),5309218.0)</f>
        <v>5309218</v>
      </c>
      <c r="G2883" s="2">
        <f>IFERROR(__xludf.DUMMYFUNCTION("""COMPUTED_VALUE"""),66.4361)</f>
        <v>66.4361</v>
      </c>
    </row>
    <row r="2884">
      <c r="A2884" s="1" t="s">
        <v>2883</v>
      </c>
      <c r="D2884" s="3">
        <f>IFERROR(__xludf.DUMMYFUNCTION("SPLIT(A2884, ""|"")"),43446.0)</f>
        <v>43446</v>
      </c>
      <c r="E2884" s="2">
        <f>IFERROR(__xludf.DUMMYFUNCTION("""COMPUTED_VALUE"""),1519983.0)</f>
        <v>1519983</v>
      </c>
      <c r="F2884" s="2">
        <f>IFERROR(__xludf.DUMMYFUNCTION("""COMPUTED_VALUE"""),5308799.0)</f>
        <v>5308799</v>
      </c>
      <c r="G2884" s="2">
        <f>IFERROR(__xludf.DUMMYFUNCTION("""COMPUTED_VALUE"""),69.126)</f>
        <v>69.126</v>
      </c>
    </row>
    <row r="2885">
      <c r="A2885" s="1" t="s">
        <v>2884</v>
      </c>
      <c r="D2885" s="3">
        <f>IFERROR(__xludf.DUMMYFUNCTION("SPLIT(A2885, ""|"")"),43446.0)</f>
        <v>43446</v>
      </c>
      <c r="E2885" s="2">
        <f>IFERROR(__xludf.DUMMYFUNCTION("""COMPUTED_VALUE"""),1528623.0)</f>
        <v>1528623</v>
      </c>
      <c r="F2885" s="2">
        <f>IFERROR(__xludf.DUMMYFUNCTION("""COMPUTED_VALUE"""),5309718.0)</f>
        <v>5309718</v>
      </c>
      <c r="G2885" s="2">
        <f>IFERROR(__xludf.DUMMYFUNCTION("""COMPUTED_VALUE"""),77.955)</f>
        <v>77.955</v>
      </c>
    </row>
    <row r="2886">
      <c r="A2886" s="1" t="s">
        <v>2885</v>
      </c>
      <c r="D2886" s="3">
        <f>IFERROR(__xludf.DUMMYFUNCTION("SPLIT(A2886, ""|"")"),42935.0)</f>
        <v>42935</v>
      </c>
      <c r="E2886" s="2">
        <f>IFERROR(__xludf.DUMMYFUNCTION("""COMPUTED_VALUE"""),1292223.0)</f>
        <v>1292223</v>
      </c>
      <c r="F2886" s="2">
        <f>IFERROR(__xludf.DUMMYFUNCTION("""COMPUTED_VALUE"""),3657650.0)</f>
        <v>3657650</v>
      </c>
      <c r="G2886" s="2">
        <f>IFERROR(__xludf.DUMMYFUNCTION("""COMPUTED_VALUE"""),51.125)</f>
        <v>51.125</v>
      </c>
    </row>
    <row r="2887">
      <c r="A2887" s="1" t="s">
        <v>2886</v>
      </c>
      <c r="D2887" s="3">
        <f>IFERROR(__xludf.DUMMYFUNCTION("SPLIT(A2887, ""|"")"),42935.0)</f>
        <v>42935</v>
      </c>
      <c r="E2887" s="2">
        <f>IFERROR(__xludf.DUMMYFUNCTION("""COMPUTED_VALUE"""),306753.0)</f>
        <v>306753</v>
      </c>
      <c r="F2887" s="2">
        <f>IFERROR(__xludf.DUMMYFUNCTION("""COMPUTED_VALUE"""),3657701.0)</f>
        <v>3657701</v>
      </c>
      <c r="G2887" s="2">
        <f>IFERROR(__xludf.DUMMYFUNCTION("""COMPUTED_VALUE"""),67.925)</f>
        <v>67.925</v>
      </c>
    </row>
    <row r="2888">
      <c r="A2888" s="1" t="s">
        <v>2887</v>
      </c>
      <c r="D2888" s="3">
        <f>IFERROR(__xludf.DUMMYFUNCTION("SPLIT(A2888, ""|"")"),42935.0)</f>
        <v>42935</v>
      </c>
      <c r="E2888" s="2">
        <f>IFERROR(__xludf.DUMMYFUNCTION("""COMPUTED_VALUE"""),169653.0)</f>
        <v>169653</v>
      </c>
      <c r="F2888" s="2">
        <f>IFERROR(__xludf.DUMMYFUNCTION("""COMPUTED_VALUE"""),3658628.0)</f>
        <v>3658628</v>
      </c>
      <c r="G2888" s="2">
        <f>IFERROR(__xludf.DUMMYFUNCTION("""COMPUTED_VALUE"""),16.45)</f>
        <v>16.45</v>
      </c>
    </row>
    <row r="2889">
      <c r="A2889" s="1" t="s">
        <v>2888</v>
      </c>
      <c r="D2889" s="3">
        <f>IFERROR(__xludf.DUMMYFUNCTION("SPLIT(A2889, ""|"")"),42935.0)</f>
        <v>42935</v>
      </c>
      <c r="E2889" s="2">
        <f>IFERROR(__xludf.DUMMYFUNCTION("""COMPUTED_VALUE"""),948573.0)</f>
        <v>948573</v>
      </c>
      <c r="F2889" s="2">
        <f>IFERROR(__xludf.DUMMYFUNCTION("""COMPUTED_VALUE"""),3656914.0)</f>
        <v>3656914</v>
      </c>
      <c r="G2889" s="2">
        <f>IFERROR(__xludf.DUMMYFUNCTION("""COMPUTED_VALUE"""),34.0289999999999)</f>
        <v>34.029</v>
      </c>
    </row>
    <row r="2890">
      <c r="A2890" s="1" t="s">
        <v>2889</v>
      </c>
      <c r="D2890" s="3">
        <f>IFERROR(__xludf.DUMMYFUNCTION("SPLIT(A2890, ""|"")"),42935.0)</f>
        <v>42935</v>
      </c>
      <c r="E2890" s="2">
        <f>IFERROR(__xludf.DUMMYFUNCTION("""COMPUTED_VALUE"""),1380003.0)</f>
        <v>1380003</v>
      </c>
      <c r="F2890" s="2">
        <f>IFERROR(__xludf.DUMMYFUNCTION("""COMPUTED_VALUE"""),3657941.0)</f>
        <v>3657941</v>
      </c>
      <c r="G2890" s="2">
        <f>IFERROR(__xludf.DUMMYFUNCTION("""COMPUTED_VALUE"""),74.8378)</f>
        <v>74.8378</v>
      </c>
    </row>
    <row r="2891">
      <c r="A2891" s="1" t="s">
        <v>2890</v>
      </c>
      <c r="D2891" s="3">
        <f>IFERROR(__xludf.DUMMYFUNCTION("SPLIT(A2891, ""|"")"),42935.0)</f>
        <v>42935</v>
      </c>
      <c r="E2891" s="2">
        <f>IFERROR(__xludf.DUMMYFUNCTION("""COMPUTED_VALUE"""),217743.0)</f>
        <v>217743</v>
      </c>
      <c r="F2891" s="2">
        <f>IFERROR(__xludf.DUMMYFUNCTION("""COMPUTED_VALUE"""),3658252.0)</f>
        <v>3658252</v>
      </c>
      <c r="G2891" s="2">
        <f>IFERROR(__xludf.DUMMYFUNCTION("""COMPUTED_VALUE"""),129.8456)</f>
        <v>129.8456</v>
      </c>
    </row>
    <row r="2892">
      <c r="A2892" s="1" t="s">
        <v>2891</v>
      </c>
      <c r="D2892" s="3">
        <f>IFERROR(__xludf.DUMMYFUNCTION("SPLIT(A2892, ""|"")"),43191.0)</f>
        <v>43191</v>
      </c>
      <c r="E2892" s="2">
        <f>IFERROR(__xludf.DUMMYFUNCTION("""COMPUTED_VALUE"""),1332093.0)</f>
        <v>1332093</v>
      </c>
      <c r="F2892" s="2">
        <f>IFERROR(__xludf.DUMMYFUNCTION("""COMPUTED_VALUE"""),4347156.0)</f>
        <v>4347156</v>
      </c>
      <c r="G2892" s="2">
        <f>IFERROR(__xludf.DUMMYFUNCTION("""COMPUTED_VALUE"""),16.8402)</f>
        <v>16.8402</v>
      </c>
    </row>
    <row r="2893">
      <c r="A2893" s="1" t="s">
        <v>2892</v>
      </c>
      <c r="D2893" s="3">
        <f>IFERROR(__xludf.DUMMYFUNCTION("SPLIT(A2893, ""|"")"),43191.0)</f>
        <v>43191</v>
      </c>
      <c r="E2893" s="2">
        <f>IFERROR(__xludf.DUMMYFUNCTION("""COMPUTED_VALUE"""),444303.0)</f>
        <v>444303</v>
      </c>
      <c r="F2893" s="2">
        <f>IFERROR(__xludf.DUMMYFUNCTION("""COMPUTED_VALUE"""),4348056.0)</f>
        <v>4348056</v>
      </c>
      <c r="G2893" s="2">
        <f>IFERROR(__xludf.DUMMYFUNCTION("""COMPUTED_VALUE"""),37.6695)</f>
        <v>37.6695</v>
      </c>
    </row>
    <row r="2894">
      <c r="A2894" s="1" t="s">
        <v>2893</v>
      </c>
      <c r="D2894" s="3">
        <f>IFERROR(__xludf.DUMMYFUNCTION("SPLIT(A2894, ""|"")"),43191.0)</f>
        <v>43191</v>
      </c>
      <c r="E2894" s="2">
        <f>IFERROR(__xludf.DUMMYFUNCTION("""COMPUTED_VALUE"""),1379103.0)</f>
        <v>1379103</v>
      </c>
      <c r="F2894" s="2">
        <f>IFERROR(__xludf.DUMMYFUNCTION("""COMPUTED_VALUE"""),4348934.0)</f>
        <v>4348934</v>
      </c>
      <c r="G2894" s="2">
        <f>IFERROR(__xludf.DUMMYFUNCTION("""COMPUTED_VALUE"""),44.8959)</f>
        <v>44.8959</v>
      </c>
    </row>
    <row r="2895">
      <c r="A2895" s="1" t="s">
        <v>2894</v>
      </c>
      <c r="D2895" s="3">
        <f>IFERROR(__xludf.DUMMYFUNCTION("SPLIT(A2895, ""|"")"),43191.0)</f>
        <v>43191</v>
      </c>
      <c r="E2895" s="2">
        <f>IFERROR(__xludf.DUMMYFUNCTION("""COMPUTED_VALUE"""),1163223.0)</f>
        <v>1163223</v>
      </c>
      <c r="F2895" s="2">
        <f>IFERROR(__xludf.DUMMYFUNCTION("""COMPUTED_VALUE"""),4348797.0)</f>
        <v>4348797</v>
      </c>
      <c r="G2895" s="2">
        <f>IFERROR(__xludf.DUMMYFUNCTION("""COMPUTED_VALUE"""),74.1933)</f>
        <v>74.1933</v>
      </c>
    </row>
    <row r="2896">
      <c r="A2896" s="1" t="s">
        <v>2895</v>
      </c>
      <c r="D2896" s="3">
        <f>IFERROR(__xludf.DUMMYFUNCTION("SPLIT(A2896, ""|"")"),43191.0)</f>
        <v>43191</v>
      </c>
      <c r="E2896" s="2">
        <f>IFERROR(__xludf.DUMMYFUNCTION("""COMPUTED_VALUE"""),1562793.0)</f>
        <v>1562793</v>
      </c>
      <c r="F2896" s="2">
        <f>IFERROR(__xludf.DUMMYFUNCTION("""COMPUTED_VALUE"""),4348077.0)</f>
        <v>4348077</v>
      </c>
      <c r="G2896" s="2">
        <f>IFERROR(__xludf.DUMMYFUNCTION("""COMPUTED_VALUE"""),89.9487999999999)</f>
        <v>89.9488</v>
      </c>
    </row>
    <row r="2897">
      <c r="A2897" s="1" t="s">
        <v>2896</v>
      </c>
      <c r="D2897" s="3">
        <f>IFERROR(__xludf.DUMMYFUNCTION("SPLIT(A2897, ""|"")"),43191.0)</f>
        <v>43191</v>
      </c>
      <c r="E2897" s="2">
        <f>IFERROR(__xludf.DUMMYFUNCTION("""COMPUTED_VALUE"""),1435293.0)</f>
        <v>1435293</v>
      </c>
      <c r="F2897" s="2">
        <f>IFERROR(__xludf.DUMMYFUNCTION("""COMPUTED_VALUE"""),4347650.0)</f>
        <v>4347650</v>
      </c>
      <c r="G2897" s="2">
        <f>IFERROR(__xludf.DUMMYFUNCTION("""COMPUTED_VALUE"""),86.3661)</f>
        <v>86.3661</v>
      </c>
    </row>
    <row r="2898">
      <c r="A2898" s="1" t="s">
        <v>2897</v>
      </c>
      <c r="D2898" s="3">
        <f>IFERROR(__xludf.DUMMYFUNCTION("SPLIT(A2898, ""|"")"),43191.0)</f>
        <v>43191</v>
      </c>
      <c r="E2898" s="2">
        <f>IFERROR(__xludf.DUMMYFUNCTION("""COMPUTED_VALUE"""),1291233.0)</f>
        <v>1291233</v>
      </c>
      <c r="F2898" s="2">
        <f>IFERROR(__xludf.DUMMYFUNCTION("""COMPUTED_VALUE"""),4347844.0)</f>
        <v>4347844</v>
      </c>
      <c r="G2898" s="2">
        <f>IFERROR(__xludf.DUMMYFUNCTION("""COMPUTED_VALUE"""),125.942699999999)</f>
        <v>125.9427</v>
      </c>
    </row>
    <row r="2899">
      <c r="A2899" s="1" t="s">
        <v>2898</v>
      </c>
      <c r="D2899" s="3">
        <f>IFERROR(__xludf.DUMMYFUNCTION("SPLIT(A2899, ""|"")"),43191.0)</f>
        <v>43191</v>
      </c>
      <c r="E2899" s="2">
        <f>IFERROR(__xludf.DUMMYFUNCTION("""COMPUTED_VALUE"""),1435293.0)</f>
        <v>1435293</v>
      </c>
      <c r="F2899" s="2">
        <f>IFERROR(__xludf.DUMMYFUNCTION("""COMPUTED_VALUE"""),4347415.0)</f>
        <v>4347415</v>
      </c>
      <c r="G2899" s="2">
        <f>IFERROR(__xludf.DUMMYFUNCTION("""COMPUTED_VALUE"""),12.4167)</f>
        <v>12.4167</v>
      </c>
    </row>
    <row r="2900">
      <c r="A2900" s="1" t="s">
        <v>2899</v>
      </c>
      <c r="D2900" s="3">
        <f>IFERROR(__xludf.DUMMYFUNCTION("SPLIT(A2900, ""|"")"),43447.0)</f>
        <v>43447</v>
      </c>
      <c r="E2900" s="2">
        <f>IFERROR(__xludf.DUMMYFUNCTION("""COMPUTED_VALUE"""),1077423.0)</f>
        <v>1077423</v>
      </c>
      <c r="F2900" s="2">
        <f>IFERROR(__xludf.DUMMYFUNCTION("""COMPUTED_VALUE"""),5313270.0)</f>
        <v>5313270</v>
      </c>
      <c r="G2900" s="2">
        <f>IFERROR(__xludf.DUMMYFUNCTION("""COMPUTED_VALUE"""),181.8768)</f>
        <v>181.8768</v>
      </c>
    </row>
    <row r="2901">
      <c r="A2901" s="1" t="s">
        <v>2900</v>
      </c>
      <c r="D2901" s="3">
        <f>IFERROR(__xludf.DUMMYFUNCTION("SPLIT(A2901, ""|"")"),43447.0)</f>
        <v>43447</v>
      </c>
      <c r="E2901" s="2">
        <f>IFERROR(__xludf.DUMMYFUNCTION("""COMPUTED_VALUE"""),1816023.0)</f>
        <v>1816023</v>
      </c>
      <c r="F2901" s="2">
        <f>IFERROR(__xludf.DUMMYFUNCTION("""COMPUTED_VALUE"""),5314896.0)</f>
        <v>5314896</v>
      </c>
      <c r="G2901" s="2">
        <f>IFERROR(__xludf.DUMMYFUNCTION("""COMPUTED_VALUE"""),13.3875)</f>
        <v>13.3875</v>
      </c>
    </row>
    <row r="2902">
      <c r="A2902" s="1" t="s">
        <v>2901</v>
      </c>
      <c r="D2902" s="3">
        <f>IFERROR(__xludf.DUMMYFUNCTION("SPLIT(A2902, ""|"")"),43447.0)</f>
        <v>43447</v>
      </c>
      <c r="E2902" s="2">
        <f>IFERROR(__xludf.DUMMYFUNCTION("""COMPUTED_VALUE"""),1149063.0)</f>
        <v>1149063</v>
      </c>
      <c r="F2902" s="2">
        <f>IFERROR(__xludf.DUMMYFUNCTION("""COMPUTED_VALUE"""),5313773.0)</f>
        <v>5313773</v>
      </c>
      <c r="G2902" s="2">
        <f>IFERROR(__xludf.DUMMYFUNCTION("""COMPUTED_VALUE"""),87.2459)</f>
        <v>87.2459</v>
      </c>
    </row>
    <row r="2903">
      <c r="A2903" s="1" t="s">
        <v>2902</v>
      </c>
      <c r="D2903" s="3">
        <f>IFERROR(__xludf.DUMMYFUNCTION("SPLIT(A2903, ""|"")"),43447.0)</f>
        <v>43447</v>
      </c>
      <c r="E2903" s="2">
        <f>IFERROR(__xludf.DUMMYFUNCTION("""COMPUTED_VALUE"""),1815153.0)</f>
        <v>1815153</v>
      </c>
      <c r="F2903" s="2">
        <f>IFERROR(__xludf.DUMMYFUNCTION("""COMPUTED_VALUE"""),5312164.0)</f>
        <v>5312164</v>
      </c>
      <c r="G2903" s="2">
        <f>IFERROR(__xludf.DUMMYFUNCTION("""COMPUTED_VALUE"""),34.6058)</f>
        <v>34.6058</v>
      </c>
    </row>
    <row r="2904">
      <c r="A2904" s="1" t="s">
        <v>2903</v>
      </c>
      <c r="D2904" s="3">
        <f>IFERROR(__xludf.DUMMYFUNCTION("SPLIT(A2904, ""|"")"),43447.0)</f>
        <v>43447</v>
      </c>
      <c r="E2904" s="2">
        <f>IFERROR(__xludf.DUMMYFUNCTION("""COMPUTED_VALUE"""),1594203.0)</f>
        <v>1594203</v>
      </c>
      <c r="F2904" s="2">
        <f>IFERROR(__xludf.DUMMYFUNCTION("""COMPUTED_VALUE"""),5311724.0)</f>
        <v>5311724</v>
      </c>
      <c r="G2904" s="2">
        <f>IFERROR(__xludf.DUMMYFUNCTION("""COMPUTED_VALUE"""),101.5847)</f>
        <v>101.5847</v>
      </c>
    </row>
    <row r="2905">
      <c r="A2905" s="1" t="s">
        <v>2904</v>
      </c>
      <c r="D2905" s="3">
        <f>IFERROR(__xludf.DUMMYFUNCTION("SPLIT(A2905, ""|"")"),43447.0)</f>
        <v>43447</v>
      </c>
      <c r="E2905" s="2">
        <f>IFERROR(__xludf.DUMMYFUNCTION("""COMPUTED_VALUE"""),1815753.0)</f>
        <v>1815753</v>
      </c>
      <c r="F2905" s="2">
        <f>IFERROR(__xludf.DUMMYFUNCTION("""COMPUTED_VALUE"""),5314058.0)</f>
        <v>5314058</v>
      </c>
      <c r="G2905" s="2">
        <f>IFERROR(__xludf.DUMMYFUNCTION("""COMPUTED_VALUE"""),20.25)</f>
        <v>20.25</v>
      </c>
    </row>
    <row r="2906">
      <c r="A2906" s="1" t="s">
        <v>2905</v>
      </c>
      <c r="D2906" s="3">
        <f>IFERROR(__xludf.DUMMYFUNCTION("SPLIT(A2906, ""|"")"),43447.0)</f>
        <v>43447</v>
      </c>
      <c r="E2906" s="2">
        <f>IFERROR(__xludf.DUMMYFUNCTION("""COMPUTED_VALUE"""),1547883.0)</f>
        <v>1547883</v>
      </c>
      <c r="F2906" s="2">
        <f>IFERROR(__xludf.DUMMYFUNCTION("""COMPUTED_VALUE"""),5314022.0)</f>
        <v>5314022</v>
      </c>
      <c r="G2906" s="2">
        <f>IFERROR(__xludf.DUMMYFUNCTION("""COMPUTED_VALUE"""),65.7)</f>
        <v>65.7</v>
      </c>
    </row>
    <row r="2907">
      <c r="A2907" s="1" t="s">
        <v>2906</v>
      </c>
      <c r="D2907" s="3">
        <f>IFERROR(__xludf.DUMMYFUNCTION("SPLIT(A2907, ""|"")"),43447.0)</f>
        <v>43447</v>
      </c>
      <c r="E2907" s="2">
        <f>IFERROR(__xludf.DUMMYFUNCTION("""COMPUTED_VALUE"""),1073343.0)</f>
        <v>1073343</v>
      </c>
      <c r="F2907" s="2">
        <f>IFERROR(__xludf.DUMMYFUNCTION("""COMPUTED_VALUE"""),5313006.0)</f>
        <v>5313006</v>
      </c>
      <c r="G2907" s="2">
        <f>IFERROR(__xludf.DUMMYFUNCTION("""COMPUTED_VALUE"""),59.25)</f>
        <v>59.25</v>
      </c>
    </row>
    <row r="2908">
      <c r="A2908" s="1" t="s">
        <v>2907</v>
      </c>
      <c r="D2908" s="3">
        <f>IFERROR(__xludf.DUMMYFUNCTION("SPLIT(A2908, ""|"")"),42936.0)</f>
        <v>42936</v>
      </c>
      <c r="E2908" s="2">
        <f>IFERROR(__xludf.DUMMYFUNCTION("""COMPUTED_VALUE"""),1321473.0)</f>
        <v>1321473</v>
      </c>
      <c r="F2908" s="2">
        <f>IFERROR(__xludf.DUMMYFUNCTION("""COMPUTED_VALUE"""),3659397.0)</f>
        <v>3659397</v>
      </c>
      <c r="G2908" s="2">
        <f>IFERROR(__xludf.DUMMYFUNCTION("""COMPUTED_VALUE"""),8.4456)</f>
        <v>8.4456</v>
      </c>
    </row>
    <row r="2909">
      <c r="A2909" s="1" t="s">
        <v>2908</v>
      </c>
      <c r="D2909" s="3">
        <f>IFERROR(__xludf.DUMMYFUNCTION("SPLIT(A2909, ""|"")"),42936.0)</f>
        <v>42936</v>
      </c>
      <c r="E2909" s="2">
        <f>IFERROR(__xludf.DUMMYFUNCTION("""COMPUTED_VALUE"""),1357473.0)</f>
        <v>1357473</v>
      </c>
      <c r="F2909" s="2">
        <f>IFERROR(__xludf.DUMMYFUNCTION("""COMPUTED_VALUE"""),3659534.0)</f>
        <v>3659534</v>
      </c>
      <c r="G2909" s="2">
        <f>IFERROR(__xludf.DUMMYFUNCTION("""COMPUTED_VALUE"""),21.0709)</f>
        <v>21.0709</v>
      </c>
    </row>
    <row r="2910">
      <c r="A2910" s="1" t="s">
        <v>2909</v>
      </c>
      <c r="D2910" s="3">
        <f>IFERROR(__xludf.DUMMYFUNCTION("SPLIT(A2910, ""|"")"),42936.0)</f>
        <v>42936</v>
      </c>
      <c r="E2910" s="2">
        <f>IFERROR(__xludf.DUMMYFUNCTION("""COMPUTED_VALUE"""),1380573.0)</f>
        <v>1380573</v>
      </c>
      <c r="F2910" s="2">
        <f>IFERROR(__xludf.DUMMYFUNCTION("""COMPUTED_VALUE"""),3660418.0)</f>
        <v>3660418</v>
      </c>
      <c r="G2910" s="2">
        <f>IFERROR(__xludf.DUMMYFUNCTION("""COMPUTED_VALUE"""),10.9952)</f>
        <v>10.9952</v>
      </c>
    </row>
    <row r="2911">
      <c r="A2911" s="1" t="s">
        <v>2910</v>
      </c>
      <c r="D2911" s="3">
        <f>IFERROR(__xludf.DUMMYFUNCTION("SPLIT(A2911, ""|"")"),42936.0)</f>
        <v>42936</v>
      </c>
      <c r="E2911" s="2">
        <f>IFERROR(__xludf.DUMMYFUNCTION("""COMPUTED_VALUE"""),1340253.0)</f>
        <v>1340253</v>
      </c>
      <c r="F2911" s="2">
        <f>IFERROR(__xludf.DUMMYFUNCTION("""COMPUTED_VALUE"""),3660208.0)</f>
        <v>3660208</v>
      </c>
      <c r="G2911" s="2">
        <f>IFERROR(__xludf.DUMMYFUNCTION("""COMPUTED_VALUE"""),27.6175)</f>
        <v>27.6175</v>
      </c>
    </row>
    <row r="2912">
      <c r="A2912" s="1" t="s">
        <v>2911</v>
      </c>
      <c r="D2912" s="3">
        <f>IFERROR(__xludf.DUMMYFUNCTION("SPLIT(A2912, ""|"")"),43192.0)</f>
        <v>43192</v>
      </c>
      <c r="E2912" s="2">
        <f>IFERROR(__xludf.DUMMYFUNCTION("""COMPUTED_VALUE"""),1245363.0)</f>
        <v>1245363</v>
      </c>
      <c r="F2912" s="2">
        <f>IFERROR(__xludf.DUMMYFUNCTION("""COMPUTED_VALUE"""),4352386.0)</f>
        <v>4352386</v>
      </c>
      <c r="G2912" s="2">
        <f>IFERROR(__xludf.DUMMYFUNCTION("""COMPUTED_VALUE"""),74.4149)</f>
        <v>74.4149</v>
      </c>
    </row>
    <row r="2913">
      <c r="A2913" s="1" t="s">
        <v>2912</v>
      </c>
      <c r="D2913" s="3">
        <f>IFERROR(__xludf.DUMMYFUNCTION("SPLIT(A2913, ""|"")"),43192.0)</f>
        <v>43192</v>
      </c>
      <c r="E2913" s="2">
        <f>IFERROR(__xludf.DUMMYFUNCTION("""COMPUTED_VALUE"""),1563093.0)</f>
        <v>1563093</v>
      </c>
      <c r="F2913" s="2">
        <f>IFERROR(__xludf.DUMMYFUNCTION("""COMPUTED_VALUE"""),4352402.0)</f>
        <v>4352402</v>
      </c>
      <c r="G2913" s="2">
        <f>IFERROR(__xludf.DUMMYFUNCTION("""COMPUTED_VALUE"""),76.7213)</f>
        <v>76.7213</v>
      </c>
    </row>
    <row r="2914">
      <c r="A2914" s="1" t="s">
        <v>2913</v>
      </c>
      <c r="D2914" s="3">
        <f>IFERROR(__xludf.DUMMYFUNCTION("SPLIT(A2914, ""|"")"),43192.0)</f>
        <v>43192</v>
      </c>
      <c r="E2914" s="2">
        <f>IFERROR(__xludf.DUMMYFUNCTION("""COMPUTED_VALUE"""),1563363.0)</f>
        <v>1563363</v>
      </c>
      <c r="F2914" s="2">
        <f>IFERROR(__xludf.DUMMYFUNCTION("""COMPUTED_VALUE"""),4350132.0)</f>
        <v>4350132</v>
      </c>
      <c r="G2914" s="2">
        <f>IFERROR(__xludf.DUMMYFUNCTION("""COMPUTED_VALUE"""),35.0225)</f>
        <v>35.0225</v>
      </c>
    </row>
    <row r="2915">
      <c r="A2915" s="1" t="s">
        <v>2914</v>
      </c>
      <c r="D2915" s="3">
        <f>IFERROR(__xludf.DUMMYFUNCTION("SPLIT(A2915, ""|"")"),43192.0)</f>
        <v>43192</v>
      </c>
      <c r="E2915" s="2">
        <f>IFERROR(__xludf.DUMMYFUNCTION("""COMPUTED_VALUE"""),1296363.0)</f>
        <v>1296363</v>
      </c>
      <c r="F2915" s="2">
        <f>IFERROR(__xludf.DUMMYFUNCTION("""COMPUTED_VALUE"""),4350166.0)</f>
        <v>4350166</v>
      </c>
      <c r="G2915" s="2">
        <f>IFERROR(__xludf.DUMMYFUNCTION("""COMPUTED_VALUE"""),90.4596999999999)</f>
        <v>90.4597</v>
      </c>
    </row>
    <row r="2916">
      <c r="A2916" s="1" t="s">
        <v>2915</v>
      </c>
      <c r="D2916" s="3">
        <f>IFERROR(__xludf.DUMMYFUNCTION("SPLIT(A2916, ""|"")"),43192.0)</f>
        <v>43192</v>
      </c>
      <c r="E2916" s="2">
        <f>IFERROR(__xludf.DUMMYFUNCTION("""COMPUTED_VALUE"""),458763.0)</f>
        <v>458763</v>
      </c>
      <c r="F2916" s="2">
        <f>IFERROR(__xludf.DUMMYFUNCTION("""COMPUTED_VALUE"""),4352077.0)</f>
        <v>4352077</v>
      </c>
      <c r="G2916" s="2">
        <f>IFERROR(__xludf.DUMMYFUNCTION("""COMPUTED_VALUE"""),59.6625)</f>
        <v>59.6625</v>
      </c>
    </row>
    <row r="2917">
      <c r="A2917" s="1" t="s">
        <v>2916</v>
      </c>
      <c r="D2917" s="3">
        <f>IFERROR(__xludf.DUMMYFUNCTION("SPLIT(A2917, ""|"")"),43192.0)</f>
        <v>43192</v>
      </c>
      <c r="E2917" s="2">
        <f>IFERROR(__xludf.DUMMYFUNCTION("""COMPUTED_VALUE"""),1220073.0)</f>
        <v>1220073</v>
      </c>
      <c r="F2917" s="2">
        <f>IFERROR(__xludf.DUMMYFUNCTION("""COMPUTED_VALUE"""),4350779.0)</f>
        <v>4350779</v>
      </c>
      <c r="G2917" s="2">
        <f>IFERROR(__xludf.DUMMYFUNCTION("""COMPUTED_VALUE"""),75.106)</f>
        <v>75.106</v>
      </c>
    </row>
    <row r="2918">
      <c r="A2918" s="1" t="s">
        <v>2917</v>
      </c>
      <c r="D2918" s="3">
        <f>IFERROR(__xludf.DUMMYFUNCTION("SPLIT(A2918, ""|"")"),43192.0)</f>
        <v>43192</v>
      </c>
      <c r="E2918" s="2">
        <f>IFERROR(__xludf.DUMMYFUNCTION("""COMPUTED_VALUE"""),1555203.0)</f>
        <v>1555203</v>
      </c>
      <c r="F2918" s="2">
        <f>IFERROR(__xludf.DUMMYFUNCTION("""COMPUTED_VALUE"""),4351754.0)</f>
        <v>4351754</v>
      </c>
      <c r="G2918" s="2">
        <f>IFERROR(__xludf.DUMMYFUNCTION("""COMPUTED_VALUE"""),31.5833)</f>
        <v>31.5833</v>
      </c>
    </row>
    <row r="2919">
      <c r="A2919" s="1" t="s">
        <v>2918</v>
      </c>
      <c r="D2919" s="3">
        <f>IFERROR(__xludf.DUMMYFUNCTION("SPLIT(A2919, ""|"")"),43448.0)</f>
        <v>43448</v>
      </c>
      <c r="E2919" s="2">
        <f>IFERROR(__xludf.DUMMYFUNCTION("""COMPUTED_VALUE"""),260553.0)</f>
        <v>260553</v>
      </c>
      <c r="F2919" s="2">
        <f>IFERROR(__xludf.DUMMYFUNCTION("""COMPUTED_VALUE"""),5317526.0)</f>
        <v>5317526</v>
      </c>
      <c r="G2919" s="2">
        <f>IFERROR(__xludf.DUMMYFUNCTION("""COMPUTED_VALUE"""),43.1666)</f>
        <v>43.1666</v>
      </c>
    </row>
    <row r="2920">
      <c r="A2920" s="1" t="s">
        <v>2919</v>
      </c>
      <c r="D2920" s="3">
        <f>IFERROR(__xludf.DUMMYFUNCTION("SPLIT(A2920, ""|"")"),43448.0)</f>
        <v>43448</v>
      </c>
      <c r="E2920" s="2">
        <f>IFERROR(__xludf.DUMMYFUNCTION("""COMPUTED_VALUE"""),1207683.0)</f>
        <v>1207683</v>
      </c>
      <c r="F2920" s="2">
        <f>IFERROR(__xludf.DUMMYFUNCTION("""COMPUTED_VALUE"""),5315992.0)</f>
        <v>5315992</v>
      </c>
      <c r="G2920" s="2">
        <f>IFERROR(__xludf.DUMMYFUNCTION("""COMPUTED_VALUE"""),78.3753999999999)</f>
        <v>78.3754</v>
      </c>
    </row>
    <row r="2921">
      <c r="A2921" s="1" t="s">
        <v>2920</v>
      </c>
      <c r="D2921" s="3">
        <f>IFERROR(__xludf.DUMMYFUNCTION("SPLIT(A2921, ""|"")"),43448.0)</f>
        <v>43448</v>
      </c>
      <c r="E2921" s="2">
        <f>IFERROR(__xludf.DUMMYFUNCTION("""COMPUTED_VALUE"""),1291233.0)</f>
        <v>1291233</v>
      </c>
      <c r="F2921" s="2">
        <f>IFERROR(__xludf.DUMMYFUNCTION("""COMPUTED_VALUE"""),5317858.0)</f>
        <v>5317858</v>
      </c>
      <c r="G2921" s="2">
        <f>IFERROR(__xludf.DUMMYFUNCTION("""COMPUTED_VALUE"""),100.280099999999)</f>
        <v>100.2801</v>
      </c>
    </row>
    <row r="2922">
      <c r="A2922" s="1" t="s">
        <v>2921</v>
      </c>
      <c r="D2922" s="3">
        <f>IFERROR(__xludf.DUMMYFUNCTION("SPLIT(A2922, ""|"")"),43448.0)</f>
        <v>43448</v>
      </c>
      <c r="E2922" s="2">
        <f>IFERROR(__xludf.DUMMYFUNCTION("""COMPUTED_VALUE"""),1692153.0)</f>
        <v>1692153</v>
      </c>
      <c r="F2922" s="2">
        <f>IFERROR(__xludf.DUMMYFUNCTION("""COMPUTED_VALUE"""),5316414.0)</f>
        <v>5316414</v>
      </c>
      <c r="G2922" s="2">
        <f>IFERROR(__xludf.DUMMYFUNCTION("""COMPUTED_VALUE"""),25.0433)</f>
        <v>25.0433</v>
      </c>
    </row>
    <row r="2923">
      <c r="A2923" s="1" t="s">
        <v>2922</v>
      </c>
      <c r="D2923" s="3">
        <f>IFERROR(__xludf.DUMMYFUNCTION("SPLIT(A2923, ""|"")"),43448.0)</f>
        <v>43448</v>
      </c>
      <c r="E2923" s="2">
        <f>IFERROR(__xludf.DUMMYFUNCTION("""COMPUTED_VALUE"""),1644393.0)</f>
        <v>1644393</v>
      </c>
      <c r="F2923" s="2">
        <f>IFERROR(__xludf.DUMMYFUNCTION("""COMPUTED_VALUE"""),5317726.0)</f>
        <v>5317726</v>
      </c>
      <c r="G2923" s="2">
        <f>IFERROR(__xludf.DUMMYFUNCTION("""COMPUTED_VALUE"""),22.9896)</f>
        <v>22.9896</v>
      </c>
    </row>
    <row r="2924">
      <c r="A2924" s="1" t="s">
        <v>2923</v>
      </c>
      <c r="D2924" s="3">
        <f>IFERROR(__xludf.DUMMYFUNCTION("SPLIT(A2924, ""|"")"),43448.0)</f>
        <v>43448</v>
      </c>
      <c r="E2924" s="2">
        <f>IFERROR(__xludf.DUMMYFUNCTION("""COMPUTED_VALUE"""),1379103.0)</f>
        <v>1379103</v>
      </c>
      <c r="F2924" s="2">
        <f>IFERROR(__xludf.DUMMYFUNCTION("""COMPUTED_VALUE"""),5317676.0)</f>
        <v>5317676</v>
      </c>
      <c r="G2924" s="2">
        <f>IFERROR(__xludf.DUMMYFUNCTION("""COMPUTED_VALUE"""),116.4744)</f>
        <v>116.4744</v>
      </c>
    </row>
    <row r="2925">
      <c r="A2925" s="1" t="s">
        <v>2924</v>
      </c>
      <c r="D2925" s="3">
        <f>IFERROR(__xludf.DUMMYFUNCTION("SPLIT(A2925, ""|"")"),43448.0)</f>
        <v>43448</v>
      </c>
      <c r="E2925" s="2">
        <f>IFERROR(__xludf.DUMMYFUNCTION("""COMPUTED_VALUE"""),1637013.0)</f>
        <v>1637013</v>
      </c>
      <c r="F2925" s="2">
        <f>IFERROR(__xludf.DUMMYFUNCTION("""COMPUTED_VALUE"""),5317360.0)</f>
        <v>5317360</v>
      </c>
      <c r="G2925" s="2">
        <f>IFERROR(__xludf.DUMMYFUNCTION("""COMPUTED_VALUE"""),45.8095)</f>
        <v>45.8095</v>
      </c>
    </row>
    <row r="2926">
      <c r="A2926" s="1" t="s">
        <v>2925</v>
      </c>
      <c r="D2926" s="3">
        <f>IFERROR(__xludf.DUMMYFUNCTION("SPLIT(A2926, ""|"")"),43448.0)</f>
        <v>43448</v>
      </c>
      <c r="E2926" s="2">
        <f>IFERROR(__xludf.DUMMYFUNCTION("""COMPUTED_VALUE"""),1816713.0)</f>
        <v>1816713</v>
      </c>
      <c r="F2926" s="2">
        <f>IFERROR(__xludf.DUMMYFUNCTION("""COMPUTED_VALUE"""),5317230.0)</f>
        <v>5317230</v>
      </c>
      <c r="G2926" s="2">
        <f>IFERROR(__xludf.DUMMYFUNCTION("""COMPUTED_VALUE"""),85.4239)</f>
        <v>85.4239</v>
      </c>
    </row>
    <row r="2927">
      <c r="A2927" s="1" t="s">
        <v>2926</v>
      </c>
      <c r="D2927" s="3">
        <f>IFERROR(__xludf.DUMMYFUNCTION("SPLIT(A2927, ""|"")"),43448.0)</f>
        <v>43448</v>
      </c>
      <c r="E2927" s="2">
        <f>IFERROR(__xludf.DUMMYFUNCTION("""COMPUTED_VALUE"""),1816443.0)</f>
        <v>1816443</v>
      </c>
      <c r="F2927" s="2">
        <f>IFERROR(__xludf.DUMMYFUNCTION("""COMPUTED_VALUE"""),5316239.0)</f>
        <v>5316239</v>
      </c>
      <c r="G2927" s="2">
        <f>IFERROR(__xludf.DUMMYFUNCTION("""COMPUTED_VALUE"""),35.0625)</f>
        <v>35.0625</v>
      </c>
    </row>
    <row r="2928">
      <c r="A2928" s="1" t="s">
        <v>2927</v>
      </c>
      <c r="D2928" s="3">
        <f>IFERROR(__xludf.DUMMYFUNCTION("SPLIT(A2928, ""|"")"),42937.0)</f>
        <v>42937</v>
      </c>
      <c r="E2928" s="2">
        <f>IFERROR(__xludf.DUMMYFUNCTION("""COMPUTED_VALUE"""),1381053.0)</f>
        <v>1381053</v>
      </c>
      <c r="F2928" s="2">
        <f>IFERROR(__xludf.DUMMYFUNCTION("""COMPUTED_VALUE"""),3662428.0)</f>
        <v>3662428</v>
      </c>
      <c r="G2928" s="2">
        <f>IFERROR(__xludf.DUMMYFUNCTION("""COMPUTED_VALUE"""),12.0)</f>
        <v>12</v>
      </c>
    </row>
    <row r="2929">
      <c r="A2929" s="1" t="s">
        <v>2928</v>
      </c>
      <c r="D2929" s="3">
        <f>IFERROR(__xludf.DUMMYFUNCTION("SPLIT(A2929, ""|"")"),43193.0)</f>
        <v>43193</v>
      </c>
      <c r="E2929" s="2">
        <f>IFERROR(__xludf.DUMMYFUNCTION("""COMPUTED_VALUE"""),1327233.0)</f>
        <v>1327233</v>
      </c>
      <c r="F2929" s="2">
        <f>IFERROR(__xludf.DUMMYFUNCTION("""COMPUTED_VALUE"""),4356429.0)</f>
        <v>4356429</v>
      </c>
      <c r="G2929" s="2">
        <f>IFERROR(__xludf.DUMMYFUNCTION("""COMPUTED_VALUE"""),41.962)</f>
        <v>41.962</v>
      </c>
    </row>
    <row r="2930">
      <c r="A2930" s="1" t="s">
        <v>2929</v>
      </c>
      <c r="D2930" s="3">
        <f>IFERROR(__xludf.DUMMYFUNCTION("SPLIT(A2930, ""|"")"),43193.0)</f>
        <v>43193</v>
      </c>
      <c r="E2930" s="2">
        <f>IFERROR(__xludf.DUMMYFUNCTION("""COMPUTED_VALUE"""),1409553.0)</f>
        <v>1409553</v>
      </c>
      <c r="F2930" s="2">
        <f>IFERROR(__xludf.DUMMYFUNCTION("""COMPUTED_VALUE"""),4354113.0)</f>
        <v>4354113</v>
      </c>
      <c r="G2930" s="2">
        <f>IFERROR(__xludf.DUMMYFUNCTION("""COMPUTED_VALUE"""),71.2055)</f>
        <v>71.2055</v>
      </c>
    </row>
    <row r="2931">
      <c r="A2931" s="1" t="s">
        <v>2930</v>
      </c>
      <c r="D2931" s="3">
        <f>IFERROR(__xludf.DUMMYFUNCTION("SPLIT(A2931, ""|"")"),43193.0)</f>
        <v>43193</v>
      </c>
      <c r="E2931" s="2">
        <f>IFERROR(__xludf.DUMMYFUNCTION("""COMPUTED_VALUE"""),1478463.0)</f>
        <v>1478463</v>
      </c>
      <c r="F2931" s="2">
        <f>IFERROR(__xludf.DUMMYFUNCTION("""COMPUTED_VALUE"""),4355257.0)</f>
        <v>4355257</v>
      </c>
      <c r="G2931" s="2">
        <f>IFERROR(__xludf.DUMMYFUNCTION("""COMPUTED_VALUE"""),56.9516)</f>
        <v>56.9516</v>
      </c>
    </row>
    <row r="2932">
      <c r="A2932" s="1" t="s">
        <v>2931</v>
      </c>
      <c r="D2932" s="3">
        <f>IFERROR(__xludf.DUMMYFUNCTION("SPLIT(A2932, ""|"")"),43193.0)</f>
        <v>43193</v>
      </c>
      <c r="E2932" s="2">
        <f>IFERROR(__xludf.DUMMYFUNCTION("""COMPUTED_VALUE"""),1489683.0)</f>
        <v>1489683</v>
      </c>
      <c r="F2932" s="2">
        <f>IFERROR(__xludf.DUMMYFUNCTION("""COMPUTED_VALUE"""),4355396.0)</f>
        <v>4355396</v>
      </c>
      <c r="G2932" s="2">
        <f>IFERROR(__xludf.DUMMYFUNCTION("""COMPUTED_VALUE"""),112.3624)</f>
        <v>112.3624</v>
      </c>
    </row>
    <row r="2933">
      <c r="A2933" s="1" t="s">
        <v>2932</v>
      </c>
      <c r="D2933" s="3">
        <f>IFERROR(__xludf.DUMMYFUNCTION("SPLIT(A2933, ""|"")"),43193.0)</f>
        <v>43193</v>
      </c>
      <c r="E2933" s="2">
        <f>IFERROR(__xludf.DUMMYFUNCTION("""COMPUTED_VALUE"""),1564863.0)</f>
        <v>1564863</v>
      </c>
      <c r="F2933" s="2">
        <f>IFERROR(__xludf.DUMMYFUNCTION("""COMPUTED_VALUE"""),4356398.0)</f>
        <v>4356398</v>
      </c>
      <c r="G2933" s="2">
        <f>IFERROR(__xludf.DUMMYFUNCTION("""COMPUTED_VALUE"""),54.602)</f>
        <v>54.602</v>
      </c>
    </row>
    <row r="2934">
      <c r="A2934" s="1" t="s">
        <v>2933</v>
      </c>
      <c r="D2934" s="3">
        <f>IFERROR(__xludf.DUMMYFUNCTION("SPLIT(A2934, ""|"")"),43193.0)</f>
        <v>43193</v>
      </c>
      <c r="E2934" s="2">
        <f>IFERROR(__xludf.DUMMYFUNCTION("""COMPUTED_VALUE"""),1564293.0)</f>
        <v>1564293</v>
      </c>
      <c r="F2934" s="2">
        <f>IFERROR(__xludf.DUMMYFUNCTION("""COMPUTED_VALUE"""),4354316.0)</f>
        <v>4354316</v>
      </c>
      <c r="G2934" s="2">
        <f>IFERROR(__xludf.DUMMYFUNCTION("""COMPUTED_VALUE"""),23.5547)</f>
        <v>23.5547</v>
      </c>
    </row>
    <row r="2935">
      <c r="A2935" s="1" t="s">
        <v>2934</v>
      </c>
      <c r="D2935" s="3">
        <f>IFERROR(__xludf.DUMMYFUNCTION("SPLIT(A2935, ""|"")"),43449.0)</f>
        <v>43449</v>
      </c>
      <c r="E2935" s="2">
        <f>IFERROR(__xludf.DUMMYFUNCTION("""COMPUTED_VALUE"""),1163223.0)</f>
        <v>1163223</v>
      </c>
      <c r="F2935" s="2">
        <f>IFERROR(__xludf.DUMMYFUNCTION("""COMPUTED_VALUE"""),5320826.0)</f>
        <v>5320826</v>
      </c>
      <c r="G2935" s="2">
        <f>IFERROR(__xludf.DUMMYFUNCTION("""COMPUTED_VALUE"""),79.5214)</f>
        <v>79.5214</v>
      </c>
    </row>
    <row r="2936">
      <c r="A2936" s="1" t="s">
        <v>2935</v>
      </c>
      <c r="D2936" s="3">
        <f>IFERROR(__xludf.DUMMYFUNCTION("SPLIT(A2936, ""|"")"),43449.0)</f>
        <v>43449</v>
      </c>
      <c r="E2936" s="2">
        <f>IFERROR(__xludf.DUMMYFUNCTION("""COMPUTED_VALUE"""),1141683.0)</f>
        <v>1141683</v>
      </c>
      <c r="F2936" s="2">
        <f>IFERROR(__xludf.DUMMYFUNCTION("""COMPUTED_VALUE"""),5318829.0)</f>
        <v>5318829</v>
      </c>
      <c r="G2936" s="2">
        <f>IFERROR(__xludf.DUMMYFUNCTION("""COMPUTED_VALUE"""),94.9198)</f>
        <v>94.9198</v>
      </c>
    </row>
    <row r="2937">
      <c r="A2937" s="1" t="s">
        <v>2936</v>
      </c>
      <c r="D2937" s="3">
        <f>IFERROR(__xludf.DUMMYFUNCTION("SPLIT(A2937, ""|"")"),43449.0)</f>
        <v>43449</v>
      </c>
      <c r="E2937" s="2">
        <f>IFERROR(__xludf.DUMMYFUNCTION("""COMPUTED_VALUE"""),1818033.0)</f>
        <v>1818033</v>
      </c>
      <c r="F2937" s="2">
        <f>IFERROR(__xludf.DUMMYFUNCTION("""COMPUTED_VALUE"""),5321164.0)</f>
        <v>5321164</v>
      </c>
      <c r="G2937" s="2">
        <f>IFERROR(__xludf.DUMMYFUNCTION("""COMPUTED_VALUE"""),23.7083999999999)</f>
        <v>23.7084</v>
      </c>
    </row>
    <row r="2938">
      <c r="A2938" s="1" t="s">
        <v>2937</v>
      </c>
      <c r="D2938" s="3">
        <f>IFERROR(__xludf.DUMMYFUNCTION("SPLIT(A2938, ""|"")"),43449.0)</f>
        <v>43449</v>
      </c>
      <c r="E2938" s="2">
        <f>IFERROR(__xludf.DUMMYFUNCTION("""COMPUTED_VALUE"""),1462173.0)</f>
        <v>1462173</v>
      </c>
      <c r="F2938" s="2">
        <f>IFERROR(__xludf.DUMMYFUNCTION("""COMPUTED_VALUE"""),5320673.0)</f>
        <v>5320673</v>
      </c>
      <c r="G2938" s="2">
        <f>IFERROR(__xludf.DUMMYFUNCTION("""COMPUTED_VALUE"""),61.427)</f>
        <v>61.427</v>
      </c>
    </row>
    <row r="2939">
      <c r="A2939" s="1" t="s">
        <v>2938</v>
      </c>
      <c r="D2939" s="3">
        <f>IFERROR(__xludf.DUMMYFUNCTION("SPLIT(A2939, ""|"")"),43449.0)</f>
        <v>43449</v>
      </c>
      <c r="E2939" s="2">
        <f>IFERROR(__xludf.DUMMYFUNCTION("""COMPUTED_VALUE"""),1784793.0)</f>
        <v>1784793</v>
      </c>
      <c r="F2939" s="2">
        <f>IFERROR(__xludf.DUMMYFUNCTION("""COMPUTED_VALUE"""),5320084.0)</f>
        <v>5320084</v>
      </c>
      <c r="G2939" s="2">
        <f>IFERROR(__xludf.DUMMYFUNCTION("""COMPUTED_VALUE"""),24.4407)</f>
        <v>24.4407</v>
      </c>
    </row>
    <row r="2940">
      <c r="A2940" s="1" t="s">
        <v>2939</v>
      </c>
      <c r="D2940" s="3">
        <f>IFERROR(__xludf.DUMMYFUNCTION("SPLIT(A2940, ""|"")"),43449.0)</f>
        <v>43449</v>
      </c>
      <c r="E2940" s="2">
        <f>IFERROR(__xludf.DUMMYFUNCTION("""COMPUTED_VALUE"""),181533.0)</f>
        <v>181533</v>
      </c>
      <c r="F2940" s="2">
        <f>IFERROR(__xludf.DUMMYFUNCTION("""COMPUTED_VALUE"""),5321554.0)</f>
        <v>5321554</v>
      </c>
      <c r="G2940" s="2">
        <f>IFERROR(__xludf.DUMMYFUNCTION("""COMPUTED_VALUE"""),11.6967)</f>
        <v>11.6967</v>
      </c>
    </row>
    <row r="2941">
      <c r="A2941" s="1" t="s">
        <v>2940</v>
      </c>
      <c r="D2941" s="3">
        <f>IFERROR(__xludf.DUMMYFUNCTION("SPLIT(A2941, ""|"")"),43449.0)</f>
        <v>43449</v>
      </c>
      <c r="E2941" s="2">
        <f>IFERROR(__xludf.DUMMYFUNCTION("""COMPUTED_VALUE"""),1817433.0)</f>
        <v>1817433</v>
      </c>
      <c r="F2941" s="2">
        <f>IFERROR(__xludf.DUMMYFUNCTION("""COMPUTED_VALUE"""),5319319.0)</f>
        <v>5319319</v>
      </c>
      <c r="G2941" s="2">
        <f>IFERROR(__xludf.DUMMYFUNCTION("""COMPUTED_VALUE"""),21.1868)</f>
        <v>21.1868</v>
      </c>
    </row>
    <row r="2942">
      <c r="A2942" s="1" t="s">
        <v>2941</v>
      </c>
      <c r="D2942" s="3">
        <f>IFERROR(__xludf.DUMMYFUNCTION("SPLIT(A2942, ""|"")"),43449.0)</f>
        <v>43449</v>
      </c>
      <c r="E2942" s="2">
        <f>IFERROR(__xludf.DUMMYFUNCTION("""COMPUTED_VALUE"""),1467843.0)</f>
        <v>1467843</v>
      </c>
      <c r="F2942" s="2">
        <f>IFERROR(__xludf.DUMMYFUNCTION("""COMPUTED_VALUE"""),5320572.0)</f>
        <v>5320572</v>
      </c>
      <c r="G2942" s="2">
        <f>IFERROR(__xludf.DUMMYFUNCTION("""COMPUTED_VALUE"""),38.2368)</f>
        <v>38.2368</v>
      </c>
    </row>
    <row r="2943">
      <c r="A2943" s="1" t="s">
        <v>2942</v>
      </c>
      <c r="D2943" s="3">
        <f>IFERROR(__xludf.DUMMYFUNCTION("SPLIT(A2943, ""|"")"),42938.0)</f>
        <v>42938</v>
      </c>
      <c r="E2943" s="2">
        <f>IFERROR(__xludf.DUMMYFUNCTION("""COMPUTED_VALUE"""),1381413.0)</f>
        <v>1381413</v>
      </c>
      <c r="F2943" s="2">
        <f>IFERROR(__xludf.DUMMYFUNCTION("""COMPUTED_VALUE"""),3663805.0)</f>
        <v>3663805</v>
      </c>
      <c r="G2943" s="2">
        <f>IFERROR(__xludf.DUMMYFUNCTION("""COMPUTED_VALUE"""),68.3242)</f>
        <v>68.3242</v>
      </c>
    </row>
    <row r="2944">
      <c r="A2944" s="1" t="s">
        <v>2943</v>
      </c>
      <c r="D2944" s="3">
        <f>IFERROR(__xludf.DUMMYFUNCTION("SPLIT(A2944, ""|"")"),42938.0)</f>
        <v>42938</v>
      </c>
      <c r="E2944" s="2">
        <f>IFERROR(__xludf.DUMMYFUNCTION("""COMPUTED_VALUE"""),1381323.0)</f>
        <v>1381323</v>
      </c>
      <c r="F2944" s="2">
        <f>IFERROR(__xludf.DUMMYFUNCTION("""COMPUTED_VALUE"""),3663415.0)</f>
        <v>3663415</v>
      </c>
      <c r="G2944" s="2">
        <f>IFERROR(__xludf.DUMMYFUNCTION("""COMPUTED_VALUE"""),47.1)</f>
        <v>47.1</v>
      </c>
    </row>
    <row r="2945">
      <c r="A2945" s="1" t="s">
        <v>2944</v>
      </c>
      <c r="D2945" s="3">
        <f>IFERROR(__xludf.DUMMYFUNCTION("SPLIT(A2945, ""|"")"),42938.0)</f>
        <v>42938</v>
      </c>
      <c r="E2945" s="2">
        <f>IFERROR(__xludf.DUMMYFUNCTION("""COMPUTED_VALUE"""),1304853.0)</f>
        <v>1304853</v>
      </c>
      <c r="F2945" s="2">
        <f>IFERROR(__xludf.DUMMYFUNCTION("""COMPUTED_VALUE"""),3663561.0)</f>
        <v>3663561</v>
      </c>
      <c r="G2945" s="2">
        <f>IFERROR(__xludf.DUMMYFUNCTION("""COMPUTED_VALUE"""),51.9101)</f>
        <v>51.9101</v>
      </c>
    </row>
    <row r="2946">
      <c r="A2946" s="1" t="s">
        <v>2945</v>
      </c>
      <c r="D2946" s="3">
        <f>IFERROR(__xludf.DUMMYFUNCTION("SPLIT(A2946, ""|"")"),42938.0)</f>
        <v>42938</v>
      </c>
      <c r="E2946" s="2">
        <f>IFERROR(__xludf.DUMMYFUNCTION("""COMPUTED_VALUE"""),1238253.0)</f>
        <v>1238253</v>
      </c>
      <c r="F2946" s="2">
        <f>IFERROR(__xludf.DUMMYFUNCTION("""COMPUTED_VALUE"""),3663886.0)</f>
        <v>3663886</v>
      </c>
      <c r="G2946" s="2">
        <f>IFERROR(__xludf.DUMMYFUNCTION("""COMPUTED_VALUE"""),14.79)</f>
        <v>14.79</v>
      </c>
    </row>
    <row r="2947">
      <c r="A2947" s="1" t="s">
        <v>2946</v>
      </c>
      <c r="D2947" s="3">
        <f>IFERROR(__xludf.DUMMYFUNCTION("SPLIT(A2947, ""|"")"),42938.0)</f>
        <v>42938</v>
      </c>
      <c r="E2947" s="2">
        <f>IFERROR(__xludf.DUMMYFUNCTION("""COMPUTED_VALUE"""),1381683.0)</f>
        <v>1381683</v>
      </c>
      <c r="F2947" s="2">
        <f>IFERROR(__xludf.DUMMYFUNCTION("""COMPUTED_VALUE"""),3664750.0)</f>
        <v>3664750</v>
      </c>
      <c r="G2947" s="2">
        <f>IFERROR(__xludf.DUMMYFUNCTION("""COMPUTED_VALUE"""),14.6454)</f>
        <v>14.6454</v>
      </c>
    </row>
    <row r="2948">
      <c r="A2948" s="1" t="s">
        <v>2947</v>
      </c>
      <c r="D2948" s="3">
        <f>IFERROR(__xludf.DUMMYFUNCTION("SPLIT(A2948, ""|"")"),43194.0)</f>
        <v>43194</v>
      </c>
      <c r="E2948" s="2">
        <f>IFERROR(__xludf.DUMMYFUNCTION("""COMPUTED_VALUE"""),1524873.0)</f>
        <v>1524873</v>
      </c>
      <c r="F2948" s="2">
        <f>IFERROR(__xludf.DUMMYFUNCTION("""COMPUTED_VALUE"""),4358340.0)</f>
        <v>4358340</v>
      </c>
      <c r="G2948" s="2">
        <f>IFERROR(__xludf.DUMMYFUNCTION("""COMPUTED_VALUE"""),80.6593)</f>
        <v>80.6593</v>
      </c>
    </row>
    <row r="2949">
      <c r="A2949" s="1" t="s">
        <v>2948</v>
      </c>
      <c r="D2949" s="3">
        <f>IFERROR(__xludf.DUMMYFUNCTION("SPLIT(A2949, ""|"")"),43194.0)</f>
        <v>43194</v>
      </c>
      <c r="E2949" s="2">
        <f>IFERROR(__xludf.DUMMYFUNCTION("""COMPUTED_VALUE"""),1351143.0)</f>
        <v>1351143</v>
      </c>
      <c r="F2949" s="2">
        <f>IFERROR(__xludf.DUMMYFUNCTION("""COMPUTED_VALUE"""),4359340.0)</f>
        <v>4359340</v>
      </c>
      <c r="G2949" s="2">
        <f>IFERROR(__xludf.DUMMYFUNCTION("""COMPUTED_VALUE"""),70.3403)</f>
        <v>70.3403</v>
      </c>
    </row>
    <row r="2950">
      <c r="A2950" s="1" t="s">
        <v>2949</v>
      </c>
      <c r="D2950" s="3">
        <f>IFERROR(__xludf.DUMMYFUNCTION("SPLIT(A2950, ""|"")"),43194.0)</f>
        <v>43194</v>
      </c>
      <c r="E2950" s="2">
        <f>IFERROR(__xludf.DUMMYFUNCTION("""COMPUTED_VALUE"""),58503.0)</f>
        <v>58503</v>
      </c>
      <c r="F2950" s="2">
        <f>IFERROR(__xludf.DUMMYFUNCTION("""COMPUTED_VALUE"""),4358751.0)</f>
        <v>4358751</v>
      </c>
      <c r="G2950" s="2">
        <f>IFERROR(__xludf.DUMMYFUNCTION("""COMPUTED_VALUE"""),68.7638999999999)</f>
        <v>68.7639</v>
      </c>
    </row>
    <row r="2951">
      <c r="A2951" s="1" t="s">
        <v>2950</v>
      </c>
      <c r="D2951" s="3">
        <f>IFERROR(__xludf.DUMMYFUNCTION("SPLIT(A2951, ""|"")"),43194.0)</f>
        <v>43194</v>
      </c>
      <c r="E2951" s="2">
        <f>IFERROR(__xludf.DUMMYFUNCTION("""COMPUTED_VALUE"""),1286103.0)</f>
        <v>1286103</v>
      </c>
      <c r="F2951" s="2">
        <f>IFERROR(__xludf.DUMMYFUNCTION("""COMPUTED_VALUE"""),4356837.0)</f>
        <v>4356837</v>
      </c>
      <c r="G2951" s="2">
        <f>IFERROR(__xludf.DUMMYFUNCTION("""COMPUTED_VALUE"""),173.6105)</f>
        <v>173.6105</v>
      </c>
    </row>
    <row r="2952">
      <c r="A2952" s="1" t="s">
        <v>2951</v>
      </c>
      <c r="D2952" s="3">
        <f>IFERROR(__xludf.DUMMYFUNCTION("SPLIT(A2952, ""|"")"),43194.0)</f>
        <v>43194</v>
      </c>
      <c r="E2952" s="2">
        <f>IFERROR(__xludf.DUMMYFUNCTION("""COMPUTED_VALUE"""),1522173.0)</f>
        <v>1522173</v>
      </c>
      <c r="F2952" s="2">
        <f>IFERROR(__xludf.DUMMYFUNCTION("""COMPUTED_VALUE"""),4358734.0)</f>
        <v>4358734</v>
      </c>
      <c r="G2952" s="2">
        <f>IFERROR(__xludf.DUMMYFUNCTION("""COMPUTED_VALUE"""),35.4353)</f>
        <v>35.4353</v>
      </c>
    </row>
    <row r="2953">
      <c r="A2953" s="1" t="s">
        <v>2952</v>
      </c>
      <c r="D2953" s="3">
        <f>IFERROR(__xludf.DUMMYFUNCTION("SPLIT(A2953, ""|"")"),43194.0)</f>
        <v>43194</v>
      </c>
      <c r="E2953" s="2">
        <f>IFERROR(__xludf.DUMMYFUNCTION("""COMPUTED_VALUE"""),1565823.0)</f>
        <v>1565823</v>
      </c>
      <c r="F2953" s="2">
        <f>IFERROR(__xludf.DUMMYFUNCTION("""COMPUTED_VALUE"""),4360002.0)</f>
        <v>4360002</v>
      </c>
      <c r="G2953" s="2">
        <f>IFERROR(__xludf.DUMMYFUNCTION("""COMPUTED_VALUE"""),16.9014)</f>
        <v>16.9014</v>
      </c>
    </row>
    <row r="2954">
      <c r="A2954" s="1" t="s">
        <v>2953</v>
      </c>
      <c r="D2954" s="3">
        <f>IFERROR(__xludf.DUMMYFUNCTION("SPLIT(A2954, ""|"")"),43194.0)</f>
        <v>43194</v>
      </c>
      <c r="E2954" s="2">
        <f>IFERROR(__xludf.DUMMYFUNCTION("""COMPUTED_VALUE"""),1556343.0)</f>
        <v>1556343</v>
      </c>
      <c r="F2954" s="2">
        <f>IFERROR(__xludf.DUMMYFUNCTION("""COMPUTED_VALUE"""),4358435.0)</f>
        <v>4358435</v>
      </c>
      <c r="G2954" s="2">
        <f>IFERROR(__xludf.DUMMYFUNCTION("""COMPUTED_VALUE"""),19.1167)</f>
        <v>19.1167</v>
      </c>
    </row>
    <row r="2955">
      <c r="A2955" s="1" t="s">
        <v>2954</v>
      </c>
      <c r="D2955" s="3">
        <f>IFERROR(__xludf.DUMMYFUNCTION("SPLIT(A2955, ""|"")"),43194.0)</f>
        <v>43194</v>
      </c>
      <c r="E2955" s="2">
        <f>IFERROR(__xludf.DUMMYFUNCTION("""COMPUTED_VALUE"""),1138083.0)</f>
        <v>1138083</v>
      </c>
      <c r="F2955" s="2">
        <f>IFERROR(__xludf.DUMMYFUNCTION("""COMPUTED_VALUE"""),4357684.0)</f>
        <v>4357684</v>
      </c>
      <c r="G2955" s="2">
        <f>IFERROR(__xludf.DUMMYFUNCTION("""COMPUTED_VALUE"""),165.2475)</f>
        <v>165.2475</v>
      </c>
    </row>
    <row r="2956">
      <c r="A2956" s="1" t="s">
        <v>2955</v>
      </c>
      <c r="D2956" s="3">
        <f>IFERROR(__xludf.DUMMYFUNCTION("SPLIT(A2956, ""|"")"),43194.0)</f>
        <v>43194</v>
      </c>
      <c r="E2956" s="2">
        <f>IFERROR(__xludf.DUMMYFUNCTION("""COMPUTED_VALUE"""),1547883.0)</f>
        <v>1547883</v>
      </c>
      <c r="F2956" s="2">
        <f>IFERROR(__xludf.DUMMYFUNCTION("""COMPUTED_VALUE"""),4359529.0)</f>
        <v>4359529</v>
      </c>
      <c r="G2956" s="2">
        <f>IFERROR(__xludf.DUMMYFUNCTION("""COMPUTED_VALUE"""),68.5382)</f>
        <v>68.5382</v>
      </c>
    </row>
    <row r="2957">
      <c r="A2957" s="1" t="s">
        <v>2956</v>
      </c>
      <c r="D2957" s="3">
        <f>IFERROR(__xludf.DUMMYFUNCTION("SPLIT(A2957, ""|"")"),43194.0)</f>
        <v>43194</v>
      </c>
      <c r="E2957" s="2">
        <f>IFERROR(__xludf.DUMMYFUNCTION("""COMPUTED_VALUE"""),1292223.0)</f>
        <v>1292223</v>
      </c>
      <c r="F2957" s="2">
        <f>IFERROR(__xludf.DUMMYFUNCTION("""COMPUTED_VALUE"""),4358134.0)</f>
        <v>4358134</v>
      </c>
      <c r="G2957" s="2">
        <f>IFERROR(__xludf.DUMMYFUNCTION("""COMPUTED_VALUE"""),103.929)</f>
        <v>103.929</v>
      </c>
    </row>
    <row r="2958">
      <c r="A2958" s="1" t="s">
        <v>2957</v>
      </c>
      <c r="D2958" s="3">
        <f>IFERROR(__xludf.DUMMYFUNCTION("SPLIT(A2958, ""|"")"),43194.0)</f>
        <v>43194</v>
      </c>
      <c r="E2958" s="2">
        <f>IFERROR(__xludf.DUMMYFUNCTION("""COMPUTED_VALUE"""),1223523.0)</f>
        <v>1223523</v>
      </c>
      <c r="F2958" s="2">
        <f>IFERROR(__xludf.DUMMYFUNCTION("""COMPUTED_VALUE"""),4358008.0)</f>
        <v>4358008</v>
      </c>
      <c r="G2958" s="2">
        <f>IFERROR(__xludf.DUMMYFUNCTION("""COMPUTED_VALUE"""),120.0475)</f>
        <v>120.0475</v>
      </c>
    </row>
    <row r="2959">
      <c r="A2959" s="1" t="s">
        <v>2958</v>
      </c>
      <c r="D2959" s="3">
        <f>IFERROR(__xludf.DUMMYFUNCTION("SPLIT(A2959, ""|"")"),43450.0)</f>
        <v>43450</v>
      </c>
      <c r="E2959" s="2">
        <f>IFERROR(__xludf.DUMMYFUNCTION("""COMPUTED_VALUE"""),1819443.0)</f>
        <v>1819443</v>
      </c>
      <c r="F2959" s="2">
        <f>IFERROR(__xludf.DUMMYFUNCTION("""COMPUTED_VALUE"""),5326039.0)</f>
        <v>5326039</v>
      </c>
      <c r="G2959" s="2">
        <f>IFERROR(__xludf.DUMMYFUNCTION("""COMPUTED_VALUE"""),24.8967)</f>
        <v>24.8967</v>
      </c>
    </row>
    <row r="2960">
      <c r="A2960" s="1" t="s">
        <v>2959</v>
      </c>
      <c r="D2960" s="3">
        <f>IFERROR(__xludf.DUMMYFUNCTION("SPLIT(A2960, ""|"")"),43450.0)</f>
        <v>43450</v>
      </c>
      <c r="E2960" s="2">
        <f>IFERROR(__xludf.DUMMYFUNCTION("""COMPUTED_VALUE"""),1605693.0)</f>
        <v>1605693</v>
      </c>
      <c r="F2960" s="2">
        <f>IFERROR(__xludf.DUMMYFUNCTION("""COMPUTED_VALUE"""),5327010.0)</f>
        <v>5327010</v>
      </c>
      <c r="G2960" s="2">
        <f>IFERROR(__xludf.DUMMYFUNCTION("""COMPUTED_VALUE"""),26.9583)</f>
        <v>26.9583</v>
      </c>
    </row>
    <row r="2961">
      <c r="A2961" s="1" t="s">
        <v>2960</v>
      </c>
      <c r="D2961" s="3">
        <f>IFERROR(__xludf.DUMMYFUNCTION("SPLIT(A2961, ""|"")"),43450.0)</f>
        <v>43450</v>
      </c>
      <c r="E2961" s="2">
        <f>IFERROR(__xludf.DUMMYFUNCTION("""COMPUTED_VALUE"""),1252173.0)</f>
        <v>1252173</v>
      </c>
      <c r="F2961" s="2">
        <f>IFERROR(__xludf.DUMMYFUNCTION("""COMPUTED_VALUE"""),5323321.0)</f>
        <v>5323321</v>
      </c>
      <c r="G2961" s="2">
        <f>IFERROR(__xludf.DUMMYFUNCTION("""COMPUTED_VALUE"""),50.5791)</f>
        <v>50.5791</v>
      </c>
    </row>
    <row r="2962">
      <c r="A2962" s="1" t="s">
        <v>2961</v>
      </c>
      <c r="D2962" s="3">
        <f>IFERROR(__xludf.DUMMYFUNCTION("SPLIT(A2962, ""|"")"),43450.0)</f>
        <v>43450</v>
      </c>
      <c r="E2962" s="2">
        <f>IFERROR(__xludf.DUMMYFUNCTION("""COMPUTED_VALUE"""),1687653.0)</f>
        <v>1687653</v>
      </c>
      <c r="F2962" s="2">
        <f>IFERROR(__xludf.DUMMYFUNCTION("""COMPUTED_VALUE"""),5326868.0)</f>
        <v>5326868</v>
      </c>
      <c r="G2962" s="2">
        <f>IFERROR(__xludf.DUMMYFUNCTION("""COMPUTED_VALUE"""),76.0933999999999)</f>
        <v>76.0934</v>
      </c>
    </row>
    <row r="2963">
      <c r="A2963" s="1" t="s">
        <v>2962</v>
      </c>
      <c r="D2963" s="3">
        <f>IFERROR(__xludf.DUMMYFUNCTION("SPLIT(A2963, ""|"")"),43450.0)</f>
        <v>43450</v>
      </c>
      <c r="E2963" s="2">
        <f>IFERROR(__xludf.DUMMYFUNCTION("""COMPUTED_VALUE"""),1810803.0)</f>
        <v>1810803</v>
      </c>
      <c r="F2963" s="2">
        <f>IFERROR(__xludf.DUMMYFUNCTION("""COMPUTED_VALUE"""),5325794.0)</f>
        <v>5325794</v>
      </c>
      <c r="G2963" s="2">
        <f>IFERROR(__xludf.DUMMYFUNCTION("""COMPUTED_VALUE"""),76.1149)</f>
        <v>76.1149</v>
      </c>
    </row>
    <row r="2964">
      <c r="A2964" s="1" t="s">
        <v>2963</v>
      </c>
      <c r="D2964" s="3">
        <f>IFERROR(__xludf.DUMMYFUNCTION("SPLIT(A2964, ""|"")"),43450.0)</f>
        <v>43450</v>
      </c>
      <c r="E2964" s="2">
        <f>IFERROR(__xludf.DUMMYFUNCTION("""COMPUTED_VALUE"""),996933.0)</f>
        <v>996933</v>
      </c>
      <c r="F2964" s="2">
        <f>IFERROR(__xludf.DUMMYFUNCTION("""COMPUTED_VALUE"""),5326841.0)</f>
        <v>5326841</v>
      </c>
      <c r="G2964" s="2">
        <f>IFERROR(__xludf.DUMMYFUNCTION("""COMPUTED_VALUE"""),135.8386)</f>
        <v>135.8386</v>
      </c>
    </row>
    <row r="2965">
      <c r="A2965" s="1" t="s">
        <v>2964</v>
      </c>
      <c r="D2965" s="3">
        <f>IFERROR(__xludf.DUMMYFUNCTION("SPLIT(A2965, ""|"")"),43450.0)</f>
        <v>43450</v>
      </c>
      <c r="E2965" s="2">
        <f>IFERROR(__xludf.DUMMYFUNCTION("""COMPUTED_VALUE"""),1805133.0)</f>
        <v>1805133</v>
      </c>
      <c r="F2965" s="2">
        <f>IFERROR(__xludf.DUMMYFUNCTION("""COMPUTED_VALUE"""),5324493.0)</f>
        <v>5324493</v>
      </c>
      <c r="G2965" s="2">
        <f>IFERROR(__xludf.DUMMYFUNCTION("""COMPUTED_VALUE"""),92.0960999999999)</f>
        <v>92.0961</v>
      </c>
    </row>
    <row r="2966">
      <c r="A2966" s="1" t="s">
        <v>2965</v>
      </c>
      <c r="D2966" s="3">
        <f>IFERROR(__xludf.DUMMYFUNCTION("SPLIT(A2966, ""|"")"),43450.0)</f>
        <v>43450</v>
      </c>
      <c r="E2966" s="2">
        <f>IFERROR(__xludf.DUMMYFUNCTION("""COMPUTED_VALUE"""),1791423.0)</f>
        <v>1791423</v>
      </c>
      <c r="F2966" s="2">
        <f>IFERROR(__xludf.DUMMYFUNCTION("""COMPUTED_VALUE"""),5324764.0)</f>
        <v>5324764</v>
      </c>
      <c r="G2966" s="2">
        <f>IFERROR(__xludf.DUMMYFUNCTION("""COMPUTED_VALUE"""),172.139599999999)</f>
        <v>172.1396</v>
      </c>
    </row>
    <row r="2967">
      <c r="A2967" s="1" t="s">
        <v>2966</v>
      </c>
      <c r="D2967" s="3">
        <f>IFERROR(__xludf.DUMMYFUNCTION("SPLIT(A2967, ""|"")"),43450.0)</f>
        <v>43450</v>
      </c>
      <c r="E2967" s="2">
        <f>IFERROR(__xludf.DUMMYFUNCTION("""COMPUTED_VALUE"""),1607613.0)</f>
        <v>1607613</v>
      </c>
      <c r="F2967" s="2">
        <f>IFERROR(__xludf.DUMMYFUNCTION("""COMPUTED_VALUE"""),5326038.0)</f>
        <v>5326038</v>
      </c>
      <c r="G2967" s="2">
        <f>IFERROR(__xludf.DUMMYFUNCTION("""COMPUTED_VALUE"""),96.5768)</f>
        <v>96.5768</v>
      </c>
    </row>
    <row r="2968">
      <c r="A2968" s="1" t="s">
        <v>2967</v>
      </c>
      <c r="D2968" s="3">
        <f>IFERROR(__xludf.DUMMYFUNCTION("SPLIT(A2968, ""|"")"),43450.0)</f>
        <v>43450</v>
      </c>
      <c r="E2968" s="2">
        <f>IFERROR(__xludf.DUMMYFUNCTION("""COMPUTED_VALUE"""),1818693.0)</f>
        <v>1818693</v>
      </c>
      <c r="F2968" s="2">
        <f>IFERROR(__xludf.DUMMYFUNCTION("""COMPUTED_VALUE"""),5323368.0)</f>
        <v>5323368</v>
      </c>
      <c r="G2968" s="2">
        <f>IFERROR(__xludf.DUMMYFUNCTION("""COMPUTED_VALUE"""),71.9913)</f>
        <v>71.9913</v>
      </c>
    </row>
    <row r="2969">
      <c r="A2969" s="1" t="s">
        <v>2968</v>
      </c>
      <c r="D2969" s="3">
        <f>IFERROR(__xludf.DUMMYFUNCTION("SPLIT(A2969, ""|"")"),43450.0)</f>
        <v>43450</v>
      </c>
      <c r="E2969" s="2">
        <f>IFERROR(__xludf.DUMMYFUNCTION("""COMPUTED_VALUE"""),1465233.0)</f>
        <v>1465233</v>
      </c>
      <c r="F2969" s="2">
        <f>IFERROR(__xludf.DUMMYFUNCTION("""COMPUTED_VALUE"""),5326090.0)</f>
        <v>5326090</v>
      </c>
      <c r="G2969" s="2">
        <f>IFERROR(__xludf.DUMMYFUNCTION("""COMPUTED_VALUE"""),90.6787)</f>
        <v>90.6787</v>
      </c>
    </row>
    <row r="2970">
      <c r="A2970" s="1" t="s">
        <v>2969</v>
      </c>
      <c r="D2970" s="3">
        <f>IFERROR(__xludf.DUMMYFUNCTION("SPLIT(A2970, ""|"")"),43450.0)</f>
        <v>43450</v>
      </c>
      <c r="E2970" s="2">
        <f>IFERROR(__xludf.DUMMYFUNCTION("""COMPUTED_VALUE"""),1818303.0)</f>
        <v>1818303</v>
      </c>
      <c r="F2970" s="2">
        <f>IFERROR(__xludf.DUMMYFUNCTION("""COMPUTED_VALUE"""),5322003.0)</f>
        <v>5322003</v>
      </c>
      <c r="G2970" s="2">
        <f>IFERROR(__xludf.DUMMYFUNCTION("""COMPUTED_VALUE"""),75.7791999999999)</f>
        <v>75.7792</v>
      </c>
    </row>
    <row r="2971">
      <c r="A2971" s="1" t="s">
        <v>2970</v>
      </c>
      <c r="D2971" s="3">
        <f>IFERROR(__xludf.DUMMYFUNCTION("SPLIT(A2971, ""|"")"),43450.0)</f>
        <v>43450</v>
      </c>
      <c r="E2971" s="2">
        <f>IFERROR(__xludf.DUMMYFUNCTION("""COMPUTED_VALUE"""),1406043.0)</f>
        <v>1406043</v>
      </c>
      <c r="F2971" s="2">
        <f>IFERROR(__xludf.DUMMYFUNCTION("""COMPUTED_VALUE"""),5322353.0)</f>
        <v>5322353</v>
      </c>
      <c r="G2971" s="2">
        <f>IFERROR(__xludf.DUMMYFUNCTION("""COMPUTED_VALUE"""),67.4757999999999)</f>
        <v>67.4758</v>
      </c>
    </row>
    <row r="2972">
      <c r="A2972" s="1" t="s">
        <v>2971</v>
      </c>
      <c r="D2972" s="3">
        <f>IFERROR(__xludf.DUMMYFUNCTION("SPLIT(A2972, ""|"")"),42939.0)</f>
        <v>42939</v>
      </c>
      <c r="E2972" s="2">
        <f>IFERROR(__xludf.DUMMYFUNCTION("""COMPUTED_VALUE"""),1151883.0)</f>
        <v>1151883</v>
      </c>
      <c r="F2972" s="2">
        <f>IFERROR(__xludf.DUMMYFUNCTION("""COMPUTED_VALUE"""),3665024.0)</f>
        <v>3665024</v>
      </c>
      <c r="G2972" s="2">
        <f>IFERROR(__xludf.DUMMYFUNCTION("""COMPUTED_VALUE"""),148.0391)</f>
        <v>148.0391</v>
      </c>
    </row>
    <row r="2973">
      <c r="A2973" s="1" t="s">
        <v>2972</v>
      </c>
      <c r="D2973" s="3">
        <f>IFERROR(__xludf.DUMMYFUNCTION("SPLIT(A2973, ""|"")"),42939.0)</f>
        <v>42939</v>
      </c>
      <c r="E2973" s="2">
        <f>IFERROR(__xludf.DUMMYFUNCTION("""COMPUTED_VALUE"""),1382133.0)</f>
        <v>1382133</v>
      </c>
      <c r="F2973" s="2">
        <f>IFERROR(__xludf.DUMMYFUNCTION("""COMPUTED_VALUE"""),3666453.0)</f>
        <v>3666453</v>
      </c>
      <c r="G2973" s="2">
        <f>IFERROR(__xludf.DUMMYFUNCTION("""COMPUTED_VALUE"""),7.3378)</f>
        <v>7.3378</v>
      </c>
    </row>
    <row r="2974">
      <c r="A2974" s="1" t="s">
        <v>2973</v>
      </c>
      <c r="D2974" s="3">
        <f>IFERROR(__xludf.DUMMYFUNCTION("SPLIT(A2974, ""|"")"),42939.0)</f>
        <v>42939</v>
      </c>
      <c r="E2974" s="2">
        <f>IFERROR(__xludf.DUMMYFUNCTION("""COMPUTED_VALUE"""),1302723.0)</f>
        <v>1302723</v>
      </c>
      <c r="F2974" s="2">
        <f>IFERROR(__xludf.DUMMYFUNCTION("""COMPUTED_VALUE"""),3666812.0)</f>
        <v>3666812</v>
      </c>
      <c r="G2974" s="2">
        <f>IFERROR(__xludf.DUMMYFUNCTION("""COMPUTED_VALUE"""),113.7064)</f>
        <v>113.7064</v>
      </c>
    </row>
    <row r="2975">
      <c r="A2975" s="1" t="s">
        <v>2974</v>
      </c>
      <c r="D2975" s="3">
        <f>IFERROR(__xludf.DUMMYFUNCTION("SPLIT(A2975, ""|"")"),42939.0)</f>
        <v>42939</v>
      </c>
      <c r="E2975" s="2">
        <f>IFERROR(__xludf.DUMMYFUNCTION("""COMPUTED_VALUE"""),1223523.0)</f>
        <v>1223523</v>
      </c>
      <c r="F2975" s="2">
        <f>IFERROR(__xludf.DUMMYFUNCTION("""COMPUTED_VALUE"""),3665426.0)</f>
        <v>3665426</v>
      </c>
      <c r="G2975" s="2">
        <f>IFERROR(__xludf.DUMMYFUNCTION("""COMPUTED_VALUE"""),61.2120999999999)</f>
        <v>61.2121</v>
      </c>
    </row>
    <row r="2976">
      <c r="A2976" s="1" t="s">
        <v>2975</v>
      </c>
      <c r="D2976" s="3">
        <f>IFERROR(__xludf.DUMMYFUNCTION("SPLIT(A2976, ""|"")"),43195.0)</f>
        <v>43195</v>
      </c>
      <c r="E2976" s="2">
        <f>IFERROR(__xludf.DUMMYFUNCTION("""COMPUTED_VALUE"""),1267803.0)</f>
        <v>1267803</v>
      </c>
      <c r="F2976" s="2">
        <f>IFERROR(__xludf.DUMMYFUNCTION("""COMPUTED_VALUE"""),4362718.0)</f>
        <v>4362718</v>
      </c>
      <c r="G2976" s="2">
        <f>IFERROR(__xludf.DUMMYFUNCTION("""COMPUTED_VALUE"""),79.344)</f>
        <v>79.344</v>
      </c>
    </row>
    <row r="2977">
      <c r="A2977" s="1" t="s">
        <v>2976</v>
      </c>
      <c r="D2977" s="3">
        <f>IFERROR(__xludf.DUMMYFUNCTION("SPLIT(A2977, ""|"")"),43195.0)</f>
        <v>43195</v>
      </c>
      <c r="E2977" s="2">
        <f>IFERROR(__xludf.DUMMYFUNCTION("""COMPUTED_VALUE"""),278733.0)</f>
        <v>278733</v>
      </c>
      <c r="F2977" s="2">
        <f>IFERROR(__xludf.DUMMYFUNCTION("""COMPUTED_VALUE"""),4362941.0)</f>
        <v>4362941</v>
      </c>
      <c r="G2977" s="2">
        <f>IFERROR(__xludf.DUMMYFUNCTION("""COMPUTED_VALUE"""),66.3841)</f>
        <v>66.3841</v>
      </c>
    </row>
    <row r="2978">
      <c r="A2978" s="1" t="s">
        <v>2977</v>
      </c>
      <c r="D2978" s="3">
        <f>IFERROR(__xludf.DUMMYFUNCTION("SPLIT(A2978, ""|"")"),43195.0)</f>
        <v>43195</v>
      </c>
      <c r="E2978" s="2">
        <f>IFERROR(__xludf.DUMMYFUNCTION("""COMPUTED_VALUE"""),1307673.0)</f>
        <v>1307673</v>
      </c>
      <c r="F2978" s="2">
        <f>IFERROR(__xludf.DUMMYFUNCTION("""COMPUTED_VALUE"""),4360540.0)</f>
        <v>4360540</v>
      </c>
      <c r="G2978" s="2">
        <f>IFERROR(__xludf.DUMMYFUNCTION("""COMPUTED_VALUE"""),40.3304)</f>
        <v>40.3304</v>
      </c>
    </row>
    <row r="2979">
      <c r="A2979" s="1" t="s">
        <v>2978</v>
      </c>
      <c r="D2979" s="3">
        <f>IFERROR(__xludf.DUMMYFUNCTION("SPLIT(A2979, ""|"")"),43195.0)</f>
        <v>43195</v>
      </c>
      <c r="E2979" s="2">
        <f>IFERROR(__xludf.DUMMYFUNCTION("""COMPUTED_VALUE"""),1046973.0)</f>
        <v>1046973</v>
      </c>
      <c r="F2979" s="2">
        <f>IFERROR(__xludf.DUMMYFUNCTION("""COMPUTED_VALUE"""),4361837.0)</f>
        <v>4361837</v>
      </c>
      <c r="G2979" s="2">
        <f>IFERROR(__xludf.DUMMYFUNCTION("""COMPUTED_VALUE"""),18.152)</f>
        <v>18.152</v>
      </c>
    </row>
    <row r="2980">
      <c r="A2980" s="1" t="s">
        <v>2979</v>
      </c>
      <c r="D2980" s="3">
        <f>IFERROR(__xludf.DUMMYFUNCTION("SPLIT(A2980, ""|"")"),43451.0)</f>
        <v>43451</v>
      </c>
      <c r="E2980" s="2">
        <f>IFERROR(__xludf.DUMMYFUNCTION("""COMPUTED_VALUE"""),1819743.0)</f>
        <v>1819743</v>
      </c>
      <c r="F2980" s="2">
        <f>IFERROR(__xludf.DUMMYFUNCTION("""COMPUTED_VALUE"""),5327166.0)</f>
        <v>5327166</v>
      </c>
      <c r="G2980" s="2">
        <f>IFERROR(__xludf.DUMMYFUNCTION("""COMPUTED_VALUE"""),42.9895)</f>
        <v>42.9895</v>
      </c>
    </row>
    <row r="2981">
      <c r="A2981" s="1" t="s">
        <v>2980</v>
      </c>
      <c r="D2981" s="3">
        <f>IFERROR(__xludf.DUMMYFUNCTION("SPLIT(A2981, ""|"")"),43451.0)</f>
        <v>43451</v>
      </c>
      <c r="E2981" s="2">
        <f>IFERROR(__xludf.DUMMYFUNCTION("""COMPUTED_VALUE"""),1623573.0)</f>
        <v>1623573</v>
      </c>
      <c r="F2981" s="2">
        <f>IFERROR(__xludf.DUMMYFUNCTION("""COMPUTED_VALUE"""),5328975.0)</f>
        <v>5328975</v>
      </c>
      <c r="G2981" s="2">
        <f>IFERROR(__xludf.DUMMYFUNCTION("""COMPUTED_VALUE"""),27.7248)</f>
        <v>27.7248</v>
      </c>
    </row>
    <row r="2982">
      <c r="A2982" s="1" t="s">
        <v>2981</v>
      </c>
      <c r="D2982" s="3">
        <f>IFERROR(__xludf.DUMMYFUNCTION("SPLIT(A2982, ""|"")"),43451.0)</f>
        <v>43451</v>
      </c>
      <c r="E2982" s="2">
        <f>IFERROR(__xludf.DUMMYFUNCTION("""COMPUTED_VALUE"""),1803513.0)</f>
        <v>1803513</v>
      </c>
      <c r="F2982" s="2">
        <f>IFERROR(__xludf.DUMMYFUNCTION("""COMPUTED_VALUE"""),5329549.0)</f>
        <v>5329549</v>
      </c>
      <c r="G2982" s="2">
        <f>IFERROR(__xludf.DUMMYFUNCTION("""COMPUTED_VALUE"""),4.7299)</f>
        <v>4.7299</v>
      </c>
    </row>
    <row r="2983">
      <c r="A2983" s="1" t="s">
        <v>2982</v>
      </c>
      <c r="D2983" s="3">
        <f>IFERROR(__xludf.DUMMYFUNCTION("SPLIT(A2983, ""|"")"),43451.0)</f>
        <v>43451</v>
      </c>
      <c r="E2983" s="2">
        <f>IFERROR(__xludf.DUMMYFUNCTION("""COMPUTED_VALUE"""),1648683.0)</f>
        <v>1648683</v>
      </c>
      <c r="F2983" s="2">
        <f>IFERROR(__xludf.DUMMYFUNCTION("""COMPUTED_VALUE"""),5329872.0)</f>
        <v>5329872</v>
      </c>
      <c r="G2983" s="2">
        <f>IFERROR(__xludf.DUMMYFUNCTION("""COMPUTED_VALUE"""),135.264)</f>
        <v>135.264</v>
      </c>
    </row>
    <row r="2984">
      <c r="A2984" s="1" t="s">
        <v>2983</v>
      </c>
      <c r="D2984" s="3">
        <f>IFERROR(__xludf.DUMMYFUNCTION("SPLIT(A2984, ""|"")"),43451.0)</f>
        <v>43451</v>
      </c>
      <c r="E2984" s="2">
        <f>IFERROR(__xludf.DUMMYFUNCTION("""COMPUTED_VALUE"""),1444053.0)</f>
        <v>1444053</v>
      </c>
      <c r="F2984" s="2">
        <f>IFERROR(__xludf.DUMMYFUNCTION("""COMPUTED_VALUE"""),5327220.0)</f>
        <v>5327220</v>
      </c>
      <c r="G2984" s="2">
        <f>IFERROR(__xludf.DUMMYFUNCTION("""COMPUTED_VALUE"""),65.8334)</f>
        <v>65.8334</v>
      </c>
    </row>
    <row r="2985">
      <c r="A2985" s="1" t="s">
        <v>2984</v>
      </c>
      <c r="D2985" s="3">
        <f>IFERROR(__xludf.DUMMYFUNCTION("SPLIT(A2985, ""|"")"),42940.0)</f>
        <v>42940</v>
      </c>
      <c r="E2985" s="2">
        <f>IFERROR(__xludf.DUMMYFUNCTION("""COMPUTED_VALUE"""),1291233.0)</f>
        <v>1291233</v>
      </c>
      <c r="F2985" s="2">
        <f>IFERROR(__xludf.DUMMYFUNCTION("""COMPUTED_VALUE"""),3667684.0)</f>
        <v>3667684</v>
      </c>
      <c r="G2985" s="2">
        <f>IFERROR(__xludf.DUMMYFUNCTION("""COMPUTED_VALUE"""),65.3948)</f>
        <v>65.3948</v>
      </c>
    </row>
    <row r="2986">
      <c r="A2986" s="1" t="s">
        <v>2985</v>
      </c>
      <c r="D2986" s="3">
        <f>IFERROR(__xludf.DUMMYFUNCTION("SPLIT(A2986, ""|"")"),42940.0)</f>
        <v>42940</v>
      </c>
      <c r="E2986" s="2">
        <f>IFERROR(__xludf.DUMMYFUNCTION("""COMPUTED_VALUE"""),1382673.0)</f>
        <v>1382673</v>
      </c>
      <c r="F2986" s="2">
        <f>IFERROR(__xludf.DUMMYFUNCTION("""COMPUTED_VALUE"""),3668775.0)</f>
        <v>3668775</v>
      </c>
      <c r="G2986" s="2">
        <f>IFERROR(__xludf.DUMMYFUNCTION("""COMPUTED_VALUE"""),74.5632)</f>
        <v>74.5632</v>
      </c>
    </row>
    <row r="2987">
      <c r="A2987" s="1" t="s">
        <v>2986</v>
      </c>
      <c r="D2987" s="3">
        <f>IFERROR(__xludf.DUMMYFUNCTION("SPLIT(A2987, ""|"")"),42940.0)</f>
        <v>42940</v>
      </c>
      <c r="E2987" s="2">
        <f>IFERROR(__xludf.DUMMYFUNCTION("""COMPUTED_VALUE"""),1279323.0)</f>
        <v>1279323</v>
      </c>
      <c r="F2987" s="2">
        <f>IFERROR(__xludf.DUMMYFUNCTION("""COMPUTED_VALUE"""),3667468.0)</f>
        <v>3667468</v>
      </c>
      <c r="G2987" s="2">
        <f>IFERROR(__xludf.DUMMYFUNCTION("""COMPUTED_VALUE"""),38.5501)</f>
        <v>38.5501</v>
      </c>
    </row>
    <row r="2988">
      <c r="A2988" s="1" t="s">
        <v>2987</v>
      </c>
      <c r="D2988" s="3">
        <f>IFERROR(__xludf.DUMMYFUNCTION("SPLIT(A2988, ""|"")"),42940.0)</f>
        <v>42940</v>
      </c>
      <c r="E2988" s="2">
        <f>IFERROR(__xludf.DUMMYFUNCTION("""COMPUTED_VALUE"""),1382613.0)</f>
        <v>1382613</v>
      </c>
      <c r="F2988" s="2">
        <f>IFERROR(__xludf.DUMMYFUNCTION("""COMPUTED_VALUE"""),3668597.0)</f>
        <v>3668597</v>
      </c>
      <c r="G2988" s="2">
        <f>IFERROR(__xludf.DUMMYFUNCTION("""COMPUTED_VALUE"""),17.8294)</f>
        <v>17.8294</v>
      </c>
    </row>
    <row r="2989">
      <c r="A2989" s="1" t="s">
        <v>2988</v>
      </c>
      <c r="D2989" s="3">
        <f>IFERROR(__xludf.DUMMYFUNCTION("SPLIT(A2989, ""|"")"),42940.0)</f>
        <v>42940</v>
      </c>
      <c r="E2989" s="2">
        <f>IFERROR(__xludf.DUMMYFUNCTION("""COMPUTED_VALUE"""),391113.0)</f>
        <v>391113</v>
      </c>
      <c r="F2989" s="2">
        <f>IFERROR(__xludf.DUMMYFUNCTION("""COMPUTED_VALUE"""),3667610.0)</f>
        <v>3667610</v>
      </c>
      <c r="G2989" s="2">
        <f>IFERROR(__xludf.DUMMYFUNCTION("""COMPUTED_VALUE"""),74.3396)</f>
        <v>74.3396</v>
      </c>
    </row>
    <row r="2990">
      <c r="A2990" s="1" t="s">
        <v>2989</v>
      </c>
      <c r="D2990" s="3">
        <f>IFERROR(__xludf.DUMMYFUNCTION("SPLIT(A2990, ""|"")"),43196.0)</f>
        <v>43196</v>
      </c>
      <c r="E2990" s="2">
        <f>IFERROR(__xludf.DUMMYFUNCTION("""COMPUTED_VALUE"""),1287393.0)</f>
        <v>1287393</v>
      </c>
      <c r="F2990" s="2">
        <f>IFERROR(__xludf.DUMMYFUNCTION("""COMPUTED_VALUE"""),4363918.0)</f>
        <v>4363918</v>
      </c>
      <c r="G2990" s="2">
        <f>IFERROR(__xludf.DUMMYFUNCTION("""COMPUTED_VALUE"""),85.9618)</f>
        <v>85.9618</v>
      </c>
    </row>
    <row r="2991">
      <c r="A2991" s="1" t="s">
        <v>2990</v>
      </c>
      <c r="D2991" s="3">
        <f>IFERROR(__xludf.DUMMYFUNCTION("SPLIT(A2991, ""|"")"),43196.0)</f>
        <v>43196</v>
      </c>
      <c r="E2991" s="2">
        <f>IFERROR(__xludf.DUMMYFUNCTION("""COMPUTED_VALUE"""),1567053.0)</f>
        <v>1567053</v>
      </c>
      <c r="F2991" s="2">
        <f>IFERROR(__xludf.DUMMYFUNCTION("""COMPUTED_VALUE"""),4364816.0)</f>
        <v>4364816</v>
      </c>
      <c r="G2991" s="2">
        <f>IFERROR(__xludf.DUMMYFUNCTION("""COMPUTED_VALUE"""),46.5121999999999)</f>
        <v>46.5122</v>
      </c>
    </row>
    <row r="2992">
      <c r="A2992" s="1" t="s">
        <v>2991</v>
      </c>
      <c r="D2992" s="3">
        <f>IFERROR(__xludf.DUMMYFUNCTION("SPLIT(A2992, ""|"")"),43196.0)</f>
        <v>43196</v>
      </c>
      <c r="E2992" s="2">
        <f>IFERROR(__xludf.DUMMYFUNCTION("""COMPUTED_VALUE"""),1128333.0)</f>
        <v>1128333</v>
      </c>
      <c r="F2992" s="2">
        <f>IFERROR(__xludf.DUMMYFUNCTION("""COMPUTED_VALUE"""),4364276.0)</f>
        <v>4364276</v>
      </c>
      <c r="G2992" s="2">
        <f>IFERROR(__xludf.DUMMYFUNCTION("""COMPUTED_VALUE"""),62.9544)</f>
        <v>62.9544</v>
      </c>
    </row>
    <row r="2993">
      <c r="A2993" s="1" t="s">
        <v>2992</v>
      </c>
      <c r="D2993" s="3">
        <f>IFERROR(__xludf.DUMMYFUNCTION("SPLIT(A2993, ""|"")"),43196.0)</f>
        <v>43196</v>
      </c>
      <c r="E2993" s="2">
        <f>IFERROR(__xludf.DUMMYFUNCTION("""COMPUTED_VALUE"""),266283.0)</f>
        <v>266283</v>
      </c>
      <c r="F2993" s="2">
        <f>IFERROR(__xludf.DUMMYFUNCTION("""COMPUTED_VALUE"""),4363886.0)</f>
        <v>4363886</v>
      </c>
      <c r="G2993" s="2">
        <f>IFERROR(__xludf.DUMMYFUNCTION("""COMPUTED_VALUE"""),79.3697)</f>
        <v>79.3697</v>
      </c>
    </row>
    <row r="2994">
      <c r="A2994" s="1" t="s">
        <v>2993</v>
      </c>
      <c r="D2994" s="3">
        <f>IFERROR(__xludf.DUMMYFUNCTION("SPLIT(A2994, ""|"")"),43196.0)</f>
        <v>43196</v>
      </c>
      <c r="E2994" s="2">
        <f>IFERROR(__xludf.DUMMYFUNCTION("""COMPUTED_VALUE"""),1141683.0)</f>
        <v>1141683</v>
      </c>
      <c r="F2994" s="2">
        <f>IFERROR(__xludf.DUMMYFUNCTION("""COMPUTED_VALUE"""),4364366.0)</f>
        <v>4364366</v>
      </c>
      <c r="G2994" s="2">
        <f>IFERROR(__xludf.DUMMYFUNCTION("""COMPUTED_VALUE"""),72.5961)</f>
        <v>72.5961</v>
      </c>
    </row>
    <row r="2995">
      <c r="A2995" s="1" t="s">
        <v>2994</v>
      </c>
      <c r="D2995" s="3">
        <f>IFERROR(__xludf.DUMMYFUNCTION("SPLIT(A2995, ""|"")"),43196.0)</f>
        <v>43196</v>
      </c>
      <c r="E2995" s="2">
        <f>IFERROR(__xludf.DUMMYFUNCTION("""COMPUTED_VALUE"""),1566813.0)</f>
        <v>1566813</v>
      </c>
      <c r="F2995" s="2">
        <f>IFERROR(__xludf.DUMMYFUNCTION("""COMPUTED_VALUE"""),4363891.0)</f>
        <v>4363891</v>
      </c>
      <c r="G2995" s="2">
        <f>IFERROR(__xludf.DUMMYFUNCTION("""COMPUTED_VALUE"""),15.2458999999999)</f>
        <v>15.2459</v>
      </c>
    </row>
    <row r="2996">
      <c r="A2996" s="1" t="s">
        <v>2995</v>
      </c>
      <c r="D2996" s="3">
        <f>IFERROR(__xludf.DUMMYFUNCTION("SPLIT(A2996, ""|"")"),43452.0)</f>
        <v>43452</v>
      </c>
      <c r="E2996" s="2">
        <f>IFERROR(__xludf.DUMMYFUNCTION("""COMPUTED_VALUE"""),1821753.0)</f>
        <v>1821753</v>
      </c>
      <c r="F2996" s="2">
        <f>IFERROR(__xludf.DUMMYFUNCTION("""COMPUTED_VALUE"""),5334327.0)</f>
        <v>5334327</v>
      </c>
      <c r="G2996" s="2">
        <f>IFERROR(__xludf.DUMMYFUNCTION("""COMPUTED_VALUE"""),50.9292)</f>
        <v>50.9292</v>
      </c>
    </row>
    <row r="2997">
      <c r="A2997" s="1" t="s">
        <v>2996</v>
      </c>
      <c r="D2997" s="3">
        <f>IFERROR(__xludf.DUMMYFUNCTION("SPLIT(A2997, ""|"")"),43452.0)</f>
        <v>43452</v>
      </c>
      <c r="E2997" s="2">
        <f>IFERROR(__xludf.DUMMYFUNCTION("""COMPUTED_VALUE"""),1821573.0)</f>
        <v>1821573</v>
      </c>
      <c r="F2997" s="2">
        <f>IFERROR(__xludf.DUMMYFUNCTION("""COMPUTED_VALUE"""),5333816.0)</f>
        <v>5333816</v>
      </c>
      <c r="G2997" s="2">
        <f>IFERROR(__xludf.DUMMYFUNCTION("""COMPUTED_VALUE"""),30.625)</f>
        <v>30.625</v>
      </c>
    </row>
    <row r="2998">
      <c r="A2998" s="1" t="s">
        <v>2997</v>
      </c>
      <c r="D2998" s="3">
        <f>IFERROR(__xludf.DUMMYFUNCTION("SPLIT(A2998, ""|"")"),43452.0)</f>
        <v>43452</v>
      </c>
      <c r="E2998" s="2">
        <f>IFERROR(__xludf.DUMMYFUNCTION("""COMPUTED_VALUE"""),1616763.0)</f>
        <v>1616763</v>
      </c>
      <c r="F2998" s="2">
        <f>IFERROR(__xludf.DUMMYFUNCTION("""COMPUTED_VALUE"""),5333734.0)</f>
        <v>5333734</v>
      </c>
      <c r="G2998" s="2">
        <f>IFERROR(__xludf.DUMMYFUNCTION("""COMPUTED_VALUE"""),25.2020999999999)</f>
        <v>25.2021</v>
      </c>
    </row>
    <row r="2999">
      <c r="A2999" s="1" t="s">
        <v>2998</v>
      </c>
      <c r="D2999" s="3">
        <f>IFERROR(__xludf.DUMMYFUNCTION("SPLIT(A2999, ""|"")"),42941.0)</f>
        <v>42941</v>
      </c>
      <c r="E2999" s="2">
        <f>IFERROR(__xludf.DUMMYFUNCTION("""COMPUTED_VALUE"""),186663.0)</f>
        <v>186663</v>
      </c>
      <c r="F2999" s="2">
        <f>IFERROR(__xludf.DUMMYFUNCTION("""COMPUTED_VALUE"""),3670383.0)</f>
        <v>3670383</v>
      </c>
      <c r="G2999" s="2">
        <f>IFERROR(__xludf.DUMMYFUNCTION("""COMPUTED_VALUE"""),100.6553)</f>
        <v>100.6553</v>
      </c>
    </row>
    <row r="3000">
      <c r="A3000" s="1" t="s">
        <v>2999</v>
      </c>
      <c r="D3000" s="3">
        <f>IFERROR(__xludf.DUMMYFUNCTION("SPLIT(A3000, ""|"")"),42941.0)</f>
        <v>42941</v>
      </c>
      <c r="E3000" s="2">
        <f>IFERROR(__xludf.DUMMYFUNCTION("""COMPUTED_VALUE"""),1206753.0)</f>
        <v>1206753</v>
      </c>
      <c r="F3000" s="2">
        <f>IFERROR(__xludf.DUMMYFUNCTION("""COMPUTED_VALUE"""),3670750.0)</f>
        <v>3670750</v>
      </c>
      <c r="G3000" s="2">
        <f>IFERROR(__xludf.DUMMYFUNCTION("""COMPUTED_VALUE"""),46.5816999999999)</f>
        <v>46.5817</v>
      </c>
    </row>
    <row r="3001">
      <c r="A3001" s="1" t="s">
        <v>3000</v>
      </c>
      <c r="D3001" s="3">
        <f>IFERROR(__xludf.DUMMYFUNCTION("SPLIT(A3001, ""|"")"),42941.0)</f>
        <v>42941</v>
      </c>
      <c r="E3001" s="2">
        <f>IFERROR(__xludf.DUMMYFUNCTION("""COMPUTED_VALUE"""),1318413.0)</f>
        <v>1318413</v>
      </c>
      <c r="F3001" s="2">
        <f>IFERROR(__xludf.DUMMYFUNCTION("""COMPUTED_VALUE"""),3670929.0)</f>
        <v>3670929</v>
      </c>
      <c r="G3001" s="2">
        <f>IFERROR(__xludf.DUMMYFUNCTION("""COMPUTED_VALUE"""),12.4279)</f>
        <v>12.4279</v>
      </c>
    </row>
    <row r="3002">
      <c r="A3002" s="1" t="s">
        <v>3001</v>
      </c>
      <c r="D3002" s="3">
        <f>IFERROR(__xludf.DUMMYFUNCTION("SPLIT(A3002, ""|"")"),43197.0)</f>
        <v>43197</v>
      </c>
      <c r="E3002" s="2">
        <f>IFERROR(__xludf.DUMMYFUNCTION("""COMPUTED_VALUE"""),358443.0)</f>
        <v>358443</v>
      </c>
      <c r="F3002" s="2">
        <f>IFERROR(__xludf.DUMMYFUNCTION("""COMPUTED_VALUE"""),4367939.0)</f>
        <v>4367939</v>
      </c>
      <c r="G3002" s="2">
        <f>IFERROR(__xludf.DUMMYFUNCTION("""COMPUTED_VALUE"""),134.6606)</f>
        <v>134.6606</v>
      </c>
    </row>
    <row r="3003">
      <c r="A3003" s="1" t="s">
        <v>3002</v>
      </c>
      <c r="D3003" s="3">
        <f>IFERROR(__xludf.DUMMYFUNCTION("SPLIT(A3003, ""|"")"),43197.0)</f>
        <v>43197</v>
      </c>
      <c r="E3003" s="2">
        <f>IFERROR(__xludf.DUMMYFUNCTION("""COMPUTED_VALUE"""),1567863.0)</f>
        <v>1567863</v>
      </c>
      <c r="F3003" s="2">
        <f>IFERROR(__xludf.DUMMYFUNCTION("""COMPUTED_VALUE"""),4367663.0)</f>
        <v>4367663</v>
      </c>
      <c r="G3003" s="2">
        <f>IFERROR(__xludf.DUMMYFUNCTION("""COMPUTED_VALUE"""),29.75)</f>
        <v>29.75</v>
      </c>
    </row>
    <row r="3004">
      <c r="A3004" s="1" t="s">
        <v>3003</v>
      </c>
      <c r="D3004" s="3">
        <f>IFERROR(__xludf.DUMMYFUNCTION("SPLIT(A3004, ""|"")"),43197.0)</f>
        <v>43197</v>
      </c>
      <c r="E3004" s="2">
        <f>IFERROR(__xludf.DUMMYFUNCTION("""COMPUTED_VALUE"""),1567323.0)</f>
        <v>1567323</v>
      </c>
      <c r="F3004" s="2">
        <f>IFERROR(__xludf.DUMMYFUNCTION("""COMPUTED_VALUE"""),4365794.0)</f>
        <v>4365794</v>
      </c>
      <c r="G3004" s="2">
        <f>IFERROR(__xludf.DUMMYFUNCTION("""COMPUTED_VALUE"""),80.5925)</f>
        <v>80.5925</v>
      </c>
    </row>
    <row r="3005">
      <c r="A3005" s="1" t="s">
        <v>3004</v>
      </c>
      <c r="D3005" s="3">
        <f>IFERROR(__xludf.DUMMYFUNCTION("SPLIT(A3005, ""|"")"),43197.0)</f>
        <v>43197</v>
      </c>
      <c r="E3005" s="2">
        <f>IFERROR(__xludf.DUMMYFUNCTION("""COMPUTED_VALUE"""),1410633.0)</f>
        <v>1410633</v>
      </c>
      <c r="F3005" s="2">
        <f>IFERROR(__xludf.DUMMYFUNCTION("""COMPUTED_VALUE"""),4366147.0)</f>
        <v>4366147</v>
      </c>
      <c r="G3005" s="2">
        <f>IFERROR(__xludf.DUMMYFUNCTION("""COMPUTED_VALUE"""),62.0425)</f>
        <v>62.0425</v>
      </c>
    </row>
    <row r="3006">
      <c r="A3006" s="1" t="s">
        <v>3005</v>
      </c>
      <c r="D3006" s="3">
        <f>IFERROR(__xludf.DUMMYFUNCTION("SPLIT(A3006, ""|"")"),43197.0)</f>
        <v>43197</v>
      </c>
      <c r="E3006" s="2">
        <f>IFERROR(__xludf.DUMMYFUNCTION("""COMPUTED_VALUE"""),366003.0)</f>
        <v>366003</v>
      </c>
      <c r="F3006" s="2">
        <f>IFERROR(__xludf.DUMMYFUNCTION("""COMPUTED_VALUE"""),4366759.0)</f>
        <v>4366759</v>
      </c>
      <c r="G3006" s="2">
        <f>IFERROR(__xludf.DUMMYFUNCTION("""COMPUTED_VALUE"""),93.1334)</f>
        <v>93.1334</v>
      </c>
    </row>
    <row r="3007">
      <c r="A3007" s="1" t="s">
        <v>3006</v>
      </c>
      <c r="D3007" s="3">
        <f>IFERROR(__xludf.DUMMYFUNCTION("SPLIT(A3007, ""|"")"),43453.0)</f>
        <v>43453</v>
      </c>
      <c r="E3007" s="2">
        <f>IFERROR(__xludf.DUMMYFUNCTION("""COMPUTED_VALUE"""),1822683.0)</f>
        <v>1822683</v>
      </c>
      <c r="F3007" s="2">
        <f>IFERROR(__xludf.DUMMYFUNCTION("""COMPUTED_VALUE"""),5337409.0)</f>
        <v>5337409</v>
      </c>
      <c r="G3007" s="2">
        <f>IFERROR(__xludf.DUMMYFUNCTION("""COMPUTED_VALUE"""),7.5)</f>
        <v>7.5</v>
      </c>
    </row>
    <row r="3008">
      <c r="A3008" s="1" t="s">
        <v>3007</v>
      </c>
      <c r="D3008" s="3">
        <f>IFERROR(__xludf.DUMMYFUNCTION("SPLIT(A3008, ""|"")"),43453.0)</f>
        <v>43453</v>
      </c>
      <c r="E3008" s="2">
        <f>IFERROR(__xludf.DUMMYFUNCTION("""COMPUTED_VALUE"""),188823.0)</f>
        <v>188823</v>
      </c>
      <c r="F3008" s="2">
        <f>IFERROR(__xludf.DUMMYFUNCTION("""COMPUTED_VALUE"""),5335148.0)</f>
        <v>5335148</v>
      </c>
      <c r="G3008" s="2">
        <f>IFERROR(__xludf.DUMMYFUNCTION("""COMPUTED_VALUE"""),77.1124)</f>
        <v>77.1124</v>
      </c>
    </row>
    <row r="3009">
      <c r="A3009" s="1" t="s">
        <v>3008</v>
      </c>
      <c r="D3009" s="3">
        <f>IFERROR(__xludf.DUMMYFUNCTION("SPLIT(A3009, ""|"")"),43453.0)</f>
        <v>43453</v>
      </c>
      <c r="E3009" s="2">
        <f>IFERROR(__xludf.DUMMYFUNCTION("""COMPUTED_VALUE"""),1822203.0)</f>
        <v>1822203</v>
      </c>
      <c r="F3009" s="2">
        <f>IFERROR(__xludf.DUMMYFUNCTION("""COMPUTED_VALUE"""),5335932.0)</f>
        <v>5335932</v>
      </c>
      <c r="G3009" s="2">
        <f>IFERROR(__xludf.DUMMYFUNCTION("""COMPUTED_VALUE"""),10.2125)</f>
        <v>10.2125</v>
      </c>
    </row>
    <row r="3010">
      <c r="A3010" s="1" t="s">
        <v>3009</v>
      </c>
      <c r="D3010" s="3">
        <f>IFERROR(__xludf.DUMMYFUNCTION("SPLIT(A3010, ""|"")"),43453.0)</f>
        <v>43453</v>
      </c>
      <c r="E3010" s="2">
        <f>IFERROR(__xludf.DUMMYFUNCTION("""COMPUTED_VALUE"""),184683.0)</f>
        <v>184683</v>
      </c>
      <c r="F3010" s="2">
        <f>IFERROR(__xludf.DUMMYFUNCTION("""COMPUTED_VALUE"""),5336780.0)</f>
        <v>5336780</v>
      </c>
      <c r="G3010" s="2">
        <f>IFERROR(__xludf.DUMMYFUNCTION("""COMPUTED_VALUE"""),83.3956)</f>
        <v>83.3956</v>
      </c>
    </row>
    <row r="3011">
      <c r="A3011" s="1" t="s">
        <v>3010</v>
      </c>
      <c r="D3011" s="3">
        <f>IFERROR(__xludf.DUMMYFUNCTION("SPLIT(A3011, ""|"")"),43453.0)</f>
        <v>43453</v>
      </c>
      <c r="E3011" s="2">
        <f>IFERROR(__xludf.DUMMYFUNCTION("""COMPUTED_VALUE"""),1261383.0)</f>
        <v>1261383</v>
      </c>
      <c r="F3011" s="2">
        <f>IFERROR(__xludf.DUMMYFUNCTION("""COMPUTED_VALUE"""),5337555.0)</f>
        <v>5337555</v>
      </c>
      <c r="G3011" s="2">
        <f>IFERROR(__xludf.DUMMYFUNCTION("""COMPUTED_VALUE"""),213.2934)</f>
        <v>213.2934</v>
      </c>
    </row>
    <row r="3012">
      <c r="A3012" s="1" t="s">
        <v>3011</v>
      </c>
      <c r="D3012" s="3">
        <f>IFERROR(__xludf.DUMMYFUNCTION("SPLIT(A3012, ""|"")"),43453.0)</f>
        <v>43453</v>
      </c>
      <c r="E3012" s="2">
        <f>IFERROR(__xludf.DUMMYFUNCTION("""COMPUTED_VALUE"""),1822443.0)</f>
        <v>1822443</v>
      </c>
      <c r="F3012" s="2">
        <f>IFERROR(__xludf.DUMMYFUNCTION("""COMPUTED_VALUE"""),5336675.0)</f>
        <v>5336675</v>
      </c>
      <c r="G3012" s="2">
        <f>IFERROR(__xludf.DUMMYFUNCTION("""COMPUTED_VALUE"""),28.25)</f>
        <v>28.25</v>
      </c>
    </row>
    <row r="3013">
      <c r="A3013" s="1" t="s">
        <v>3012</v>
      </c>
      <c r="D3013" s="3">
        <f>IFERROR(__xludf.DUMMYFUNCTION("SPLIT(A3013, ""|"")"),42942.0)</f>
        <v>42942</v>
      </c>
      <c r="E3013" s="2">
        <f>IFERROR(__xludf.DUMMYFUNCTION("""COMPUTED_VALUE"""),1383813.0)</f>
        <v>1383813</v>
      </c>
      <c r="F3013" s="2">
        <f>IFERROR(__xludf.DUMMYFUNCTION("""COMPUTED_VALUE"""),3673325.0)</f>
        <v>3673325</v>
      </c>
      <c r="G3013" s="2">
        <f>IFERROR(__xludf.DUMMYFUNCTION("""COMPUTED_VALUE"""),9.5576)</f>
        <v>9.5576</v>
      </c>
    </row>
    <row r="3014">
      <c r="A3014" s="1" t="s">
        <v>3013</v>
      </c>
      <c r="D3014" s="3">
        <f>IFERROR(__xludf.DUMMYFUNCTION("SPLIT(A3014, ""|"")"),42942.0)</f>
        <v>42942</v>
      </c>
      <c r="E3014" s="2">
        <f>IFERROR(__xludf.DUMMYFUNCTION("""COMPUTED_VALUE"""),1384113.0)</f>
        <v>1384113</v>
      </c>
      <c r="F3014" s="2">
        <f>IFERROR(__xludf.DUMMYFUNCTION("""COMPUTED_VALUE"""),3674426.0)</f>
        <v>3674426</v>
      </c>
      <c r="G3014" s="2">
        <f>IFERROR(__xludf.DUMMYFUNCTION("""COMPUTED_VALUE"""),97.69)</f>
        <v>97.69</v>
      </c>
    </row>
    <row r="3015">
      <c r="A3015" s="1" t="s">
        <v>3014</v>
      </c>
      <c r="D3015" s="3">
        <f>IFERROR(__xludf.DUMMYFUNCTION("SPLIT(A3015, ""|"")"),42942.0)</f>
        <v>42942</v>
      </c>
      <c r="E3015" s="2">
        <f>IFERROR(__xludf.DUMMYFUNCTION("""COMPUTED_VALUE"""),1039983.0)</f>
        <v>1039983</v>
      </c>
      <c r="F3015" s="2">
        <f>IFERROR(__xludf.DUMMYFUNCTION("""COMPUTED_VALUE"""),3674362.0)</f>
        <v>3674362</v>
      </c>
      <c r="G3015" s="2">
        <f>IFERROR(__xludf.DUMMYFUNCTION("""COMPUTED_VALUE"""),75.2737)</f>
        <v>75.2737</v>
      </c>
    </row>
    <row r="3016">
      <c r="A3016" s="1" t="s">
        <v>3015</v>
      </c>
      <c r="D3016" s="3">
        <f>IFERROR(__xludf.DUMMYFUNCTION("SPLIT(A3016, ""|"")"),42942.0)</f>
        <v>42942</v>
      </c>
      <c r="E3016" s="2">
        <f>IFERROR(__xludf.DUMMYFUNCTION("""COMPUTED_VALUE"""),1207683.0)</f>
        <v>1207683</v>
      </c>
      <c r="F3016" s="2">
        <f>IFERROR(__xludf.DUMMYFUNCTION("""COMPUTED_VALUE"""),3672640.0)</f>
        <v>3672640</v>
      </c>
      <c r="G3016" s="2">
        <f>IFERROR(__xludf.DUMMYFUNCTION("""COMPUTED_VALUE"""),71.9058999999999)</f>
        <v>71.9059</v>
      </c>
    </row>
    <row r="3017">
      <c r="A3017" s="1" t="s">
        <v>3016</v>
      </c>
      <c r="D3017" s="3">
        <f>IFERROR(__xludf.DUMMYFUNCTION("SPLIT(A3017, ""|"")"),43198.0)</f>
        <v>43198</v>
      </c>
      <c r="E3017" s="2">
        <f>IFERROR(__xludf.DUMMYFUNCTION("""COMPUTED_VALUE"""),367683.0)</f>
        <v>367683</v>
      </c>
      <c r="F3017" s="2">
        <f>IFERROR(__xludf.DUMMYFUNCTION("""COMPUTED_VALUE"""),4368983.0)</f>
        <v>4368983</v>
      </c>
      <c r="G3017" s="2">
        <f>IFERROR(__xludf.DUMMYFUNCTION("""COMPUTED_VALUE"""),73.2822)</f>
        <v>73.2822</v>
      </c>
    </row>
    <row r="3018">
      <c r="A3018" s="1" t="s">
        <v>3017</v>
      </c>
      <c r="D3018" s="3">
        <f>IFERROR(__xludf.DUMMYFUNCTION("SPLIT(A3018, ""|"")"),43198.0)</f>
        <v>43198</v>
      </c>
      <c r="E3018" s="2">
        <f>IFERROR(__xludf.DUMMYFUNCTION("""COMPUTED_VALUE"""),1533513.0)</f>
        <v>1533513</v>
      </c>
      <c r="F3018" s="2">
        <f>IFERROR(__xludf.DUMMYFUNCTION("""COMPUTED_VALUE"""),4368784.0)</f>
        <v>4368784</v>
      </c>
      <c r="G3018" s="2">
        <f>IFERROR(__xludf.DUMMYFUNCTION("""COMPUTED_VALUE"""),71.6949)</f>
        <v>71.6949</v>
      </c>
    </row>
    <row r="3019">
      <c r="A3019" s="1" t="s">
        <v>3018</v>
      </c>
      <c r="D3019" s="3">
        <f>IFERROR(__xludf.DUMMYFUNCTION("SPLIT(A3019, ""|"")"),43198.0)</f>
        <v>43198</v>
      </c>
      <c r="E3019" s="2">
        <f>IFERROR(__xludf.DUMMYFUNCTION("""COMPUTED_VALUE"""),1220583.0)</f>
        <v>1220583</v>
      </c>
      <c r="F3019" s="2">
        <f>IFERROR(__xludf.DUMMYFUNCTION("""COMPUTED_VALUE"""),4371519.0)</f>
        <v>4371519</v>
      </c>
      <c r="G3019" s="2">
        <f>IFERROR(__xludf.DUMMYFUNCTION("""COMPUTED_VALUE"""),83.0467)</f>
        <v>83.0467</v>
      </c>
    </row>
    <row r="3020">
      <c r="A3020" s="1" t="s">
        <v>3019</v>
      </c>
      <c r="D3020" s="3">
        <f>IFERROR(__xludf.DUMMYFUNCTION("SPLIT(A3020, ""|"")"),43198.0)</f>
        <v>43198</v>
      </c>
      <c r="E3020" s="2">
        <f>IFERROR(__xludf.DUMMYFUNCTION("""COMPUTED_VALUE"""),1535343.0)</f>
        <v>1535343</v>
      </c>
      <c r="F3020" s="2">
        <f>IFERROR(__xludf.DUMMYFUNCTION("""COMPUTED_VALUE"""),4371501.0)</f>
        <v>4371501</v>
      </c>
      <c r="G3020" s="2">
        <f>IFERROR(__xludf.DUMMYFUNCTION("""COMPUTED_VALUE"""),16.5)</f>
        <v>16.5</v>
      </c>
    </row>
    <row r="3021">
      <c r="A3021" s="1" t="s">
        <v>3020</v>
      </c>
      <c r="D3021" s="3">
        <f>IFERROR(__xludf.DUMMYFUNCTION("SPLIT(A3021, ""|"")"),43198.0)</f>
        <v>43198</v>
      </c>
      <c r="E3021" s="2">
        <f>IFERROR(__xludf.DUMMYFUNCTION("""COMPUTED_VALUE"""),1568163.0)</f>
        <v>1568163</v>
      </c>
      <c r="F3021" s="2">
        <f>IFERROR(__xludf.DUMMYFUNCTION("""COMPUTED_VALUE"""),4368906.0)</f>
        <v>4368906</v>
      </c>
      <c r="G3021" s="2">
        <f>IFERROR(__xludf.DUMMYFUNCTION("""COMPUTED_VALUE"""),13.5363)</f>
        <v>13.5363</v>
      </c>
    </row>
    <row r="3022">
      <c r="A3022" s="1" t="s">
        <v>3021</v>
      </c>
      <c r="D3022" s="3">
        <f>IFERROR(__xludf.DUMMYFUNCTION("SPLIT(A3022, ""|"")"),43198.0)</f>
        <v>43198</v>
      </c>
      <c r="E3022" s="2">
        <f>IFERROR(__xludf.DUMMYFUNCTION("""COMPUTED_VALUE"""),247473.0)</f>
        <v>247473</v>
      </c>
      <c r="F3022" s="2">
        <f>IFERROR(__xludf.DUMMYFUNCTION("""COMPUTED_VALUE"""),4369358.0)</f>
        <v>4369358</v>
      </c>
      <c r="G3022" s="2">
        <f>IFERROR(__xludf.DUMMYFUNCTION("""COMPUTED_VALUE"""),98.1599)</f>
        <v>98.1599</v>
      </c>
    </row>
    <row r="3023">
      <c r="A3023" s="1" t="s">
        <v>3022</v>
      </c>
      <c r="D3023" s="3">
        <f>IFERROR(__xludf.DUMMYFUNCTION("SPLIT(A3023, ""|"")"),43454.0)</f>
        <v>43454</v>
      </c>
      <c r="E3023" s="2">
        <f>IFERROR(__xludf.DUMMYFUNCTION("""COMPUTED_VALUE"""),1592163.0)</f>
        <v>1592163</v>
      </c>
      <c r="F3023" s="2">
        <f>IFERROR(__xludf.DUMMYFUNCTION("""COMPUTED_VALUE"""),5338231.0)</f>
        <v>5338231</v>
      </c>
      <c r="G3023" s="2">
        <f>IFERROR(__xludf.DUMMYFUNCTION("""COMPUTED_VALUE"""),91.8746999999999)</f>
        <v>91.8747</v>
      </c>
    </row>
    <row r="3024">
      <c r="A3024" s="1" t="s">
        <v>3023</v>
      </c>
      <c r="D3024" s="3">
        <f>IFERROR(__xludf.DUMMYFUNCTION("SPLIT(A3024, ""|"")"),43454.0)</f>
        <v>43454</v>
      </c>
      <c r="E3024" s="2">
        <f>IFERROR(__xludf.DUMMYFUNCTION("""COMPUTED_VALUE"""),1754043.0)</f>
        <v>1754043</v>
      </c>
      <c r="F3024" s="2">
        <f>IFERROR(__xludf.DUMMYFUNCTION("""COMPUTED_VALUE"""),5338541.0)</f>
        <v>5338541</v>
      </c>
      <c r="G3024" s="2">
        <f>IFERROR(__xludf.DUMMYFUNCTION("""COMPUTED_VALUE"""),168.246999999999)</f>
        <v>168.247</v>
      </c>
    </row>
    <row r="3025">
      <c r="A3025" s="1" t="s">
        <v>3024</v>
      </c>
      <c r="D3025" s="3">
        <f>IFERROR(__xludf.DUMMYFUNCTION("SPLIT(A3025, ""|"")"),43454.0)</f>
        <v>43454</v>
      </c>
      <c r="E3025" s="2">
        <f>IFERROR(__xludf.DUMMYFUNCTION("""COMPUTED_VALUE"""),1286103.0)</f>
        <v>1286103</v>
      </c>
      <c r="F3025" s="2">
        <f>IFERROR(__xludf.DUMMYFUNCTION("""COMPUTED_VALUE"""),5340356.0)</f>
        <v>5340356</v>
      </c>
      <c r="G3025" s="2">
        <f>IFERROR(__xludf.DUMMYFUNCTION("""COMPUTED_VALUE"""),168.6392)</f>
        <v>168.6392</v>
      </c>
    </row>
    <row r="3026">
      <c r="A3026" s="1" t="s">
        <v>3025</v>
      </c>
      <c r="D3026" s="3">
        <f>IFERROR(__xludf.DUMMYFUNCTION("SPLIT(A3026, ""|"")"),43454.0)</f>
        <v>43454</v>
      </c>
      <c r="E3026" s="2">
        <f>IFERROR(__xludf.DUMMYFUNCTION("""COMPUTED_VALUE"""),1812753.0)</f>
        <v>1812753</v>
      </c>
      <c r="F3026" s="2">
        <f>IFERROR(__xludf.DUMMYFUNCTION("""COMPUTED_VALUE"""),5339715.0)</f>
        <v>5339715</v>
      </c>
      <c r="G3026" s="2">
        <f>IFERROR(__xludf.DUMMYFUNCTION("""COMPUTED_VALUE"""),14.7652)</f>
        <v>14.7652</v>
      </c>
    </row>
    <row r="3027">
      <c r="A3027" s="1" t="s">
        <v>3026</v>
      </c>
      <c r="D3027" s="3">
        <f>IFERROR(__xludf.DUMMYFUNCTION("SPLIT(A3027, ""|"")"),43454.0)</f>
        <v>43454</v>
      </c>
      <c r="E3027" s="2">
        <f>IFERROR(__xludf.DUMMYFUNCTION("""COMPUTED_VALUE"""),1823163.0)</f>
        <v>1823163</v>
      </c>
      <c r="F3027" s="2">
        <f>IFERROR(__xludf.DUMMYFUNCTION("""COMPUTED_VALUE"""),5339049.0)</f>
        <v>5339049</v>
      </c>
      <c r="G3027" s="2">
        <f>IFERROR(__xludf.DUMMYFUNCTION("""COMPUTED_VALUE"""),41.1957)</f>
        <v>41.1957</v>
      </c>
    </row>
    <row r="3028">
      <c r="A3028" s="1" t="s">
        <v>3027</v>
      </c>
      <c r="D3028" s="3">
        <f>IFERROR(__xludf.DUMMYFUNCTION("SPLIT(A3028, ""|"")"),43454.0)</f>
        <v>43454</v>
      </c>
      <c r="E3028" s="2">
        <f>IFERROR(__xludf.DUMMYFUNCTION("""COMPUTED_VALUE"""),1823523.0)</f>
        <v>1823523</v>
      </c>
      <c r="F3028" s="2">
        <f>IFERROR(__xludf.DUMMYFUNCTION("""COMPUTED_VALUE"""),5340328.0)</f>
        <v>5340328</v>
      </c>
      <c r="G3028" s="2">
        <f>IFERROR(__xludf.DUMMYFUNCTION("""COMPUTED_VALUE"""),81.3804)</f>
        <v>81.3804</v>
      </c>
    </row>
    <row r="3029">
      <c r="A3029" s="1" t="s">
        <v>3028</v>
      </c>
      <c r="D3029" s="3">
        <f>IFERROR(__xludf.DUMMYFUNCTION("SPLIT(A3029, ""|"")"),43454.0)</f>
        <v>43454</v>
      </c>
      <c r="E3029" s="2">
        <f>IFERROR(__xludf.DUMMYFUNCTION("""COMPUTED_VALUE"""),1318413.0)</f>
        <v>1318413</v>
      </c>
      <c r="F3029" s="2">
        <f>IFERROR(__xludf.DUMMYFUNCTION("""COMPUTED_VALUE"""),5338459.0)</f>
        <v>5338459</v>
      </c>
      <c r="G3029" s="2">
        <f>IFERROR(__xludf.DUMMYFUNCTION("""COMPUTED_VALUE"""),156.7928)</f>
        <v>156.7928</v>
      </c>
    </row>
    <row r="3030">
      <c r="A3030" s="1" t="s">
        <v>3029</v>
      </c>
      <c r="D3030" s="3">
        <f>IFERROR(__xludf.DUMMYFUNCTION("SPLIT(A3030, ""|"")"),43454.0)</f>
        <v>43454</v>
      </c>
      <c r="E3030" s="2">
        <f>IFERROR(__xludf.DUMMYFUNCTION("""COMPUTED_VALUE"""),1580073.0)</f>
        <v>1580073</v>
      </c>
      <c r="F3030" s="2">
        <f>IFERROR(__xludf.DUMMYFUNCTION("""COMPUTED_VALUE"""),5339645.0)</f>
        <v>5339645</v>
      </c>
      <c r="G3030" s="2">
        <f>IFERROR(__xludf.DUMMYFUNCTION("""COMPUTED_VALUE"""),46.7296)</f>
        <v>46.7296</v>
      </c>
    </row>
    <row r="3031">
      <c r="A3031" s="1" t="s">
        <v>3030</v>
      </c>
      <c r="D3031" s="3">
        <f>IFERROR(__xludf.DUMMYFUNCTION("SPLIT(A3031, ""|"")"),43454.0)</f>
        <v>43454</v>
      </c>
      <c r="E3031" s="2">
        <f>IFERROR(__xludf.DUMMYFUNCTION("""COMPUTED_VALUE"""),1823103.0)</f>
        <v>1823103</v>
      </c>
      <c r="F3031" s="2">
        <f>IFERROR(__xludf.DUMMYFUNCTION("""COMPUTED_VALUE"""),5338874.0)</f>
        <v>5338874</v>
      </c>
      <c r="G3031" s="2">
        <f>IFERROR(__xludf.DUMMYFUNCTION("""COMPUTED_VALUE"""),36.5723)</f>
        <v>36.5723</v>
      </c>
    </row>
    <row r="3032">
      <c r="A3032" s="1" t="s">
        <v>3031</v>
      </c>
      <c r="D3032" s="3">
        <f>IFERROR(__xludf.DUMMYFUNCTION("SPLIT(A3032, ""|"")"),43454.0)</f>
        <v>43454</v>
      </c>
      <c r="E3032" s="2">
        <f>IFERROR(__xludf.DUMMYFUNCTION("""COMPUTED_VALUE"""),1823553.0)</f>
        <v>1823553</v>
      </c>
      <c r="F3032" s="2">
        <f>IFERROR(__xludf.DUMMYFUNCTION("""COMPUTED_VALUE"""),5340417.0)</f>
        <v>5340417</v>
      </c>
      <c r="G3032" s="2">
        <f>IFERROR(__xludf.DUMMYFUNCTION("""COMPUTED_VALUE"""),24.9917)</f>
        <v>24.9917</v>
      </c>
    </row>
    <row r="3033">
      <c r="A3033" s="1" t="s">
        <v>3032</v>
      </c>
      <c r="D3033" s="3">
        <f>IFERROR(__xludf.DUMMYFUNCTION("SPLIT(A3033, ""|"")"),42943.0)</f>
        <v>42943</v>
      </c>
      <c r="E3033" s="2">
        <f>IFERROR(__xludf.DUMMYFUNCTION("""COMPUTED_VALUE"""),1384593.0)</f>
        <v>1384593</v>
      </c>
      <c r="F3033" s="2">
        <f>IFERROR(__xludf.DUMMYFUNCTION("""COMPUTED_VALUE"""),3676261.0)</f>
        <v>3676261</v>
      </c>
      <c r="G3033" s="2">
        <f>IFERROR(__xludf.DUMMYFUNCTION("""COMPUTED_VALUE"""),36.628)</f>
        <v>36.628</v>
      </c>
    </row>
    <row r="3034">
      <c r="A3034" s="1" t="s">
        <v>3033</v>
      </c>
      <c r="D3034" s="3">
        <f>IFERROR(__xludf.DUMMYFUNCTION("SPLIT(A3034, ""|"")"),42943.0)</f>
        <v>42943</v>
      </c>
      <c r="E3034" s="2">
        <f>IFERROR(__xludf.DUMMYFUNCTION("""COMPUTED_VALUE"""),1149063.0)</f>
        <v>1149063</v>
      </c>
      <c r="F3034" s="2">
        <f>IFERROR(__xludf.DUMMYFUNCTION("""COMPUTED_VALUE"""),3675217.0)</f>
        <v>3675217</v>
      </c>
      <c r="G3034" s="2">
        <f>IFERROR(__xludf.DUMMYFUNCTION("""COMPUTED_VALUE"""),59.4586999999999)</f>
        <v>59.4587</v>
      </c>
    </row>
    <row r="3035">
      <c r="A3035" s="1" t="s">
        <v>3034</v>
      </c>
      <c r="D3035" s="3">
        <f>IFERROR(__xludf.DUMMYFUNCTION("SPLIT(A3035, ""|"")"),42943.0)</f>
        <v>42943</v>
      </c>
      <c r="E3035" s="2">
        <f>IFERROR(__xludf.DUMMYFUNCTION("""COMPUTED_VALUE"""),1177893.0)</f>
        <v>1177893</v>
      </c>
      <c r="F3035" s="2">
        <f>IFERROR(__xludf.DUMMYFUNCTION("""COMPUTED_VALUE"""),3675035.0)</f>
        <v>3675035</v>
      </c>
      <c r="G3035" s="2">
        <f>IFERROR(__xludf.DUMMYFUNCTION("""COMPUTED_VALUE"""),99.181)</f>
        <v>99.181</v>
      </c>
    </row>
    <row r="3036">
      <c r="A3036" s="1" t="s">
        <v>3035</v>
      </c>
      <c r="D3036" s="3">
        <f>IFERROR(__xludf.DUMMYFUNCTION("SPLIT(A3036, ""|"")"),42943.0)</f>
        <v>42943</v>
      </c>
      <c r="E3036" s="2">
        <f>IFERROR(__xludf.DUMMYFUNCTION("""COMPUTED_VALUE"""),1234923.0)</f>
        <v>1234923</v>
      </c>
      <c r="F3036" s="2">
        <f>IFERROR(__xludf.DUMMYFUNCTION("""COMPUTED_VALUE"""),3675389.0)</f>
        <v>3675389</v>
      </c>
      <c r="G3036" s="2">
        <f>IFERROR(__xludf.DUMMYFUNCTION("""COMPUTED_VALUE"""),6.996)</f>
        <v>6.996</v>
      </c>
    </row>
    <row r="3037">
      <c r="A3037" s="1" t="s">
        <v>3036</v>
      </c>
      <c r="D3037" s="3">
        <f>IFERROR(__xludf.DUMMYFUNCTION("SPLIT(A3037, ""|"")"),43199.0)</f>
        <v>43199</v>
      </c>
      <c r="E3037" s="2">
        <f>IFERROR(__xludf.DUMMYFUNCTION("""COMPUTED_VALUE"""),1569543.0)</f>
        <v>1569543</v>
      </c>
      <c r="F3037" s="2">
        <f>IFERROR(__xludf.DUMMYFUNCTION("""COMPUTED_VALUE"""),4374536.0)</f>
        <v>4374536</v>
      </c>
      <c r="G3037" s="2">
        <f>IFERROR(__xludf.DUMMYFUNCTION("""COMPUTED_VALUE"""),79.0833)</f>
        <v>79.0833</v>
      </c>
    </row>
    <row r="3038">
      <c r="A3038" s="1" t="s">
        <v>3037</v>
      </c>
      <c r="D3038" s="3">
        <f>IFERROR(__xludf.DUMMYFUNCTION("SPLIT(A3038, ""|"")"),43199.0)</f>
        <v>43199</v>
      </c>
      <c r="E3038" s="2">
        <f>IFERROR(__xludf.DUMMYFUNCTION("""COMPUTED_VALUE"""),228423.0)</f>
        <v>228423</v>
      </c>
      <c r="F3038" s="2">
        <f>IFERROR(__xludf.DUMMYFUNCTION("""COMPUTED_VALUE"""),4375659.0)</f>
        <v>4375659</v>
      </c>
      <c r="G3038" s="2">
        <f>IFERROR(__xludf.DUMMYFUNCTION("""COMPUTED_VALUE"""),115.877299999999)</f>
        <v>115.8773</v>
      </c>
    </row>
    <row r="3039">
      <c r="A3039" s="1" t="s">
        <v>3038</v>
      </c>
      <c r="D3039" s="3">
        <f>IFERROR(__xludf.DUMMYFUNCTION("SPLIT(A3039, ""|"")"),43199.0)</f>
        <v>43199</v>
      </c>
      <c r="E3039" s="2">
        <f>IFERROR(__xludf.DUMMYFUNCTION("""COMPUTED_VALUE"""),1426383.0)</f>
        <v>1426383</v>
      </c>
      <c r="F3039" s="2">
        <f>IFERROR(__xludf.DUMMYFUNCTION("""COMPUTED_VALUE"""),4375033.0)</f>
        <v>4375033</v>
      </c>
      <c r="G3039" s="2">
        <f>IFERROR(__xludf.DUMMYFUNCTION("""COMPUTED_VALUE"""),120.8492)</f>
        <v>120.8492</v>
      </c>
    </row>
    <row r="3040">
      <c r="A3040" s="1" t="s">
        <v>3039</v>
      </c>
      <c r="D3040" s="3">
        <f>IFERROR(__xludf.DUMMYFUNCTION("SPLIT(A3040, ""|"")"),43199.0)</f>
        <v>43199</v>
      </c>
      <c r="E3040" s="2">
        <f>IFERROR(__xludf.DUMMYFUNCTION("""COMPUTED_VALUE"""),465123.0)</f>
        <v>465123</v>
      </c>
      <c r="F3040" s="2">
        <f>IFERROR(__xludf.DUMMYFUNCTION("""COMPUTED_VALUE"""),4372939.0)</f>
        <v>4372939</v>
      </c>
      <c r="G3040" s="2">
        <f>IFERROR(__xludf.DUMMYFUNCTION("""COMPUTED_VALUE"""),70.2899999999999)</f>
        <v>70.29</v>
      </c>
    </row>
    <row r="3041">
      <c r="A3041" s="1" t="s">
        <v>3040</v>
      </c>
      <c r="D3041" s="3">
        <f>IFERROR(__xludf.DUMMYFUNCTION("SPLIT(A3041, ""|"")"),43199.0)</f>
        <v>43199</v>
      </c>
      <c r="E3041" s="2">
        <f>IFERROR(__xludf.DUMMYFUNCTION("""COMPUTED_VALUE"""),1569243.0)</f>
        <v>1569243</v>
      </c>
      <c r="F3041" s="2">
        <f>IFERROR(__xludf.DUMMYFUNCTION("""COMPUTED_VALUE"""),4373358.0)</f>
        <v>4373358</v>
      </c>
      <c r="G3041" s="2">
        <f>IFERROR(__xludf.DUMMYFUNCTION("""COMPUTED_VALUE"""),23.2783)</f>
        <v>23.2783</v>
      </c>
    </row>
    <row r="3042">
      <c r="A3042" s="1" t="s">
        <v>3041</v>
      </c>
      <c r="D3042" s="3">
        <f>IFERROR(__xludf.DUMMYFUNCTION("SPLIT(A3042, ""|"")"),43199.0)</f>
        <v>43199</v>
      </c>
      <c r="E3042" s="2">
        <f>IFERROR(__xludf.DUMMYFUNCTION("""COMPUTED_VALUE"""),221733.0)</f>
        <v>221733</v>
      </c>
      <c r="F3042" s="2">
        <f>IFERROR(__xludf.DUMMYFUNCTION("""COMPUTED_VALUE"""),4373022.0)</f>
        <v>4373022</v>
      </c>
      <c r="G3042" s="2">
        <f>IFERROR(__xludf.DUMMYFUNCTION("""COMPUTED_VALUE"""),361.753)</f>
        <v>361.753</v>
      </c>
    </row>
    <row r="3043">
      <c r="A3043" s="1" t="s">
        <v>3042</v>
      </c>
      <c r="D3043" s="3">
        <f>IFERROR(__xludf.DUMMYFUNCTION("SPLIT(A3043, ""|"")"),43199.0)</f>
        <v>43199</v>
      </c>
      <c r="E3043" s="2">
        <f>IFERROR(__xludf.DUMMYFUNCTION("""COMPUTED_VALUE"""),884403.0)</f>
        <v>884403</v>
      </c>
      <c r="F3043" s="2">
        <f>IFERROR(__xludf.DUMMYFUNCTION("""COMPUTED_VALUE"""),4372270.0)</f>
        <v>4372270</v>
      </c>
      <c r="G3043" s="2">
        <f>IFERROR(__xludf.DUMMYFUNCTION("""COMPUTED_VALUE"""),53.0875)</f>
        <v>53.0875</v>
      </c>
    </row>
    <row r="3044">
      <c r="A3044" s="1" t="s">
        <v>3043</v>
      </c>
      <c r="D3044" s="3">
        <f>IFERROR(__xludf.DUMMYFUNCTION("SPLIT(A3044, ""|"")"),43199.0)</f>
        <v>43199</v>
      </c>
      <c r="E3044" s="2">
        <f>IFERROR(__xludf.DUMMYFUNCTION("""COMPUTED_VALUE"""),62733.0)</f>
        <v>62733</v>
      </c>
      <c r="F3044" s="2">
        <f>IFERROR(__xludf.DUMMYFUNCTION("""COMPUTED_VALUE"""),4375396.0)</f>
        <v>4375396</v>
      </c>
      <c r="G3044" s="2">
        <f>IFERROR(__xludf.DUMMYFUNCTION("""COMPUTED_VALUE"""),32.633)</f>
        <v>32.633</v>
      </c>
    </row>
    <row r="3045">
      <c r="A3045" s="1" t="s">
        <v>3044</v>
      </c>
      <c r="D3045" s="3">
        <f>IFERROR(__xludf.DUMMYFUNCTION("SPLIT(A3045, ""|"")"),43455.0)</f>
        <v>43455</v>
      </c>
      <c r="E3045" s="2">
        <f>IFERROR(__xludf.DUMMYFUNCTION("""COMPUTED_VALUE"""),1823643.0)</f>
        <v>1823643</v>
      </c>
      <c r="F3045" s="2">
        <f>IFERROR(__xludf.DUMMYFUNCTION("""COMPUTED_VALUE"""),5340966.0)</f>
        <v>5340966</v>
      </c>
      <c r="G3045" s="2">
        <f>IFERROR(__xludf.DUMMYFUNCTION("""COMPUTED_VALUE"""),51.7479)</f>
        <v>51.7479</v>
      </c>
    </row>
    <row r="3046">
      <c r="A3046" s="1" t="s">
        <v>3045</v>
      </c>
      <c r="D3046" s="3">
        <f>IFERROR(__xludf.DUMMYFUNCTION("SPLIT(A3046, ""|"")"),43455.0)</f>
        <v>43455</v>
      </c>
      <c r="E3046" s="2">
        <f>IFERROR(__xludf.DUMMYFUNCTION("""COMPUTED_VALUE"""),1588233.0)</f>
        <v>1588233</v>
      </c>
      <c r="F3046" s="2">
        <f>IFERROR(__xludf.DUMMYFUNCTION("""COMPUTED_VALUE"""),5341098.0)</f>
        <v>5341098</v>
      </c>
      <c r="G3046" s="2">
        <f>IFERROR(__xludf.DUMMYFUNCTION("""COMPUTED_VALUE"""),113.900299999999)</f>
        <v>113.9003</v>
      </c>
    </row>
    <row r="3047">
      <c r="A3047" s="1" t="s">
        <v>3046</v>
      </c>
      <c r="D3047" s="3">
        <f>IFERROR(__xludf.DUMMYFUNCTION("SPLIT(A3047, ""|"")"),43455.0)</f>
        <v>43455</v>
      </c>
      <c r="E3047" s="2">
        <f>IFERROR(__xludf.DUMMYFUNCTION("""COMPUTED_VALUE"""),1284063.0)</f>
        <v>1284063</v>
      </c>
      <c r="F3047" s="2">
        <f>IFERROR(__xludf.DUMMYFUNCTION("""COMPUTED_VALUE"""),5341560.0)</f>
        <v>5341560</v>
      </c>
      <c r="G3047" s="2">
        <f>IFERROR(__xludf.DUMMYFUNCTION("""COMPUTED_VALUE"""),65.1532)</f>
        <v>65.1532</v>
      </c>
    </row>
    <row r="3048">
      <c r="A3048" s="1" t="s">
        <v>3047</v>
      </c>
      <c r="D3048" s="3">
        <f>IFERROR(__xludf.DUMMYFUNCTION("SPLIT(A3048, ""|"")"),43455.0)</f>
        <v>43455</v>
      </c>
      <c r="E3048" s="2">
        <f>IFERROR(__xludf.DUMMYFUNCTION("""COMPUTED_VALUE"""),1252983.0)</f>
        <v>1252983</v>
      </c>
      <c r="F3048" s="2">
        <f>IFERROR(__xludf.DUMMYFUNCTION("""COMPUTED_VALUE"""),5341775.0)</f>
        <v>5341775</v>
      </c>
      <c r="G3048" s="2">
        <f>IFERROR(__xludf.DUMMYFUNCTION("""COMPUTED_VALUE"""),20.9260999999999)</f>
        <v>20.9261</v>
      </c>
    </row>
    <row r="3049">
      <c r="A3049" s="1" t="s">
        <v>3048</v>
      </c>
      <c r="D3049" s="3">
        <f>IFERROR(__xludf.DUMMYFUNCTION("SPLIT(A3049, ""|"")"),43455.0)</f>
        <v>43455</v>
      </c>
      <c r="E3049" s="2">
        <f>IFERROR(__xludf.DUMMYFUNCTION("""COMPUTED_VALUE"""),1823853.0)</f>
        <v>1823853</v>
      </c>
      <c r="F3049" s="2">
        <f>IFERROR(__xludf.DUMMYFUNCTION("""COMPUTED_VALUE"""),5341527.0)</f>
        <v>5341527</v>
      </c>
      <c r="G3049" s="2">
        <f>IFERROR(__xludf.DUMMYFUNCTION("""COMPUTED_VALUE"""),57.5)</f>
        <v>57.5</v>
      </c>
    </row>
    <row r="3050">
      <c r="A3050" s="1" t="s">
        <v>3049</v>
      </c>
      <c r="D3050" s="3">
        <f>IFERROR(__xludf.DUMMYFUNCTION("SPLIT(A3050, ""|"")"),43455.0)</f>
        <v>43455</v>
      </c>
      <c r="E3050" s="2">
        <f>IFERROR(__xludf.DUMMYFUNCTION("""COMPUTED_VALUE"""),1823973.0)</f>
        <v>1823973</v>
      </c>
      <c r="F3050" s="2">
        <f>IFERROR(__xludf.DUMMYFUNCTION("""COMPUTED_VALUE"""),5341922.0)</f>
        <v>5341922</v>
      </c>
      <c r="G3050" s="2">
        <f>IFERROR(__xludf.DUMMYFUNCTION("""COMPUTED_VALUE"""),21.9375)</f>
        <v>21.9375</v>
      </c>
    </row>
    <row r="3051">
      <c r="A3051" s="1" t="s">
        <v>3050</v>
      </c>
      <c r="D3051" s="3">
        <f>IFERROR(__xludf.DUMMYFUNCTION("SPLIT(A3051, ""|"")"),42944.0)</f>
        <v>42944</v>
      </c>
      <c r="E3051" s="2">
        <f>IFERROR(__xludf.DUMMYFUNCTION("""COMPUTED_VALUE"""),1319373.0)</f>
        <v>1319373</v>
      </c>
      <c r="F3051" s="2">
        <f>IFERROR(__xludf.DUMMYFUNCTION("""COMPUTED_VALUE"""),3677188.0)</f>
        <v>3677188</v>
      </c>
      <c r="G3051" s="2">
        <f>IFERROR(__xludf.DUMMYFUNCTION("""COMPUTED_VALUE"""),99.5507999999999)</f>
        <v>99.5508</v>
      </c>
    </row>
    <row r="3052">
      <c r="A3052" s="1" t="s">
        <v>3051</v>
      </c>
      <c r="D3052" s="3">
        <f>IFERROR(__xludf.DUMMYFUNCTION("SPLIT(A3052, ""|"")"),42944.0)</f>
        <v>42944</v>
      </c>
      <c r="E3052" s="2">
        <f>IFERROR(__xludf.DUMMYFUNCTION("""COMPUTED_VALUE"""),1113423.0)</f>
        <v>1113423</v>
      </c>
      <c r="F3052" s="2">
        <f>IFERROR(__xludf.DUMMYFUNCTION("""COMPUTED_VALUE"""),3677535.0)</f>
        <v>3677535</v>
      </c>
      <c r="G3052" s="2">
        <f>IFERROR(__xludf.DUMMYFUNCTION("""COMPUTED_VALUE"""),65.0672)</f>
        <v>65.0672</v>
      </c>
    </row>
    <row r="3053">
      <c r="A3053" s="1" t="s">
        <v>3052</v>
      </c>
      <c r="D3053" s="3">
        <f>IFERROR(__xludf.DUMMYFUNCTION("SPLIT(A3053, ""|"")"),42944.0)</f>
        <v>42944</v>
      </c>
      <c r="E3053" s="2">
        <f>IFERROR(__xludf.DUMMYFUNCTION("""COMPUTED_VALUE"""),1328943.0)</f>
        <v>1328943</v>
      </c>
      <c r="F3053" s="2">
        <f>IFERROR(__xludf.DUMMYFUNCTION("""COMPUTED_VALUE"""),3677951.0)</f>
        <v>3677951</v>
      </c>
      <c r="G3053" s="2">
        <f>IFERROR(__xludf.DUMMYFUNCTION("""COMPUTED_VALUE"""),73.8353999999999)</f>
        <v>73.8354</v>
      </c>
    </row>
    <row r="3054">
      <c r="A3054" s="1" t="s">
        <v>3053</v>
      </c>
      <c r="D3054" s="3">
        <f>IFERROR(__xludf.DUMMYFUNCTION("SPLIT(A3054, ""|"")"),42944.0)</f>
        <v>42944</v>
      </c>
      <c r="E3054" s="2">
        <f>IFERROR(__xludf.DUMMYFUNCTION("""COMPUTED_VALUE"""),1188063.0)</f>
        <v>1188063</v>
      </c>
      <c r="F3054" s="2">
        <f>IFERROR(__xludf.DUMMYFUNCTION("""COMPUTED_VALUE"""),3677910.0)</f>
        <v>3677910</v>
      </c>
      <c r="G3054" s="2">
        <f>IFERROR(__xludf.DUMMYFUNCTION("""COMPUTED_VALUE"""),20.2929)</f>
        <v>20.2929</v>
      </c>
    </row>
    <row r="3055">
      <c r="A3055" s="1" t="s">
        <v>3054</v>
      </c>
      <c r="D3055" s="3">
        <f>IFERROR(__xludf.DUMMYFUNCTION("SPLIT(A3055, ""|"")"),43200.0)</f>
        <v>43200</v>
      </c>
      <c r="E3055" s="2">
        <f>IFERROR(__xludf.DUMMYFUNCTION("""COMPUTED_VALUE"""),1546173.0)</f>
        <v>1546173</v>
      </c>
      <c r="F3055" s="2">
        <f>IFERROR(__xludf.DUMMYFUNCTION("""COMPUTED_VALUE"""),4378097.0)</f>
        <v>4378097</v>
      </c>
      <c r="G3055" s="2">
        <f>IFERROR(__xludf.DUMMYFUNCTION("""COMPUTED_VALUE"""),59.3836)</f>
        <v>59.3836</v>
      </c>
    </row>
    <row r="3056">
      <c r="A3056" s="1" t="s">
        <v>3055</v>
      </c>
      <c r="D3056" s="3">
        <f>IFERROR(__xludf.DUMMYFUNCTION("SPLIT(A3056, ""|"")"),43200.0)</f>
        <v>43200</v>
      </c>
      <c r="E3056" s="2">
        <f>IFERROR(__xludf.DUMMYFUNCTION("""COMPUTED_VALUE"""),1570083.0)</f>
        <v>1570083</v>
      </c>
      <c r="F3056" s="2">
        <f>IFERROR(__xludf.DUMMYFUNCTION("""COMPUTED_VALUE"""),4376666.0)</f>
        <v>4376666</v>
      </c>
      <c r="G3056" s="2">
        <f>IFERROR(__xludf.DUMMYFUNCTION("""COMPUTED_VALUE"""),12.837)</f>
        <v>12.837</v>
      </c>
    </row>
    <row r="3057">
      <c r="A3057" s="1" t="s">
        <v>3056</v>
      </c>
      <c r="D3057" s="3">
        <f>IFERROR(__xludf.DUMMYFUNCTION("SPLIT(A3057, ""|"")"),43200.0)</f>
        <v>43200</v>
      </c>
      <c r="E3057" s="2">
        <f>IFERROR(__xludf.DUMMYFUNCTION("""COMPUTED_VALUE"""),1570653.0)</f>
        <v>1570653</v>
      </c>
      <c r="F3057" s="2">
        <f>IFERROR(__xludf.DUMMYFUNCTION("""COMPUTED_VALUE"""),4378550.0)</f>
        <v>4378550</v>
      </c>
      <c r="G3057" s="2">
        <f>IFERROR(__xludf.DUMMYFUNCTION("""COMPUTED_VALUE"""),79.3215)</f>
        <v>79.3215</v>
      </c>
    </row>
    <row r="3058">
      <c r="A3058" s="1" t="s">
        <v>3057</v>
      </c>
      <c r="D3058" s="3">
        <f>IFERROR(__xludf.DUMMYFUNCTION("SPLIT(A3058, ""|"")"),43200.0)</f>
        <v>43200</v>
      </c>
      <c r="E3058" s="2">
        <f>IFERROR(__xludf.DUMMYFUNCTION("""COMPUTED_VALUE"""),1194483.0)</f>
        <v>1194483</v>
      </c>
      <c r="F3058" s="2">
        <f>IFERROR(__xludf.DUMMYFUNCTION("""COMPUTED_VALUE"""),4376329.0)</f>
        <v>4376329</v>
      </c>
      <c r="G3058" s="2">
        <f>IFERROR(__xludf.DUMMYFUNCTION("""COMPUTED_VALUE"""),120.036499999999)</f>
        <v>120.0365</v>
      </c>
    </row>
    <row r="3059">
      <c r="A3059" s="1" t="s">
        <v>3058</v>
      </c>
      <c r="D3059" s="3">
        <f>IFERROR(__xludf.DUMMYFUNCTION("SPLIT(A3059, ""|"")"),43200.0)</f>
        <v>43200</v>
      </c>
      <c r="E3059" s="2">
        <f>IFERROR(__xludf.DUMMYFUNCTION("""COMPUTED_VALUE"""),1455903.0)</f>
        <v>1455903</v>
      </c>
      <c r="F3059" s="2">
        <f>IFERROR(__xludf.DUMMYFUNCTION("""COMPUTED_VALUE"""),4376052.0)</f>
        <v>4376052</v>
      </c>
      <c r="G3059" s="2">
        <f>IFERROR(__xludf.DUMMYFUNCTION("""COMPUTED_VALUE"""),88.0444)</f>
        <v>88.0444</v>
      </c>
    </row>
    <row r="3060">
      <c r="A3060" s="1" t="s">
        <v>3059</v>
      </c>
      <c r="D3060" s="3">
        <f>IFERROR(__xludf.DUMMYFUNCTION("SPLIT(A3060, ""|"")"),43200.0)</f>
        <v>43200</v>
      </c>
      <c r="E3060" s="2">
        <f>IFERROR(__xludf.DUMMYFUNCTION("""COMPUTED_VALUE"""),1477113.0)</f>
        <v>1477113</v>
      </c>
      <c r="F3060" s="2">
        <f>IFERROR(__xludf.DUMMYFUNCTION("""COMPUTED_VALUE"""),4378102.0)</f>
        <v>4378102</v>
      </c>
      <c r="G3060" s="2">
        <f>IFERROR(__xludf.DUMMYFUNCTION("""COMPUTED_VALUE"""),55.7867)</f>
        <v>55.7867</v>
      </c>
    </row>
    <row r="3061">
      <c r="A3061" s="1" t="s">
        <v>3060</v>
      </c>
      <c r="D3061" s="3">
        <f>IFERROR(__xludf.DUMMYFUNCTION("SPLIT(A3061, ""|"")"),43200.0)</f>
        <v>43200</v>
      </c>
      <c r="E3061" s="2">
        <f>IFERROR(__xludf.DUMMYFUNCTION("""COMPUTED_VALUE"""),1570053.0)</f>
        <v>1570053</v>
      </c>
      <c r="F3061" s="2">
        <f>IFERROR(__xludf.DUMMYFUNCTION("""COMPUTED_VALUE"""),4376585.0)</f>
        <v>4376585</v>
      </c>
      <c r="G3061" s="2">
        <f>IFERROR(__xludf.DUMMYFUNCTION("""COMPUTED_VALUE"""),24.607)</f>
        <v>24.607</v>
      </c>
    </row>
    <row r="3062">
      <c r="A3062" s="1" t="s">
        <v>3061</v>
      </c>
      <c r="D3062" s="3">
        <f>IFERROR(__xludf.DUMMYFUNCTION("SPLIT(A3062, ""|"")"),43456.0)</f>
        <v>43456</v>
      </c>
      <c r="E3062" s="2">
        <f>IFERROR(__xludf.DUMMYFUNCTION("""COMPUTED_VALUE"""),1173993.0)</f>
        <v>1173993</v>
      </c>
      <c r="F3062" s="2">
        <f>IFERROR(__xludf.DUMMYFUNCTION("""COMPUTED_VALUE"""),5342434.0)</f>
        <v>5342434</v>
      </c>
      <c r="G3062" s="2">
        <f>IFERROR(__xludf.DUMMYFUNCTION("""COMPUTED_VALUE"""),93.431)</f>
        <v>93.431</v>
      </c>
    </row>
    <row r="3063">
      <c r="A3063" s="1" t="s">
        <v>3062</v>
      </c>
      <c r="D3063" s="3">
        <f>IFERROR(__xludf.DUMMYFUNCTION("SPLIT(A3063, ""|"")"),43456.0)</f>
        <v>43456</v>
      </c>
      <c r="E3063" s="2">
        <f>IFERROR(__xludf.DUMMYFUNCTION("""COMPUTED_VALUE"""),1423773.0)</f>
        <v>1423773</v>
      </c>
      <c r="F3063" s="2">
        <f>IFERROR(__xludf.DUMMYFUNCTION("""COMPUTED_VALUE"""),5342590.0)</f>
        <v>5342590</v>
      </c>
      <c r="G3063" s="2">
        <f>IFERROR(__xludf.DUMMYFUNCTION("""COMPUTED_VALUE"""),46.5833)</f>
        <v>46.5833</v>
      </c>
    </row>
    <row r="3064">
      <c r="A3064" s="1" t="s">
        <v>3063</v>
      </c>
      <c r="D3064" s="3">
        <f>IFERROR(__xludf.DUMMYFUNCTION("SPLIT(A3064, ""|"")"),43456.0)</f>
        <v>43456</v>
      </c>
      <c r="E3064" s="2">
        <f>IFERROR(__xludf.DUMMYFUNCTION("""COMPUTED_VALUE"""),1824453.0)</f>
        <v>1824453</v>
      </c>
      <c r="F3064" s="2">
        <f>IFERROR(__xludf.DUMMYFUNCTION("""COMPUTED_VALUE"""),5343414.0)</f>
        <v>5343414</v>
      </c>
      <c r="G3064" s="2">
        <f>IFERROR(__xludf.DUMMYFUNCTION("""COMPUTED_VALUE"""),53.1503)</f>
        <v>53.1503</v>
      </c>
    </row>
    <row r="3065">
      <c r="A3065" s="1" t="s">
        <v>3064</v>
      </c>
      <c r="D3065" s="3">
        <f>IFERROR(__xludf.DUMMYFUNCTION("SPLIT(A3065, ""|"")"),43456.0)</f>
        <v>43456</v>
      </c>
      <c r="E3065" s="2">
        <f>IFERROR(__xludf.DUMMYFUNCTION("""COMPUTED_VALUE"""),1824123.0)</f>
        <v>1824123</v>
      </c>
      <c r="F3065" s="2">
        <f>IFERROR(__xludf.DUMMYFUNCTION("""COMPUTED_VALUE"""),5342436.0)</f>
        <v>5342436</v>
      </c>
      <c r="G3065" s="2">
        <f>IFERROR(__xludf.DUMMYFUNCTION("""COMPUTED_VALUE"""),35.8335)</f>
        <v>35.8335</v>
      </c>
    </row>
    <row r="3066">
      <c r="A3066" s="1" t="s">
        <v>3065</v>
      </c>
      <c r="D3066" s="3">
        <f>IFERROR(__xludf.DUMMYFUNCTION("SPLIT(A3066, ""|"")"),43456.0)</f>
        <v>43456</v>
      </c>
      <c r="E3066" s="2">
        <f>IFERROR(__xludf.DUMMYFUNCTION("""COMPUTED_VALUE"""),1292853.0)</f>
        <v>1292853</v>
      </c>
      <c r="F3066" s="2">
        <f>IFERROR(__xludf.DUMMYFUNCTION("""COMPUTED_VALUE"""),5342616.0)</f>
        <v>5342616</v>
      </c>
      <c r="G3066" s="2">
        <f>IFERROR(__xludf.DUMMYFUNCTION("""COMPUTED_VALUE"""),19.1666)</f>
        <v>19.1666</v>
      </c>
    </row>
    <row r="3067">
      <c r="A3067" s="1" t="s">
        <v>3066</v>
      </c>
      <c r="D3067" s="3">
        <f>IFERROR(__xludf.DUMMYFUNCTION("SPLIT(A3067, ""|"")"),42945.0)</f>
        <v>42945</v>
      </c>
      <c r="E3067" s="2">
        <f>IFERROR(__xludf.DUMMYFUNCTION("""COMPUTED_VALUE"""),260853.0)</f>
        <v>260853</v>
      </c>
      <c r="F3067" s="2">
        <f>IFERROR(__xludf.DUMMYFUNCTION("""COMPUTED_VALUE"""),3680307.0)</f>
        <v>3680307</v>
      </c>
      <c r="G3067" s="2">
        <f>IFERROR(__xludf.DUMMYFUNCTION("""COMPUTED_VALUE"""),8.25)</f>
        <v>8.25</v>
      </c>
    </row>
    <row r="3068">
      <c r="A3068" s="1" t="s">
        <v>3067</v>
      </c>
      <c r="D3068" s="3">
        <f>IFERROR(__xludf.DUMMYFUNCTION("SPLIT(A3068, ""|"")"),42945.0)</f>
        <v>42945</v>
      </c>
      <c r="E3068" s="2">
        <f>IFERROR(__xludf.DUMMYFUNCTION("""COMPUTED_VALUE"""),1255293.0)</f>
        <v>1255293</v>
      </c>
      <c r="F3068" s="2">
        <f>IFERROR(__xludf.DUMMYFUNCTION("""COMPUTED_VALUE"""),3679871.0)</f>
        <v>3679871</v>
      </c>
      <c r="G3068" s="2">
        <f>IFERROR(__xludf.DUMMYFUNCTION("""COMPUTED_VALUE"""),22.3365)</f>
        <v>22.3365</v>
      </c>
    </row>
    <row r="3069">
      <c r="A3069" s="1" t="s">
        <v>3068</v>
      </c>
      <c r="D3069" s="3">
        <f>IFERROR(__xludf.DUMMYFUNCTION("SPLIT(A3069, ""|"")"),42945.0)</f>
        <v>42945</v>
      </c>
      <c r="E3069" s="2">
        <f>IFERROR(__xludf.DUMMYFUNCTION("""COMPUTED_VALUE"""),1341213.0)</f>
        <v>1341213</v>
      </c>
      <c r="F3069" s="2">
        <f>IFERROR(__xludf.DUMMYFUNCTION("""COMPUTED_VALUE"""),3679423.0)</f>
        <v>3679423</v>
      </c>
      <c r="G3069" s="2">
        <f>IFERROR(__xludf.DUMMYFUNCTION("""COMPUTED_VALUE"""),65.8333)</f>
        <v>65.8333</v>
      </c>
    </row>
    <row r="3070">
      <c r="A3070" s="1" t="s">
        <v>3069</v>
      </c>
      <c r="D3070" s="3">
        <f>IFERROR(__xludf.DUMMYFUNCTION("SPLIT(A3070, ""|"")"),42945.0)</f>
        <v>42945</v>
      </c>
      <c r="E3070" s="2">
        <f>IFERROR(__xludf.DUMMYFUNCTION("""COMPUTED_VALUE"""),1385613.0)</f>
        <v>1385613</v>
      </c>
      <c r="F3070" s="2">
        <f>IFERROR(__xludf.DUMMYFUNCTION("""COMPUTED_VALUE"""),3680225.0)</f>
        <v>3680225</v>
      </c>
      <c r="G3070" s="2">
        <f>IFERROR(__xludf.DUMMYFUNCTION("""COMPUTED_VALUE"""),71.8277)</f>
        <v>71.8277</v>
      </c>
    </row>
    <row r="3071">
      <c r="A3071" s="1" t="s">
        <v>3070</v>
      </c>
      <c r="D3071" s="3">
        <f>IFERROR(__xludf.DUMMYFUNCTION("SPLIT(A3071, ""|"")"),42945.0)</f>
        <v>42945</v>
      </c>
      <c r="E3071" s="2">
        <f>IFERROR(__xludf.DUMMYFUNCTION("""COMPUTED_VALUE"""),1174923.0)</f>
        <v>1174923</v>
      </c>
      <c r="F3071" s="2">
        <f>IFERROR(__xludf.DUMMYFUNCTION("""COMPUTED_VALUE"""),3679440.0)</f>
        <v>3679440</v>
      </c>
      <c r="G3071" s="2">
        <f>IFERROR(__xludf.DUMMYFUNCTION("""COMPUTED_VALUE"""),2.9858)</f>
        <v>2.9858</v>
      </c>
    </row>
    <row r="3072">
      <c r="A3072" s="1" t="s">
        <v>3071</v>
      </c>
      <c r="D3072" s="3">
        <f>IFERROR(__xludf.DUMMYFUNCTION("SPLIT(A3072, ""|"")"),42945.0)</f>
        <v>42945</v>
      </c>
      <c r="E3072" s="2">
        <f>IFERROR(__xludf.DUMMYFUNCTION("""COMPUTED_VALUE"""),1385673.0)</f>
        <v>1385673</v>
      </c>
      <c r="F3072" s="2">
        <f>IFERROR(__xludf.DUMMYFUNCTION("""COMPUTED_VALUE"""),3680431.0)</f>
        <v>3680431</v>
      </c>
      <c r="G3072" s="2">
        <f>IFERROR(__xludf.DUMMYFUNCTION("""COMPUTED_VALUE"""),219.9167)</f>
        <v>219.9167</v>
      </c>
    </row>
    <row r="3073">
      <c r="A3073" s="1" t="s">
        <v>3072</v>
      </c>
      <c r="D3073" s="3">
        <f>IFERROR(__xludf.DUMMYFUNCTION("SPLIT(A3073, ""|"")"),43201.0)</f>
        <v>43201</v>
      </c>
      <c r="E3073" s="2">
        <f>IFERROR(__xludf.DUMMYFUNCTION("""COMPUTED_VALUE"""),1570893.0)</f>
        <v>1570893</v>
      </c>
      <c r="F3073" s="2">
        <f>IFERROR(__xludf.DUMMYFUNCTION("""COMPUTED_VALUE"""),4379464.0)</f>
        <v>4379464</v>
      </c>
      <c r="G3073" s="2">
        <f>IFERROR(__xludf.DUMMYFUNCTION("""COMPUTED_VALUE"""),23.7762)</f>
        <v>23.7762</v>
      </c>
    </row>
    <row r="3074">
      <c r="A3074" s="1" t="s">
        <v>3073</v>
      </c>
      <c r="D3074" s="3">
        <f>IFERROR(__xludf.DUMMYFUNCTION("SPLIT(A3074, ""|"")"),43201.0)</f>
        <v>43201</v>
      </c>
      <c r="E3074" s="2">
        <f>IFERROR(__xludf.DUMMYFUNCTION("""COMPUTED_VALUE"""),474633.0)</f>
        <v>474633</v>
      </c>
      <c r="F3074" s="2">
        <f>IFERROR(__xludf.DUMMYFUNCTION("""COMPUTED_VALUE"""),4380194.0)</f>
        <v>4380194</v>
      </c>
      <c r="G3074" s="2">
        <f>IFERROR(__xludf.DUMMYFUNCTION("""COMPUTED_VALUE"""),167.068399999999)</f>
        <v>167.0684</v>
      </c>
    </row>
    <row r="3075">
      <c r="A3075" s="1" t="s">
        <v>3074</v>
      </c>
      <c r="D3075" s="3">
        <f>IFERROR(__xludf.DUMMYFUNCTION("SPLIT(A3075, ""|"")"),43201.0)</f>
        <v>43201</v>
      </c>
      <c r="E3075" s="2">
        <f>IFERROR(__xludf.DUMMYFUNCTION("""COMPUTED_VALUE"""),1501053.0)</f>
        <v>1501053</v>
      </c>
      <c r="F3075" s="2">
        <f>IFERROR(__xludf.DUMMYFUNCTION("""COMPUTED_VALUE"""),4379377.0)</f>
        <v>4379377</v>
      </c>
      <c r="G3075" s="2">
        <f>IFERROR(__xludf.DUMMYFUNCTION("""COMPUTED_VALUE"""),107.076)</f>
        <v>107.076</v>
      </c>
    </row>
    <row r="3076">
      <c r="A3076" s="1" t="s">
        <v>3075</v>
      </c>
      <c r="D3076" s="3">
        <f>IFERROR(__xludf.DUMMYFUNCTION("SPLIT(A3076, ""|"")"),43201.0)</f>
        <v>43201</v>
      </c>
      <c r="E3076" s="2">
        <f>IFERROR(__xludf.DUMMYFUNCTION("""COMPUTED_VALUE"""),1332093.0)</f>
        <v>1332093</v>
      </c>
      <c r="F3076" s="2">
        <f>IFERROR(__xludf.DUMMYFUNCTION("""COMPUTED_VALUE"""),4381140.0)</f>
        <v>4381140</v>
      </c>
      <c r="G3076" s="2">
        <f>IFERROR(__xludf.DUMMYFUNCTION("""COMPUTED_VALUE"""),28.067)</f>
        <v>28.067</v>
      </c>
    </row>
    <row r="3077">
      <c r="A3077" s="1" t="s">
        <v>3076</v>
      </c>
      <c r="D3077" s="3">
        <f>IFERROR(__xludf.DUMMYFUNCTION("SPLIT(A3077, ""|"")"),43201.0)</f>
        <v>43201</v>
      </c>
      <c r="E3077" s="2">
        <f>IFERROR(__xludf.DUMMYFUNCTION("""COMPUTED_VALUE"""),1571433.0)</f>
        <v>1571433</v>
      </c>
      <c r="F3077" s="2">
        <f>IFERROR(__xludf.DUMMYFUNCTION("""COMPUTED_VALUE"""),4381229.0)</f>
        <v>4381229</v>
      </c>
      <c r="G3077" s="2">
        <f>IFERROR(__xludf.DUMMYFUNCTION("""COMPUTED_VALUE"""),56.3563999999999)</f>
        <v>56.3564</v>
      </c>
    </row>
    <row r="3078">
      <c r="A3078" s="1" t="s">
        <v>3077</v>
      </c>
      <c r="D3078" s="3">
        <f>IFERROR(__xludf.DUMMYFUNCTION("SPLIT(A3078, ""|"")"),43201.0)</f>
        <v>43201</v>
      </c>
      <c r="E3078" s="2">
        <f>IFERROR(__xludf.DUMMYFUNCTION("""COMPUTED_VALUE"""),1475553.0)</f>
        <v>1475553</v>
      </c>
      <c r="F3078" s="2">
        <f>IFERROR(__xludf.DUMMYFUNCTION("""COMPUTED_VALUE"""),4380953.0)</f>
        <v>4380953</v>
      </c>
      <c r="G3078" s="2">
        <f>IFERROR(__xludf.DUMMYFUNCTION("""COMPUTED_VALUE"""),53.2294)</f>
        <v>53.2294</v>
      </c>
    </row>
    <row r="3079">
      <c r="A3079" s="1" t="s">
        <v>3078</v>
      </c>
      <c r="D3079" s="3">
        <f>IFERROR(__xludf.DUMMYFUNCTION("SPLIT(A3079, ""|"")"),43201.0)</f>
        <v>43201</v>
      </c>
      <c r="E3079" s="2">
        <f>IFERROR(__xludf.DUMMYFUNCTION("""COMPUTED_VALUE"""),1428003.0)</f>
        <v>1428003</v>
      </c>
      <c r="F3079" s="2">
        <f>IFERROR(__xludf.DUMMYFUNCTION("""COMPUTED_VALUE"""),4379694.0)</f>
        <v>4379694</v>
      </c>
      <c r="G3079" s="2">
        <f>IFERROR(__xludf.DUMMYFUNCTION("""COMPUTED_VALUE"""),66.2346)</f>
        <v>66.2346</v>
      </c>
    </row>
    <row r="3080">
      <c r="A3080" s="1" t="s">
        <v>3079</v>
      </c>
      <c r="D3080" s="3">
        <f>IFERROR(__xludf.DUMMYFUNCTION("SPLIT(A3080, ""|"")"),43457.0)</f>
        <v>43457</v>
      </c>
      <c r="E3080" s="2">
        <f>IFERROR(__xludf.DUMMYFUNCTION("""COMPUTED_VALUE"""),1011093.0)</f>
        <v>1011093</v>
      </c>
      <c r="F3080" s="2">
        <f>IFERROR(__xludf.DUMMYFUNCTION("""COMPUTED_VALUE"""),5343647.0)</f>
        <v>5343647</v>
      </c>
      <c r="G3080" s="2">
        <f>IFERROR(__xludf.DUMMYFUNCTION("""COMPUTED_VALUE"""),50.9901)</f>
        <v>50.9901</v>
      </c>
    </row>
    <row r="3081">
      <c r="A3081" s="1" t="s">
        <v>3080</v>
      </c>
      <c r="D3081" s="3">
        <f>IFERROR(__xludf.DUMMYFUNCTION("SPLIT(A3081, ""|"")"),43457.0)</f>
        <v>43457</v>
      </c>
      <c r="E3081" s="2">
        <f>IFERROR(__xludf.DUMMYFUNCTION("""COMPUTED_VALUE"""),1824753.0)</f>
        <v>1824753</v>
      </c>
      <c r="F3081" s="2">
        <f>IFERROR(__xludf.DUMMYFUNCTION("""COMPUTED_VALUE"""),5344370.0)</f>
        <v>5344370</v>
      </c>
      <c r="G3081" s="2">
        <f>IFERROR(__xludf.DUMMYFUNCTION("""COMPUTED_VALUE"""),92.6548)</f>
        <v>92.6548</v>
      </c>
    </row>
    <row r="3082">
      <c r="A3082" s="1" t="s">
        <v>3081</v>
      </c>
      <c r="D3082" s="3">
        <f>IFERROR(__xludf.DUMMYFUNCTION("SPLIT(A3082, ""|"")"),43457.0)</f>
        <v>43457</v>
      </c>
      <c r="E3082" s="2">
        <f>IFERROR(__xludf.DUMMYFUNCTION("""COMPUTED_VALUE"""),1599783.0)</f>
        <v>1599783</v>
      </c>
      <c r="F3082" s="2">
        <f>IFERROR(__xludf.DUMMYFUNCTION("""COMPUTED_VALUE"""),5344740.0)</f>
        <v>5344740</v>
      </c>
      <c r="G3082" s="2">
        <f>IFERROR(__xludf.DUMMYFUNCTION("""COMPUTED_VALUE"""),30.1679)</f>
        <v>30.1679</v>
      </c>
    </row>
    <row r="3083">
      <c r="A3083" s="1" t="s">
        <v>3082</v>
      </c>
      <c r="D3083" s="3">
        <f>IFERROR(__xludf.DUMMYFUNCTION("SPLIT(A3083, ""|"")"),43457.0)</f>
        <v>43457</v>
      </c>
      <c r="E3083" s="2">
        <f>IFERROR(__xludf.DUMMYFUNCTION("""COMPUTED_VALUE"""),235353.0)</f>
        <v>235353</v>
      </c>
      <c r="F3083" s="2">
        <f>IFERROR(__xludf.DUMMYFUNCTION("""COMPUTED_VALUE"""),5344097.0)</f>
        <v>5344097</v>
      </c>
      <c r="G3083" s="2">
        <f>IFERROR(__xludf.DUMMYFUNCTION("""COMPUTED_VALUE"""),31.8083)</f>
        <v>31.8083</v>
      </c>
    </row>
    <row r="3084">
      <c r="A3084" s="1" t="s">
        <v>3083</v>
      </c>
      <c r="D3084" s="3">
        <f>IFERROR(__xludf.DUMMYFUNCTION("SPLIT(A3084, ""|"")"),43457.0)</f>
        <v>43457</v>
      </c>
      <c r="E3084" s="2">
        <f>IFERROR(__xludf.DUMMYFUNCTION("""COMPUTED_VALUE"""),1824693.0)</f>
        <v>1824693</v>
      </c>
      <c r="F3084" s="2">
        <f>IFERROR(__xludf.DUMMYFUNCTION("""COMPUTED_VALUE"""),5344276.0)</f>
        <v>5344276</v>
      </c>
      <c r="G3084" s="2">
        <f>IFERROR(__xludf.DUMMYFUNCTION("""COMPUTED_VALUE"""),56.5833)</f>
        <v>56.5833</v>
      </c>
    </row>
    <row r="3085">
      <c r="A3085" s="1" t="s">
        <v>3084</v>
      </c>
      <c r="D3085" s="3">
        <f>IFERROR(__xludf.DUMMYFUNCTION("SPLIT(A3085, ""|"")"),43457.0)</f>
        <v>43457</v>
      </c>
      <c r="E3085" s="2">
        <f>IFERROR(__xludf.DUMMYFUNCTION("""COMPUTED_VALUE"""),1011093.0)</f>
        <v>1011093</v>
      </c>
      <c r="F3085" s="2">
        <f>IFERROR(__xludf.DUMMYFUNCTION("""COMPUTED_VALUE"""),5344322.0)</f>
        <v>5344322</v>
      </c>
      <c r="G3085" s="2">
        <f>IFERROR(__xludf.DUMMYFUNCTION("""COMPUTED_VALUE"""),97.5226999999999)</f>
        <v>97.5227</v>
      </c>
    </row>
    <row r="3086">
      <c r="A3086" s="1" t="s">
        <v>3085</v>
      </c>
      <c r="D3086" s="3">
        <f>IFERROR(__xludf.DUMMYFUNCTION("SPLIT(A3086, ""|"")"),43457.0)</f>
        <v>43457</v>
      </c>
      <c r="E3086" s="2">
        <f>IFERROR(__xludf.DUMMYFUNCTION("""COMPUTED_VALUE"""),1374483.0)</f>
        <v>1374483</v>
      </c>
      <c r="F3086" s="2">
        <f>IFERROR(__xludf.DUMMYFUNCTION("""COMPUTED_VALUE"""),5343845.0)</f>
        <v>5343845</v>
      </c>
      <c r="G3086" s="2">
        <f>IFERROR(__xludf.DUMMYFUNCTION("""COMPUTED_VALUE"""),50.8935)</f>
        <v>50.8935</v>
      </c>
    </row>
    <row r="3087">
      <c r="A3087" s="1" t="s">
        <v>3086</v>
      </c>
      <c r="D3087" s="3">
        <f>IFERROR(__xludf.DUMMYFUNCTION("SPLIT(A3087, ""|"")"),43457.0)</f>
        <v>43457</v>
      </c>
      <c r="E3087" s="2">
        <f>IFERROR(__xludf.DUMMYFUNCTION("""COMPUTED_VALUE"""),1824783.0)</f>
        <v>1824783</v>
      </c>
      <c r="F3087" s="2">
        <f>IFERROR(__xludf.DUMMYFUNCTION("""COMPUTED_VALUE"""),5344474.0)</f>
        <v>5344474</v>
      </c>
      <c r="G3087" s="2">
        <f>IFERROR(__xludf.DUMMYFUNCTION("""COMPUTED_VALUE"""),20.0)</f>
        <v>20</v>
      </c>
    </row>
    <row r="3088">
      <c r="A3088" s="1" t="s">
        <v>3087</v>
      </c>
      <c r="D3088" s="3">
        <f>IFERROR(__xludf.DUMMYFUNCTION("SPLIT(A3088, ""|"")"),43457.0)</f>
        <v>43457</v>
      </c>
      <c r="E3088" s="2">
        <f>IFERROR(__xludf.DUMMYFUNCTION("""COMPUTED_VALUE"""),1236333.0)</f>
        <v>1236333</v>
      </c>
      <c r="F3088" s="2">
        <f>IFERROR(__xludf.DUMMYFUNCTION("""COMPUTED_VALUE"""),5345182.0)</f>
        <v>5345182</v>
      </c>
      <c r="G3088" s="2">
        <f>IFERROR(__xludf.DUMMYFUNCTION("""COMPUTED_VALUE"""),81.3487)</f>
        <v>81.3487</v>
      </c>
    </row>
    <row r="3089">
      <c r="A3089" s="1" t="s">
        <v>3088</v>
      </c>
      <c r="D3089" s="3">
        <f>IFERROR(__xludf.DUMMYFUNCTION("SPLIT(A3089, ""|"")"),42946.0)</f>
        <v>42946</v>
      </c>
      <c r="E3089" s="2">
        <f>IFERROR(__xludf.DUMMYFUNCTION("""COMPUTED_VALUE"""),1386303.0)</f>
        <v>1386303</v>
      </c>
      <c r="F3089" s="2">
        <f>IFERROR(__xludf.DUMMYFUNCTION("""COMPUTED_VALUE"""),3682911.0)</f>
        <v>3682911</v>
      </c>
      <c r="G3089" s="2">
        <f>IFERROR(__xludf.DUMMYFUNCTION("""COMPUTED_VALUE"""),43.4227)</f>
        <v>43.4227</v>
      </c>
    </row>
    <row r="3090">
      <c r="A3090" s="1" t="s">
        <v>3089</v>
      </c>
      <c r="D3090" s="3">
        <f>IFERROR(__xludf.DUMMYFUNCTION("SPLIT(A3090, ""|"")"),42946.0)</f>
        <v>42946</v>
      </c>
      <c r="E3090" s="2">
        <f>IFERROR(__xludf.DUMMYFUNCTION("""COMPUTED_VALUE"""),1385223.0)</f>
        <v>1385223</v>
      </c>
      <c r="F3090" s="2">
        <f>IFERROR(__xludf.DUMMYFUNCTION("""COMPUTED_VALUE"""),3682426.0)</f>
        <v>3682426</v>
      </c>
      <c r="G3090" s="2">
        <f>IFERROR(__xludf.DUMMYFUNCTION("""COMPUTED_VALUE"""),149.1667)</f>
        <v>149.1667</v>
      </c>
    </row>
    <row r="3091">
      <c r="A3091" s="1" t="s">
        <v>3090</v>
      </c>
      <c r="D3091" s="3">
        <f>IFERROR(__xludf.DUMMYFUNCTION("SPLIT(A3091, ""|"")"),42946.0)</f>
        <v>42946</v>
      </c>
      <c r="E3091" s="2">
        <f>IFERROR(__xludf.DUMMYFUNCTION("""COMPUTED_VALUE"""),1386093.0)</f>
        <v>1386093</v>
      </c>
      <c r="F3091" s="2">
        <f>IFERROR(__xludf.DUMMYFUNCTION("""COMPUTED_VALUE"""),3682096.0)</f>
        <v>3682096</v>
      </c>
      <c r="G3091" s="2">
        <f>IFERROR(__xludf.DUMMYFUNCTION("""COMPUTED_VALUE"""),14.3951999999999)</f>
        <v>14.3952</v>
      </c>
    </row>
    <row r="3092">
      <c r="A3092" s="1" t="s">
        <v>3091</v>
      </c>
      <c r="D3092" s="3">
        <f>IFERROR(__xludf.DUMMYFUNCTION("SPLIT(A3092, ""|"")"),42946.0)</f>
        <v>42946</v>
      </c>
      <c r="E3092" s="2">
        <f>IFERROR(__xludf.DUMMYFUNCTION("""COMPUTED_VALUE"""),1351803.0)</f>
        <v>1351803</v>
      </c>
      <c r="F3092" s="2">
        <f>IFERROR(__xludf.DUMMYFUNCTION("""COMPUTED_VALUE"""),3681969.0)</f>
        <v>3681969</v>
      </c>
      <c r="G3092" s="2">
        <f>IFERROR(__xludf.DUMMYFUNCTION("""COMPUTED_VALUE"""),119.2696)</f>
        <v>119.2696</v>
      </c>
    </row>
    <row r="3093">
      <c r="A3093" s="1" t="s">
        <v>3092</v>
      </c>
      <c r="D3093" s="3">
        <f>IFERROR(__xludf.DUMMYFUNCTION("SPLIT(A3093, ""|"")"),42946.0)</f>
        <v>42946</v>
      </c>
      <c r="E3093" s="2">
        <f>IFERROR(__xludf.DUMMYFUNCTION("""COMPUTED_VALUE"""),260853.0)</f>
        <v>260853</v>
      </c>
      <c r="F3093" s="2">
        <f>IFERROR(__xludf.DUMMYFUNCTION("""COMPUTED_VALUE"""),3682162.0)</f>
        <v>3682162</v>
      </c>
      <c r="G3093" s="2">
        <f>IFERROR(__xludf.DUMMYFUNCTION("""COMPUTED_VALUE"""),70.6353999999999)</f>
        <v>70.6354</v>
      </c>
    </row>
    <row r="3094">
      <c r="A3094" s="1" t="s">
        <v>3093</v>
      </c>
      <c r="D3094" s="3">
        <f>IFERROR(__xludf.DUMMYFUNCTION("SPLIT(A3094, ""|"")"),42946.0)</f>
        <v>42946</v>
      </c>
      <c r="E3094" s="2">
        <f>IFERROR(__xludf.DUMMYFUNCTION("""COMPUTED_VALUE"""),1242753.0)</f>
        <v>1242753</v>
      </c>
      <c r="F3094" s="2">
        <f>IFERROR(__xludf.DUMMYFUNCTION("""COMPUTED_VALUE"""),3683078.0)</f>
        <v>3683078</v>
      </c>
      <c r="G3094" s="2">
        <f>IFERROR(__xludf.DUMMYFUNCTION("""COMPUTED_VALUE"""),67.4808)</f>
        <v>67.4808</v>
      </c>
    </row>
    <row r="3095">
      <c r="A3095" s="1" t="s">
        <v>3094</v>
      </c>
      <c r="D3095" s="3">
        <f>IFERROR(__xludf.DUMMYFUNCTION("SPLIT(A3095, ""|"")"),42946.0)</f>
        <v>42946</v>
      </c>
      <c r="E3095" s="2">
        <f>IFERROR(__xludf.DUMMYFUNCTION("""COMPUTED_VALUE"""),1237893.0)</f>
        <v>1237893</v>
      </c>
      <c r="F3095" s="2">
        <f>IFERROR(__xludf.DUMMYFUNCTION("""COMPUTED_VALUE"""),3681275.0)</f>
        <v>3681275</v>
      </c>
      <c r="G3095" s="2">
        <f>IFERROR(__xludf.DUMMYFUNCTION("""COMPUTED_VALUE"""),68.2805999999999)</f>
        <v>68.2806</v>
      </c>
    </row>
    <row r="3096">
      <c r="A3096" s="1" t="s">
        <v>3095</v>
      </c>
      <c r="D3096" s="3">
        <f>IFERROR(__xludf.DUMMYFUNCTION("SPLIT(A3096, ""|"")"),43202.0)</f>
        <v>43202</v>
      </c>
      <c r="E3096" s="2">
        <f>IFERROR(__xludf.DUMMYFUNCTION("""COMPUTED_VALUE"""),1571643.0)</f>
        <v>1571643</v>
      </c>
      <c r="F3096" s="2">
        <f>IFERROR(__xludf.DUMMYFUNCTION("""COMPUTED_VALUE"""),4381878.0)</f>
        <v>4381878</v>
      </c>
      <c r="G3096" s="2">
        <f>IFERROR(__xludf.DUMMYFUNCTION("""COMPUTED_VALUE"""),69.0359)</f>
        <v>69.0359</v>
      </c>
    </row>
    <row r="3097">
      <c r="A3097" s="1" t="s">
        <v>3096</v>
      </c>
      <c r="D3097" s="3">
        <f>IFERROR(__xludf.DUMMYFUNCTION("SPLIT(A3097, ""|"")"),43202.0)</f>
        <v>43202</v>
      </c>
      <c r="E3097" s="2">
        <f>IFERROR(__xludf.DUMMYFUNCTION("""COMPUTED_VALUE"""),1572153.0)</f>
        <v>1572153</v>
      </c>
      <c r="F3097" s="2">
        <f>IFERROR(__xludf.DUMMYFUNCTION("""COMPUTED_VALUE"""),4383544.0)</f>
        <v>4383544</v>
      </c>
      <c r="G3097" s="2">
        <f>IFERROR(__xludf.DUMMYFUNCTION("""COMPUTED_VALUE"""),55.9242)</f>
        <v>55.9242</v>
      </c>
    </row>
    <row r="3098">
      <c r="A3098" s="1" t="s">
        <v>3097</v>
      </c>
      <c r="D3098" s="3">
        <f>IFERROR(__xludf.DUMMYFUNCTION("SPLIT(A3098, ""|"")"),43202.0)</f>
        <v>43202</v>
      </c>
      <c r="E3098" s="2">
        <f>IFERROR(__xludf.DUMMYFUNCTION("""COMPUTED_VALUE"""),414963.0)</f>
        <v>414963</v>
      </c>
      <c r="F3098" s="2">
        <f>IFERROR(__xludf.DUMMYFUNCTION("""COMPUTED_VALUE"""),4383830.0)</f>
        <v>4383830</v>
      </c>
      <c r="G3098" s="2">
        <f>IFERROR(__xludf.DUMMYFUNCTION("""COMPUTED_VALUE"""),60.053)</f>
        <v>60.053</v>
      </c>
    </row>
    <row r="3099">
      <c r="A3099" s="1" t="s">
        <v>3098</v>
      </c>
      <c r="D3099" s="3">
        <f>IFERROR(__xludf.DUMMYFUNCTION("SPLIT(A3099, ""|"")"),43202.0)</f>
        <v>43202</v>
      </c>
      <c r="E3099" s="2">
        <f>IFERROR(__xludf.DUMMYFUNCTION("""COMPUTED_VALUE"""),1571703.0)</f>
        <v>1571703</v>
      </c>
      <c r="F3099" s="2">
        <f>IFERROR(__xludf.DUMMYFUNCTION("""COMPUTED_VALUE"""),4382065.0)</f>
        <v>4382065</v>
      </c>
      <c r="G3099" s="2">
        <f>IFERROR(__xludf.DUMMYFUNCTION("""COMPUTED_VALUE"""),18.384)</f>
        <v>18.384</v>
      </c>
    </row>
    <row r="3100">
      <c r="A3100" s="1" t="s">
        <v>3099</v>
      </c>
      <c r="D3100" s="3">
        <f>IFERROR(__xludf.DUMMYFUNCTION("SPLIT(A3100, ""|"")"),43202.0)</f>
        <v>43202</v>
      </c>
      <c r="E3100" s="2">
        <f>IFERROR(__xludf.DUMMYFUNCTION("""COMPUTED_VALUE"""),1528353.0)</f>
        <v>1528353</v>
      </c>
      <c r="F3100" s="2">
        <f>IFERROR(__xludf.DUMMYFUNCTION("""COMPUTED_VALUE"""),4381695.0)</f>
        <v>4381695</v>
      </c>
      <c r="G3100" s="2">
        <f>IFERROR(__xludf.DUMMYFUNCTION("""COMPUTED_VALUE"""),161.3216)</f>
        <v>161.3216</v>
      </c>
    </row>
    <row r="3101">
      <c r="A3101" s="1" t="s">
        <v>3100</v>
      </c>
      <c r="D3101" s="3">
        <f>IFERROR(__xludf.DUMMYFUNCTION("SPLIT(A3101, ""|"")"),43202.0)</f>
        <v>43202</v>
      </c>
      <c r="E3101" s="2">
        <f>IFERROR(__xludf.DUMMYFUNCTION("""COMPUTED_VALUE"""),1572213.0)</f>
        <v>1572213</v>
      </c>
      <c r="F3101" s="2">
        <f>IFERROR(__xludf.DUMMYFUNCTION("""COMPUTED_VALUE"""),4383711.0)</f>
        <v>4383711</v>
      </c>
      <c r="G3101" s="2">
        <f>IFERROR(__xludf.DUMMYFUNCTION("""COMPUTED_VALUE"""),69.9813)</f>
        <v>69.9813</v>
      </c>
    </row>
    <row r="3102">
      <c r="A3102" s="1" t="s">
        <v>3101</v>
      </c>
      <c r="D3102" s="3">
        <f>IFERROR(__xludf.DUMMYFUNCTION("SPLIT(A3102, ""|"")"),43202.0)</f>
        <v>43202</v>
      </c>
      <c r="E3102" s="2">
        <f>IFERROR(__xludf.DUMMYFUNCTION("""COMPUTED_VALUE"""),142833.0)</f>
        <v>142833</v>
      </c>
      <c r="F3102" s="2">
        <f>IFERROR(__xludf.DUMMYFUNCTION("""COMPUTED_VALUE"""),4383641.0)</f>
        <v>4383641</v>
      </c>
      <c r="G3102" s="2">
        <f>IFERROR(__xludf.DUMMYFUNCTION("""COMPUTED_VALUE"""),111.0767)</f>
        <v>111.0767</v>
      </c>
    </row>
    <row r="3103">
      <c r="A3103" s="1" t="s">
        <v>3102</v>
      </c>
      <c r="D3103" s="3">
        <f>IFERROR(__xludf.DUMMYFUNCTION("SPLIT(A3103, ""|"")"),43458.0)</f>
        <v>43458</v>
      </c>
      <c r="E3103" s="2">
        <f>IFERROR(__xludf.DUMMYFUNCTION("""COMPUTED_VALUE"""),1825083.0)</f>
        <v>1825083</v>
      </c>
      <c r="F3103" s="2">
        <f>IFERROR(__xludf.DUMMYFUNCTION("""COMPUTED_VALUE"""),5345586.0)</f>
        <v>5345586</v>
      </c>
      <c r="G3103" s="2">
        <f>IFERROR(__xludf.DUMMYFUNCTION("""COMPUTED_VALUE"""),12.6064)</f>
        <v>12.6064</v>
      </c>
    </row>
    <row r="3104">
      <c r="A3104" s="1" t="s">
        <v>3103</v>
      </c>
      <c r="D3104" s="3">
        <f>IFERROR(__xludf.DUMMYFUNCTION("SPLIT(A3104, ""|"")"),43458.0)</f>
        <v>43458</v>
      </c>
      <c r="E3104" s="2">
        <f>IFERROR(__xludf.DUMMYFUNCTION("""COMPUTED_VALUE"""),1824723.0)</f>
        <v>1824723</v>
      </c>
      <c r="F3104" s="2">
        <f>IFERROR(__xludf.DUMMYFUNCTION("""COMPUTED_VALUE"""),5345425.0)</f>
        <v>5345425</v>
      </c>
      <c r="G3104" s="2">
        <f>IFERROR(__xludf.DUMMYFUNCTION("""COMPUTED_VALUE"""),9.5792)</f>
        <v>9.5792</v>
      </c>
    </row>
    <row r="3105">
      <c r="A3105" s="1" t="s">
        <v>3104</v>
      </c>
      <c r="D3105" s="3">
        <f>IFERROR(__xludf.DUMMYFUNCTION("SPLIT(A3105, ""|"")"),43458.0)</f>
        <v>43458</v>
      </c>
      <c r="E3105" s="2">
        <f>IFERROR(__xludf.DUMMYFUNCTION("""COMPUTED_VALUE"""),1825143.0)</f>
        <v>1825143</v>
      </c>
      <c r="F3105" s="2">
        <f>IFERROR(__xludf.DUMMYFUNCTION("""COMPUTED_VALUE"""),5345787.0)</f>
        <v>5345787</v>
      </c>
      <c r="G3105" s="2">
        <f>IFERROR(__xludf.DUMMYFUNCTION("""COMPUTED_VALUE"""),60.117)</f>
        <v>60.117</v>
      </c>
    </row>
    <row r="3106">
      <c r="A3106" s="1" t="s">
        <v>3105</v>
      </c>
      <c r="D3106" s="3">
        <f>IFERROR(__xludf.DUMMYFUNCTION("SPLIT(A3106, ""|"")"),43458.0)</f>
        <v>43458</v>
      </c>
      <c r="E3106" s="2">
        <f>IFERROR(__xludf.DUMMYFUNCTION("""COMPUTED_VALUE"""),1567053.0)</f>
        <v>1567053</v>
      </c>
      <c r="F3106" s="2">
        <f>IFERROR(__xludf.DUMMYFUNCTION("""COMPUTED_VALUE"""),5346150.0)</f>
        <v>5346150</v>
      </c>
      <c r="G3106" s="2">
        <f>IFERROR(__xludf.DUMMYFUNCTION("""COMPUTED_VALUE"""),76.2192)</f>
        <v>76.2192</v>
      </c>
    </row>
    <row r="3107">
      <c r="A3107" s="1" t="s">
        <v>3106</v>
      </c>
      <c r="D3107" s="3">
        <f>IFERROR(__xludf.DUMMYFUNCTION("SPLIT(A3107, ""|"")"),42947.0)</f>
        <v>42947</v>
      </c>
      <c r="E3107" s="2">
        <f>IFERROR(__xludf.DUMMYFUNCTION("""COMPUTED_VALUE"""),1387023.0)</f>
        <v>1387023</v>
      </c>
      <c r="F3107" s="2">
        <f>IFERROR(__xludf.DUMMYFUNCTION("""COMPUTED_VALUE"""),3685945.0)</f>
        <v>3685945</v>
      </c>
      <c r="G3107" s="2">
        <f>IFERROR(__xludf.DUMMYFUNCTION("""COMPUTED_VALUE"""),9.8334)</f>
        <v>9.8334</v>
      </c>
    </row>
    <row r="3108">
      <c r="A3108" s="1" t="s">
        <v>3107</v>
      </c>
      <c r="D3108" s="3">
        <f>IFERROR(__xludf.DUMMYFUNCTION("SPLIT(A3108, ""|"")"),42947.0)</f>
        <v>42947</v>
      </c>
      <c r="E3108" s="2">
        <f>IFERROR(__xludf.DUMMYFUNCTION("""COMPUTED_VALUE"""),1386543.0)</f>
        <v>1386543</v>
      </c>
      <c r="F3108" s="2">
        <f>IFERROR(__xludf.DUMMYFUNCTION("""COMPUTED_VALUE"""),3683931.0)</f>
        <v>3683931</v>
      </c>
      <c r="G3108" s="2">
        <f>IFERROR(__xludf.DUMMYFUNCTION("""COMPUTED_VALUE"""),19.7141999999999)</f>
        <v>19.7142</v>
      </c>
    </row>
    <row r="3109">
      <c r="A3109" s="1" t="s">
        <v>3108</v>
      </c>
      <c r="D3109" s="3">
        <f>IFERROR(__xludf.DUMMYFUNCTION("SPLIT(A3109, ""|"")"),42947.0)</f>
        <v>42947</v>
      </c>
      <c r="E3109" s="2">
        <f>IFERROR(__xludf.DUMMYFUNCTION("""COMPUTED_VALUE"""),1155453.0)</f>
        <v>1155453</v>
      </c>
      <c r="F3109" s="2">
        <f>IFERROR(__xludf.DUMMYFUNCTION("""COMPUTED_VALUE"""),3684888.0)</f>
        <v>3684888</v>
      </c>
      <c r="G3109" s="2">
        <f>IFERROR(__xludf.DUMMYFUNCTION("""COMPUTED_VALUE"""),37.45)</f>
        <v>37.45</v>
      </c>
    </row>
    <row r="3110">
      <c r="A3110" s="1" t="s">
        <v>3109</v>
      </c>
      <c r="D3110" s="3">
        <f>IFERROR(__xludf.DUMMYFUNCTION("SPLIT(A3110, ""|"")"),42947.0)</f>
        <v>42947</v>
      </c>
      <c r="E3110" s="2">
        <f>IFERROR(__xludf.DUMMYFUNCTION("""COMPUTED_VALUE"""),391113.0)</f>
        <v>391113</v>
      </c>
      <c r="F3110" s="2">
        <f>IFERROR(__xludf.DUMMYFUNCTION("""COMPUTED_VALUE"""),3683740.0)</f>
        <v>3683740</v>
      </c>
      <c r="G3110" s="2">
        <f>IFERROR(__xludf.DUMMYFUNCTION("""COMPUTED_VALUE"""),47.9068)</f>
        <v>47.9068</v>
      </c>
    </row>
    <row r="3111">
      <c r="A3111" s="1" t="s">
        <v>3110</v>
      </c>
      <c r="D3111" s="3">
        <f>IFERROR(__xludf.DUMMYFUNCTION("SPLIT(A3111, ""|"")"),43203.0)</f>
        <v>43203</v>
      </c>
      <c r="E3111" s="2">
        <f>IFERROR(__xludf.DUMMYFUNCTION("""COMPUTED_VALUE"""),1572843.0)</f>
        <v>1572843</v>
      </c>
      <c r="F3111" s="2">
        <f>IFERROR(__xludf.DUMMYFUNCTION("""COMPUTED_VALUE"""),4385866.0)</f>
        <v>4385866</v>
      </c>
      <c r="G3111" s="2">
        <f>IFERROR(__xludf.DUMMYFUNCTION("""COMPUTED_VALUE"""),35.2787)</f>
        <v>35.2787</v>
      </c>
    </row>
    <row r="3112">
      <c r="A3112" s="1" t="s">
        <v>3111</v>
      </c>
      <c r="D3112" s="3">
        <f>IFERROR(__xludf.DUMMYFUNCTION("SPLIT(A3112, ""|"")"),43203.0)</f>
        <v>43203</v>
      </c>
      <c r="E3112" s="2">
        <f>IFERROR(__xludf.DUMMYFUNCTION("""COMPUTED_VALUE"""),1544463.0)</f>
        <v>1544463</v>
      </c>
      <c r="F3112" s="2">
        <f>IFERROR(__xludf.DUMMYFUNCTION("""COMPUTED_VALUE"""),4385448.0)</f>
        <v>4385448</v>
      </c>
      <c r="G3112" s="2">
        <f>IFERROR(__xludf.DUMMYFUNCTION("""COMPUTED_VALUE"""),32.6332)</f>
        <v>32.6332</v>
      </c>
    </row>
    <row r="3113">
      <c r="A3113" s="1" t="s">
        <v>3112</v>
      </c>
      <c r="D3113" s="3">
        <f>IFERROR(__xludf.DUMMYFUNCTION("SPLIT(A3113, ""|"")"),43203.0)</f>
        <v>43203</v>
      </c>
      <c r="E3113" s="2">
        <f>IFERROR(__xludf.DUMMYFUNCTION("""COMPUTED_VALUE"""),235353.0)</f>
        <v>235353</v>
      </c>
      <c r="F3113" s="2">
        <f>IFERROR(__xludf.DUMMYFUNCTION("""COMPUTED_VALUE"""),4384832.0)</f>
        <v>4384832</v>
      </c>
      <c r="G3113" s="2">
        <f>IFERROR(__xludf.DUMMYFUNCTION("""COMPUTED_VALUE"""),19.1334)</f>
        <v>19.1334</v>
      </c>
    </row>
    <row r="3114">
      <c r="A3114" s="1" t="s">
        <v>3113</v>
      </c>
      <c r="D3114" s="3">
        <f>IFERROR(__xludf.DUMMYFUNCTION("SPLIT(A3114, ""|"")"),43459.0)</f>
        <v>43459</v>
      </c>
      <c r="E3114" s="2">
        <f>IFERROR(__xludf.DUMMYFUNCTION("""COMPUTED_VALUE"""),1817073.0)</f>
        <v>1817073</v>
      </c>
      <c r="F3114" s="2">
        <f>IFERROR(__xludf.DUMMYFUNCTION("""COMPUTED_VALUE"""),5347333.0)</f>
        <v>5347333</v>
      </c>
      <c r="G3114" s="2">
        <f>IFERROR(__xludf.DUMMYFUNCTION("""COMPUTED_VALUE"""),43.4387)</f>
        <v>43.4387</v>
      </c>
    </row>
    <row r="3115">
      <c r="A3115" s="1" t="s">
        <v>3114</v>
      </c>
      <c r="D3115" s="3">
        <f>IFERROR(__xludf.DUMMYFUNCTION("SPLIT(A3115, ""|"")"),43459.0)</f>
        <v>43459</v>
      </c>
      <c r="E3115" s="2">
        <f>IFERROR(__xludf.DUMMYFUNCTION("""COMPUTED_VALUE"""),1407333.0)</f>
        <v>1407333</v>
      </c>
      <c r="F3115" s="2">
        <f>IFERROR(__xludf.DUMMYFUNCTION("""COMPUTED_VALUE"""),5346784.0)</f>
        <v>5346784</v>
      </c>
      <c r="G3115" s="2">
        <f>IFERROR(__xludf.DUMMYFUNCTION("""COMPUTED_VALUE"""),69.9774)</f>
        <v>69.9774</v>
      </c>
    </row>
    <row r="3116">
      <c r="A3116" s="1" t="s">
        <v>3115</v>
      </c>
      <c r="D3116" s="3">
        <f>IFERROR(__xludf.DUMMYFUNCTION("SPLIT(A3116, ""|"")"),42948.0)</f>
        <v>42948</v>
      </c>
      <c r="E3116" s="2">
        <f>IFERROR(__xludf.DUMMYFUNCTION("""COMPUTED_VALUE"""),1270233.0)</f>
        <v>1270233</v>
      </c>
      <c r="F3116" s="2">
        <f>IFERROR(__xludf.DUMMYFUNCTION("""COMPUTED_VALUE"""),3687249.0)</f>
        <v>3687249</v>
      </c>
      <c r="G3116" s="2">
        <f>IFERROR(__xludf.DUMMYFUNCTION("""COMPUTED_VALUE"""),36.0542)</f>
        <v>36.0542</v>
      </c>
    </row>
    <row r="3117">
      <c r="A3117" s="1" t="s">
        <v>3116</v>
      </c>
      <c r="D3117" s="3">
        <f>IFERROR(__xludf.DUMMYFUNCTION("SPLIT(A3117, ""|"")"),42948.0)</f>
        <v>42948</v>
      </c>
      <c r="E3117" s="2">
        <f>IFERROR(__xludf.DUMMYFUNCTION("""COMPUTED_VALUE"""),1387113.0)</f>
        <v>1387113</v>
      </c>
      <c r="F3117" s="2">
        <f>IFERROR(__xludf.DUMMYFUNCTION("""COMPUTED_VALUE"""),3686414.0)</f>
        <v>3686414</v>
      </c>
      <c r="G3117" s="2">
        <f>IFERROR(__xludf.DUMMYFUNCTION("""COMPUTED_VALUE"""),56.7544)</f>
        <v>56.7544</v>
      </c>
    </row>
    <row r="3118">
      <c r="A3118" s="1" t="s">
        <v>3117</v>
      </c>
      <c r="D3118" s="3">
        <f>IFERROR(__xludf.DUMMYFUNCTION("SPLIT(A3118, ""|"")"),42948.0)</f>
        <v>42948</v>
      </c>
      <c r="E3118" s="2">
        <f>IFERROR(__xludf.DUMMYFUNCTION("""COMPUTED_VALUE"""),1384563.0)</f>
        <v>1384563</v>
      </c>
      <c r="F3118" s="2">
        <f>IFERROR(__xludf.DUMMYFUNCTION("""COMPUTED_VALUE"""),3687655.0)</f>
        <v>3687655</v>
      </c>
      <c r="G3118" s="2">
        <f>IFERROR(__xludf.DUMMYFUNCTION("""COMPUTED_VALUE"""),48.5167)</f>
        <v>48.5167</v>
      </c>
    </row>
    <row r="3119">
      <c r="A3119" s="1" t="s">
        <v>3118</v>
      </c>
      <c r="D3119" s="3">
        <f>IFERROR(__xludf.DUMMYFUNCTION("SPLIT(A3119, ""|"")"),42948.0)</f>
        <v>42948</v>
      </c>
      <c r="E3119" s="2">
        <f>IFERROR(__xludf.DUMMYFUNCTION("""COMPUTED_VALUE"""),1209063.0)</f>
        <v>1209063</v>
      </c>
      <c r="F3119" s="2">
        <f>IFERROR(__xludf.DUMMYFUNCTION("""COMPUTED_VALUE"""),3687124.0)</f>
        <v>3687124</v>
      </c>
      <c r="G3119" s="2">
        <f>IFERROR(__xludf.DUMMYFUNCTION("""COMPUTED_VALUE"""),106.509899999999)</f>
        <v>106.5099</v>
      </c>
    </row>
    <row r="3120">
      <c r="A3120" s="1" t="s">
        <v>3119</v>
      </c>
      <c r="D3120" s="3">
        <f>IFERROR(__xludf.DUMMYFUNCTION("SPLIT(A3120, ""|"")"),42948.0)</f>
        <v>42948</v>
      </c>
      <c r="E3120" s="2">
        <f>IFERROR(__xludf.DUMMYFUNCTION("""COMPUTED_VALUE"""),391113.0)</f>
        <v>391113</v>
      </c>
      <c r="F3120" s="2">
        <f>IFERROR(__xludf.DUMMYFUNCTION("""COMPUTED_VALUE"""),3687115.0)</f>
        <v>3687115</v>
      </c>
      <c r="G3120" s="2">
        <f>IFERROR(__xludf.DUMMYFUNCTION("""COMPUTED_VALUE"""),55.1059999999999)</f>
        <v>55.106</v>
      </c>
    </row>
    <row r="3121">
      <c r="A3121" s="1" t="s">
        <v>3120</v>
      </c>
      <c r="D3121" s="3">
        <f>IFERROR(__xludf.DUMMYFUNCTION("SPLIT(A3121, ""|"")"),42948.0)</f>
        <v>42948</v>
      </c>
      <c r="E3121" s="2">
        <f>IFERROR(__xludf.DUMMYFUNCTION("""COMPUTED_VALUE"""),1378683.0)</f>
        <v>1378683</v>
      </c>
      <c r="F3121" s="2">
        <f>IFERROR(__xludf.DUMMYFUNCTION("""COMPUTED_VALUE"""),3686741.0)</f>
        <v>3686741</v>
      </c>
      <c r="G3121" s="2">
        <f>IFERROR(__xludf.DUMMYFUNCTION("""COMPUTED_VALUE"""),95.1886)</f>
        <v>95.1886</v>
      </c>
    </row>
    <row r="3122">
      <c r="A3122" s="1" t="s">
        <v>3121</v>
      </c>
      <c r="D3122" s="3">
        <f>IFERROR(__xludf.DUMMYFUNCTION("SPLIT(A3122, ""|"")"),43204.0)</f>
        <v>43204</v>
      </c>
      <c r="E3122" s="2">
        <f>IFERROR(__xludf.DUMMYFUNCTION("""COMPUTED_VALUE"""),1573173.0)</f>
        <v>1573173</v>
      </c>
      <c r="F3122" s="2">
        <f>IFERROR(__xludf.DUMMYFUNCTION("""COMPUTED_VALUE"""),4386958.0)</f>
        <v>4386958</v>
      </c>
      <c r="G3122" s="2">
        <f>IFERROR(__xludf.DUMMYFUNCTION("""COMPUTED_VALUE"""),46.9506)</f>
        <v>46.9506</v>
      </c>
    </row>
    <row r="3123">
      <c r="A3123" s="1" t="s">
        <v>3122</v>
      </c>
      <c r="D3123" s="3">
        <f>IFERROR(__xludf.DUMMYFUNCTION("SPLIT(A3123, ""|"")"),43204.0)</f>
        <v>43204</v>
      </c>
      <c r="E3123" s="2">
        <f>IFERROR(__xludf.DUMMYFUNCTION("""COMPUTED_VALUE"""),1573503.0)</f>
        <v>1573503</v>
      </c>
      <c r="F3123" s="2">
        <f>IFERROR(__xludf.DUMMYFUNCTION("""COMPUTED_VALUE"""),4388113.0)</f>
        <v>4388113</v>
      </c>
      <c r="G3123" s="2">
        <f>IFERROR(__xludf.DUMMYFUNCTION("""COMPUTED_VALUE"""),66.3411)</f>
        <v>66.3411</v>
      </c>
    </row>
    <row r="3124">
      <c r="A3124" s="1" t="s">
        <v>3123</v>
      </c>
      <c r="D3124" s="3">
        <f>IFERROR(__xludf.DUMMYFUNCTION("SPLIT(A3124, ""|"")"),43204.0)</f>
        <v>43204</v>
      </c>
      <c r="E3124" s="2">
        <f>IFERROR(__xludf.DUMMYFUNCTION("""COMPUTED_VALUE"""),1372173.0)</f>
        <v>1372173</v>
      </c>
      <c r="F3124" s="2">
        <f>IFERROR(__xludf.DUMMYFUNCTION("""COMPUTED_VALUE"""),4388020.0)</f>
        <v>4388020</v>
      </c>
      <c r="G3124" s="2">
        <f>IFERROR(__xludf.DUMMYFUNCTION("""COMPUTED_VALUE"""),105.3904)</f>
        <v>105.3904</v>
      </c>
    </row>
    <row r="3125">
      <c r="A3125" s="1" t="s">
        <v>3124</v>
      </c>
      <c r="D3125" s="3">
        <f>IFERROR(__xludf.DUMMYFUNCTION("SPLIT(A3125, ""|"")"),43204.0)</f>
        <v>43204</v>
      </c>
      <c r="E3125" s="2">
        <f>IFERROR(__xludf.DUMMYFUNCTION("""COMPUTED_VALUE"""),334263.0)</f>
        <v>334263</v>
      </c>
      <c r="F3125" s="2">
        <f>IFERROR(__xludf.DUMMYFUNCTION("""COMPUTED_VALUE"""),4388240.0)</f>
        <v>4388240</v>
      </c>
      <c r="G3125" s="2">
        <f>IFERROR(__xludf.DUMMYFUNCTION("""COMPUTED_VALUE"""),106.5151)</f>
        <v>106.5151</v>
      </c>
    </row>
    <row r="3126">
      <c r="A3126" s="1" t="s">
        <v>3125</v>
      </c>
      <c r="D3126" s="3">
        <f>IFERROR(__xludf.DUMMYFUNCTION("SPLIT(A3126, ""|"")"),43204.0)</f>
        <v>43204</v>
      </c>
      <c r="E3126" s="2">
        <f>IFERROR(__xludf.DUMMYFUNCTION("""COMPUTED_VALUE"""),1573383.0)</f>
        <v>1573383</v>
      </c>
      <c r="F3126" s="2">
        <f>IFERROR(__xludf.DUMMYFUNCTION("""COMPUTED_VALUE"""),4387705.0)</f>
        <v>4387705</v>
      </c>
      <c r="G3126" s="2">
        <f>IFERROR(__xludf.DUMMYFUNCTION("""COMPUTED_VALUE"""),41.1667)</f>
        <v>41.1667</v>
      </c>
    </row>
    <row r="3127">
      <c r="A3127" s="1" t="s">
        <v>3126</v>
      </c>
      <c r="D3127" s="3">
        <f>IFERROR(__xludf.DUMMYFUNCTION("SPLIT(A3127, ""|"")"),43204.0)</f>
        <v>43204</v>
      </c>
      <c r="E3127" s="2">
        <f>IFERROR(__xludf.DUMMYFUNCTION("""COMPUTED_VALUE"""),1437663.0)</f>
        <v>1437663</v>
      </c>
      <c r="F3127" s="2">
        <f>IFERROR(__xludf.DUMMYFUNCTION("""COMPUTED_VALUE"""),4387216.0)</f>
        <v>4387216</v>
      </c>
      <c r="G3127" s="2">
        <f>IFERROR(__xludf.DUMMYFUNCTION("""COMPUTED_VALUE"""),80.6271)</f>
        <v>80.6271</v>
      </c>
    </row>
    <row r="3128">
      <c r="A3128" s="1" t="s">
        <v>3127</v>
      </c>
      <c r="D3128" s="3">
        <f>IFERROR(__xludf.DUMMYFUNCTION("SPLIT(A3128, ""|"")"),43460.0)</f>
        <v>43460</v>
      </c>
      <c r="E3128" s="2">
        <f>IFERROR(__xludf.DUMMYFUNCTION("""COMPUTED_VALUE"""),1690593.0)</f>
        <v>1690593</v>
      </c>
      <c r="F3128" s="2">
        <f>IFERROR(__xludf.DUMMYFUNCTION("""COMPUTED_VALUE"""),5348109.0)</f>
        <v>5348109</v>
      </c>
      <c r="G3128" s="2">
        <f>IFERROR(__xludf.DUMMYFUNCTION("""COMPUTED_VALUE"""),67.8920999999999)</f>
        <v>67.8921</v>
      </c>
    </row>
    <row r="3129">
      <c r="A3129" s="1" t="s">
        <v>3128</v>
      </c>
      <c r="D3129" s="3">
        <f>IFERROR(__xludf.DUMMYFUNCTION("SPLIT(A3129, ""|"")"),43460.0)</f>
        <v>43460</v>
      </c>
      <c r="E3129" s="2">
        <f>IFERROR(__xludf.DUMMYFUNCTION("""COMPUTED_VALUE"""),423153.0)</f>
        <v>423153</v>
      </c>
      <c r="F3129" s="2">
        <f>IFERROR(__xludf.DUMMYFUNCTION("""COMPUTED_VALUE"""),5348555.0)</f>
        <v>5348555</v>
      </c>
      <c r="G3129" s="2">
        <f>IFERROR(__xludf.DUMMYFUNCTION("""COMPUTED_VALUE"""),120.505499999999)</f>
        <v>120.5055</v>
      </c>
    </row>
    <row r="3130">
      <c r="A3130" s="1" t="s">
        <v>3129</v>
      </c>
      <c r="D3130" s="3">
        <f>IFERROR(__xludf.DUMMYFUNCTION("SPLIT(A3130, ""|"")"),43460.0)</f>
        <v>43460</v>
      </c>
      <c r="E3130" s="2">
        <f>IFERROR(__xludf.DUMMYFUNCTION("""COMPUTED_VALUE"""),361563.0)</f>
        <v>361563</v>
      </c>
      <c r="F3130" s="2">
        <f>IFERROR(__xludf.DUMMYFUNCTION("""COMPUTED_VALUE"""),5348381.0)</f>
        <v>5348381</v>
      </c>
      <c r="G3130" s="2">
        <f>IFERROR(__xludf.DUMMYFUNCTION("""COMPUTED_VALUE"""),22.9668)</f>
        <v>22.9668</v>
      </c>
    </row>
    <row r="3131">
      <c r="A3131" s="1" t="s">
        <v>3130</v>
      </c>
      <c r="D3131" s="3">
        <f>IFERROR(__xludf.DUMMYFUNCTION("SPLIT(A3131, ""|"")"),43460.0)</f>
        <v>43460</v>
      </c>
      <c r="E3131" s="2">
        <f>IFERROR(__xludf.DUMMYFUNCTION("""COMPUTED_VALUE"""),1428633.0)</f>
        <v>1428633</v>
      </c>
      <c r="F3131" s="2">
        <f>IFERROR(__xludf.DUMMYFUNCTION("""COMPUTED_VALUE"""),5349351.0)</f>
        <v>5349351</v>
      </c>
      <c r="G3131" s="2">
        <f>IFERROR(__xludf.DUMMYFUNCTION("""COMPUTED_VALUE"""),175.8772)</f>
        <v>175.8772</v>
      </c>
    </row>
    <row r="3132">
      <c r="A3132" s="1" t="s">
        <v>3131</v>
      </c>
      <c r="D3132" s="3">
        <f>IFERROR(__xludf.DUMMYFUNCTION("SPLIT(A3132, ""|"")"),43460.0)</f>
        <v>43460</v>
      </c>
      <c r="E3132" s="2">
        <f>IFERROR(__xludf.DUMMYFUNCTION("""COMPUTED_VALUE"""),1712253.0)</f>
        <v>1712253</v>
      </c>
      <c r="F3132" s="2">
        <f>IFERROR(__xludf.DUMMYFUNCTION("""COMPUTED_VALUE"""),5347558.0)</f>
        <v>5347558</v>
      </c>
      <c r="G3132" s="2">
        <f>IFERROR(__xludf.DUMMYFUNCTION("""COMPUTED_VALUE"""),110.3711)</f>
        <v>110.3711</v>
      </c>
    </row>
    <row r="3133">
      <c r="A3133" s="1" t="s">
        <v>3132</v>
      </c>
      <c r="D3133" s="3">
        <f>IFERROR(__xludf.DUMMYFUNCTION("SPLIT(A3133, ""|"")"),43460.0)</f>
        <v>43460</v>
      </c>
      <c r="E3133" s="2">
        <f>IFERROR(__xludf.DUMMYFUNCTION("""COMPUTED_VALUE"""),217743.0)</f>
        <v>217743</v>
      </c>
      <c r="F3133" s="2">
        <f>IFERROR(__xludf.DUMMYFUNCTION("""COMPUTED_VALUE"""),5347821.0)</f>
        <v>5347821</v>
      </c>
      <c r="G3133" s="2">
        <f>IFERROR(__xludf.DUMMYFUNCTION("""COMPUTED_VALUE"""),95.1965)</f>
        <v>95.1965</v>
      </c>
    </row>
    <row r="3134">
      <c r="A3134" s="1" t="s">
        <v>3133</v>
      </c>
      <c r="D3134" s="3">
        <f>IFERROR(__xludf.DUMMYFUNCTION("SPLIT(A3134, ""|"")"),42949.0)</f>
        <v>42949</v>
      </c>
      <c r="E3134" s="2">
        <f>IFERROR(__xludf.DUMMYFUNCTION("""COMPUTED_VALUE"""),1388133.0)</f>
        <v>1388133</v>
      </c>
      <c r="F3134" s="2">
        <f>IFERROR(__xludf.DUMMYFUNCTION("""COMPUTED_VALUE"""),3690735.0)</f>
        <v>3690735</v>
      </c>
      <c r="G3134" s="2">
        <f>IFERROR(__xludf.DUMMYFUNCTION("""COMPUTED_VALUE"""),20.9908)</f>
        <v>20.9908</v>
      </c>
    </row>
    <row r="3135">
      <c r="A3135" s="1" t="s">
        <v>3134</v>
      </c>
      <c r="D3135" s="3">
        <f>IFERROR(__xludf.DUMMYFUNCTION("SPLIT(A3135, ""|"")"),42949.0)</f>
        <v>42949</v>
      </c>
      <c r="E3135" s="2">
        <f>IFERROR(__xludf.DUMMYFUNCTION("""COMPUTED_VALUE"""),1341843.0)</f>
        <v>1341843</v>
      </c>
      <c r="F3135" s="2">
        <f>IFERROR(__xludf.DUMMYFUNCTION("""COMPUTED_VALUE"""),3689914.0)</f>
        <v>3689914</v>
      </c>
      <c r="G3135" s="2">
        <f>IFERROR(__xludf.DUMMYFUNCTION("""COMPUTED_VALUE"""),81.0107)</f>
        <v>81.0107</v>
      </c>
    </row>
    <row r="3136">
      <c r="A3136" s="1" t="s">
        <v>3135</v>
      </c>
      <c r="D3136" s="3">
        <f>IFERROR(__xludf.DUMMYFUNCTION("SPLIT(A3136, ""|"")"),42949.0)</f>
        <v>42949</v>
      </c>
      <c r="E3136" s="2">
        <f>IFERROR(__xludf.DUMMYFUNCTION("""COMPUTED_VALUE"""),1387623.0)</f>
        <v>1387623</v>
      </c>
      <c r="F3136" s="2">
        <f>IFERROR(__xludf.DUMMYFUNCTION("""COMPUTED_VALUE"""),3688596.0)</f>
        <v>3688596</v>
      </c>
      <c r="G3136" s="2">
        <f>IFERROR(__xludf.DUMMYFUNCTION("""COMPUTED_VALUE"""),84.7855999999999)</f>
        <v>84.7856</v>
      </c>
    </row>
    <row r="3137">
      <c r="A3137" s="1" t="s">
        <v>3136</v>
      </c>
      <c r="D3137" s="3">
        <f>IFERROR(__xludf.DUMMYFUNCTION("SPLIT(A3137, ""|"")"),42949.0)</f>
        <v>42949</v>
      </c>
      <c r="E3137" s="2">
        <f>IFERROR(__xludf.DUMMYFUNCTION("""COMPUTED_VALUE"""),1387833.0)</f>
        <v>1387833</v>
      </c>
      <c r="F3137" s="2">
        <f>IFERROR(__xludf.DUMMYFUNCTION("""COMPUTED_VALUE"""),3689516.0)</f>
        <v>3689516</v>
      </c>
      <c r="G3137" s="2">
        <f>IFERROR(__xludf.DUMMYFUNCTION("""COMPUTED_VALUE"""),67.1458)</f>
        <v>67.1458</v>
      </c>
    </row>
    <row r="3138">
      <c r="A3138" s="1" t="s">
        <v>3137</v>
      </c>
      <c r="D3138" s="3">
        <f>IFERROR(__xludf.DUMMYFUNCTION("SPLIT(A3138, ""|"")"),42949.0)</f>
        <v>42949</v>
      </c>
      <c r="E3138" s="2">
        <f>IFERROR(__xludf.DUMMYFUNCTION("""COMPUTED_VALUE"""),1326993.0)</f>
        <v>1326993</v>
      </c>
      <c r="F3138" s="2">
        <f>IFERROR(__xludf.DUMMYFUNCTION("""COMPUTED_VALUE"""),3690157.0)</f>
        <v>3690157</v>
      </c>
      <c r="G3138" s="2">
        <f>IFERROR(__xludf.DUMMYFUNCTION("""COMPUTED_VALUE"""),86.5277)</f>
        <v>86.5277</v>
      </c>
    </row>
    <row r="3139">
      <c r="A3139" s="1" t="s">
        <v>3138</v>
      </c>
      <c r="D3139" s="3">
        <f>IFERROR(__xludf.DUMMYFUNCTION("SPLIT(A3139, ""|"")"),42949.0)</f>
        <v>42949</v>
      </c>
      <c r="E3139" s="2">
        <f>IFERROR(__xludf.DUMMYFUNCTION("""COMPUTED_VALUE"""),1387683.0)</f>
        <v>1387683</v>
      </c>
      <c r="F3139" s="2">
        <f>IFERROR(__xludf.DUMMYFUNCTION("""COMPUTED_VALUE"""),3688859.0)</f>
        <v>3688859</v>
      </c>
      <c r="G3139" s="2">
        <f>IFERROR(__xludf.DUMMYFUNCTION("""COMPUTED_VALUE"""),48.7757)</f>
        <v>48.7757</v>
      </c>
    </row>
    <row r="3140">
      <c r="A3140" s="1" t="s">
        <v>3139</v>
      </c>
      <c r="D3140" s="3">
        <f>IFERROR(__xludf.DUMMYFUNCTION("SPLIT(A3140, ""|"")"),43205.0)</f>
        <v>43205</v>
      </c>
      <c r="E3140" s="2">
        <f>IFERROR(__xludf.DUMMYFUNCTION("""COMPUTED_VALUE"""),1061973.0)</f>
        <v>1061973</v>
      </c>
      <c r="F3140" s="2">
        <f>IFERROR(__xludf.DUMMYFUNCTION("""COMPUTED_VALUE"""),4390891.0)</f>
        <v>4390891</v>
      </c>
      <c r="G3140" s="2">
        <f>IFERROR(__xludf.DUMMYFUNCTION("""COMPUTED_VALUE"""),70.9749)</f>
        <v>70.9749</v>
      </c>
    </row>
    <row r="3141">
      <c r="A3141" s="1" t="s">
        <v>3140</v>
      </c>
      <c r="D3141" s="3">
        <f>IFERROR(__xludf.DUMMYFUNCTION("SPLIT(A3141, ""|"")"),43205.0)</f>
        <v>43205</v>
      </c>
      <c r="E3141" s="2">
        <f>IFERROR(__xludf.DUMMYFUNCTION("""COMPUTED_VALUE"""),1307373.0)</f>
        <v>1307373</v>
      </c>
      <c r="F3141" s="2">
        <f>IFERROR(__xludf.DUMMYFUNCTION("""COMPUTED_VALUE"""),4389214.0)</f>
        <v>4389214</v>
      </c>
      <c r="G3141" s="2">
        <f>IFERROR(__xludf.DUMMYFUNCTION("""COMPUTED_VALUE"""),90.5566999999999)</f>
        <v>90.5567</v>
      </c>
    </row>
    <row r="3142">
      <c r="A3142" s="1" t="s">
        <v>3141</v>
      </c>
      <c r="D3142" s="3">
        <f>IFERROR(__xludf.DUMMYFUNCTION("SPLIT(A3142, ""|"")"),43205.0)</f>
        <v>43205</v>
      </c>
      <c r="E3142" s="2">
        <f>IFERROR(__xludf.DUMMYFUNCTION("""COMPUTED_VALUE"""),1495473.0)</f>
        <v>1495473</v>
      </c>
      <c r="F3142" s="2">
        <f>IFERROR(__xludf.DUMMYFUNCTION("""COMPUTED_VALUE"""),4389234.0)</f>
        <v>4389234</v>
      </c>
      <c r="G3142" s="2">
        <f>IFERROR(__xludf.DUMMYFUNCTION("""COMPUTED_VALUE"""),69.2531)</f>
        <v>69.2531</v>
      </c>
    </row>
    <row r="3143">
      <c r="A3143" s="1" t="s">
        <v>3142</v>
      </c>
      <c r="D3143" s="3">
        <f>IFERROR(__xludf.DUMMYFUNCTION("SPLIT(A3143, ""|"")"),43205.0)</f>
        <v>43205</v>
      </c>
      <c r="E3143" s="2">
        <f>IFERROR(__xludf.DUMMYFUNCTION("""COMPUTED_VALUE"""),1156593.0)</f>
        <v>1156593</v>
      </c>
      <c r="F3143" s="2">
        <f>IFERROR(__xludf.DUMMYFUNCTION("""COMPUTED_VALUE"""),4388446.0)</f>
        <v>4388446</v>
      </c>
      <c r="G3143" s="2">
        <f>IFERROR(__xludf.DUMMYFUNCTION("""COMPUTED_VALUE"""),65.7886)</f>
        <v>65.7886</v>
      </c>
    </row>
    <row r="3144">
      <c r="A3144" s="1" t="s">
        <v>3143</v>
      </c>
      <c r="D3144" s="3">
        <f>IFERROR(__xludf.DUMMYFUNCTION("SPLIT(A3144, ""|"")"),43205.0)</f>
        <v>43205</v>
      </c>
      <c r="E3144" s="2">
        <f>IFERROR(__xludf.DUMMYFUNCTION("""COMPUTED_VALUE"""),1344573.0)</f>
        <v>1344573</v>
      </c>
      <c r="F3144" s="2">
        <f>IFERROR(__xludf.DUMMYFUNCTION("""COMPUTED_VALUE"""),4389928.0)</f>
        <v>4389928</v>
      </c>
      <c r="G3144" s="2">
        <f>IFERROR(__xludf.DUMMYFUNCTION("""COMPUTED_VALUE"""),71.8181)</f>
        <v>71.8181</v>
      </c>
    </row>
    <row r="3145">
      <c r="A3145" s="1" t="s">
        <v>3144</v>
      </c>
      <c r="D3145" s="3">
        <f>IFERROR(__xludf.DUMMYFUNCTION("SPLIT(A3145, ""|"")"),43205.0)</f>
        <v>43205</v>
      </c>
      <c r="E3145" s="2">
        <f>IFERROR(__xludf.DUMMYFUNCTION("""COMPUTED_VALUE"""),1224573.0)</f>
        <v>1224573</v>
      </c>
      <c r="F3145" s="2">
        <f>IFERROR(__xludf.DUMMYFUNCTION("""COMPUTED_VALUE"""),4390388.0)</f>
        <v>4390388</v>
      </c>
      <c r="G3145" s="2">
        <f>IFERROR(__xludf.DUMMYFUNCTION("""COMPUTED_VALUE"""),26.1137)</f>
        <v>26.1137</v>
      </c>
    </row>
    <row r="3146">
      <c r="A3146" s="1" t="s">
        <v>3145</v>
      </c>
      <c r="D3146" s="3">
        <f>IFERROR(__xludf.DUMMYFUNCTION("SPLIT(A3146, ""|"")"),43205.0)</f>
        <v>43205</v>
      </c>
      <c r="E3146" s="2">
        <f>IFERROR(__xludf.DUMMYFUNCTION("""COMPUTED_VALUE"""),1435293.0)</f>
        <v>1435293</v>
      </c>
      <c r="F3146" s="2">
        <f>IFERROR(__xludf.DUMMYFUNCTION("""COMPUTED_VALUE"""),4389876.0)</f>
        <v>4389876</v>
      </c>
      <c r="G3146" s="2">
        <f>IFERROR(__xludf.DUMMYFUNCTION("""COMPUTED_VALUE"""),109.5735)</f>
        <v>109.5735</v>
      </c>
    </row>
    <row r="3147">
      <c r="A3147" s="1" t="s">
        <v>3146</v>
      </c>
      <c r="D3147" s="3">
        <f>IFERROR(__xludf.DUMMYFUNCTION("SPLIT(A3147, ""|"")"),43205.0)</f>
        <v>43205</v>
      </c>
      <c r="E3147" s="2">
        <f>IFERROR(__xludf.DUMMYFUNCTION("""COMPUTED_VALUE"""),1125543.0)</f>
        <v>1125543</v>
      </c>
      <c r="F3147" s="2">
        <f>IFERROR(__xludf.DUMMYFUNCTION("""COMPUTED_VALUE"""),4388401.0)</f>
        <v>4388401</v>
      </c>
      <c r="G3147" s="2">
        <f>IFERROR(__xludf.DUMMYFUNCTION("""COMPUTED_VALUE"""),27.3938)</f>
        <v>27.3938</v>
      </c>
    </row>
    <row r="3148">
      <c r="A3148" s="1" t="s">
        <v>3147</v>
      </c>
      <c r="D3148" s="3">
        <f>IFERROR(__xludf.DUMMYFUNCTION("SPLIT(A3148, ""|"")"),43461.0)</f>
        <v>43461</v>
      </c>
      <c r="E3148" s="2">
        <f>IFERROR(__xludf.DUMMYFUNCTION("""COMPUTED_VALUE"""),1819503.0)</f>
        <v>1819503</v>
      </c>
      <c r="F3148" s="2">
        <f>IFERROR(__xludf.DUMMYFUNCTION("""COMPUTED_VALUE"""),5349753.0)</f>
        <v>5349753</v>
      </c>
      <c r="G3148" s="2">
        <f>IFERROR(__xludf.DUMMYFUNCTION("""COMPUTED_VALUE"""),71.55)</f>
        <v>71.55</v>
      </c>
    </row>
    <row r="3149">
      <c r="A3149" s="1" t="s">
        <v>3148</v>
      </c>
      <c r="D3149" s="3">
        <f>IFERROR(__xludf.DUMMYFUNCTION("SPLIT(A3149, ""|"")"),42950.0)</f>
        <v>42950</v>
      </c>
      <c r="E3149" s="2">
        <f>IFERROR(__xludf.DUMMYFUNCTION("""COMPUTED_VALUE"""),1245363.0)</f>
        <v>1245363</v>
      </c>
      <c r="F3149" s="2">
        <f>IFERROR(__xludf.DUMMYFUNCTION("""COMPUTED_VALUE"""),3692550.0)</f>
        <v>3692550</v>
      </c>
      <c r="G3149" s="2">
        <f>IFERROR(__xludf.DUMMYFUNCTION("""COMPUTED_VALUE"""),104.8018)</f>
        <v>104.8018</v>
      </c>
    </row>
    <row r="3150">
      <c r="A3150" s="1" t="s">
        <v>3149</v>
      </c>
      <c r="D3150" s="3">
        <f>IFERROR(__xludf.DUMMYFUNCTION("SPLIT(A3150, ""|"")"),42950.0)</f>
        <v>42950</v>
      </c>
      <c r="E3150" s="2">
        <f>IFERROR(__xludf.DUMMYFUNCTION("""COMPUTED_VALUE"""),1050153.0)</f>
        <v>1050153</v>
      </c>
      <c r="F3150" s="2">
        <f>IFERROR(__xludf.DUMMYFUNCTION("""COMPUTED_VALUE"""),3692427.0)</f>
        <v>3692427</v>
      </c>
      <c r="G3150" s="2">
        <f>IFERROR(__xludf.DUMMYFUNCTION("""COMPUTED_VALUE"""),67.1528)</f>
        <v>67.1528</v>
      </c>
    </row>
    <row r="3151">
      <c r="A3151" s="1" t="s">
        <v>3150</v>
      </c>
      <c r="D3151" s="3">
        <f>IFERROR(__xludf.DUMMYFUNCTION("SPLIT(A3151, ""|"")"),42950.0)</f>
        <v>42950</v>
      </c>
      <c r="E3151" s="2">
        <f>IFERROR(__xludf.DUMMYFUNCTION("""COMPUTED_VALUE"""),1388343.0)</f>
        <v>1388343</v>
      </c>
      <c r="F3151" s="2">
        <f>IFERROR(__xludf.DUMMYFUNCTION("""COMPUTED_VALUE"""),3691708.0)</f>
        <v>3691708</v>
      </c>
      <c r="G3151" s="2">
        <f>IFERROR(__xludf.DUMMYFUNCTION("""COMPUTED_VALUE"""),53.8135999999999)</f>
        <v>53.8136</v>
      </c>
    </row>
    <row r="3152">
      <c r="A3152" s="1" t="s">
        <v>3151</v>
      </c>
      <c r="D3152" s="3">
        <f>IFERROR(__xludf.DUMMYFUNCTION("SPLIT(A3152, ""|"")"),42950.0)</f>
        <v>42950</v>
      </c>
      <c r="E3152" s="2">
        <f>IFERROR(__xludf.DUMMYFUNCTION("""COMPUTED_VALUE"""),1387443.0)</f>
        <v>1387443</v>
      </c>
      <c r="F3152" s="2">
        <f>IFERROR(__xludf.DUMMYFUNCTION("""COMPUTED_VALUE"""),3691284.0)</f>
        <v>3691284</v>
      </c>
      <c r="G3152" s="2">
        <f>IFERROR(__xludf.DUMMYFUNCTION("""COMPUTED_VALUE"""),69.8584)</f>
        <v>69.8584</v>
      </c>
    </row>
    <row r="3153">
      <c r="A3153" s="1" t="s">
        <v>3152</v>
      </c>
      <c r="D3153" s="3">
        <f>IFERROR(__xludf.DUMMYFUNCTION("SPLIT(A3153, ""|"")"),43206.0)</f>
        <v>43206</v>
      </c>
      <c r="E3153" s="2">
        <f>IFERROR(__xludf.DUMMYFUNCTION("""COMPUTED_VALUE"""),1185843.0)</f>
        <v>1185843</v>
      </c>
      <c r="F3153" s="2">
        <f>IFERROR(__xludf.DUMMYFUNCTION("""COMPUTED_VALUE"""),4394091.0)</f>
        <v>4394091</v>
      </c>
      <c r="G3153" s="2">
        <f>IFERROR(__xludf.DUMMYFUNCTION("""COMPUTED_VALUE"""),65.3708)</f>
        <v>65.3708</v>
      </c>
    </row>
    <row r="3154">
      <c r="A3154" s="1" t="s">
        <v>3153</v>
      </c>
      <c r="D3154" s="3">
        <f>IFERROR(__xludf.DUMMYFUNCTION("SPLIT(A3154, ""|"")"),43206.0)</f>
        <v>43206</v>
      </c>
      <c r="E3154" s="2">
        <f>IFERROR(__xludf.DUMMYFUNCTION("""COMPUTED_VALUE"""),1574913.0)</f>
        <v>1574913</v>
      </c>
      <c r="F3154" s="2">
        <f>IFERROR(__xludf.DUMMYFUNCTION("""COMPUTED_VALUE"""),4393306.0)</f>
        <v>4393306</v>
      </c>
      <c r="G3154" s="2">
        <f>IFERROR(__xludf.DUMMYFUNCTION("""COMPUTED_VALUE"""),21.805)</f>
        <v>21.805</v>
      </c>
    </row>
    <row r="3155">
      <c r="A3155" s="1" t="s">
        <v>3154</v>
      </c>
      <c r="D3155" s="3">
        <f>IFERROR(__xludf.DUMMYFUNCTION("SPLIT(A3155, ""|"")"),43462.0)</f>
        <v>43462</v>
      </c>
      <c r="E3155" s="2">
        <f>IFERROR(__xludf.DUMMYFUNCTION("""COMPUTED_VALUE"""),1827213.0)</f>
        <v>1827213</v>
      </c>
      <c r="F3155" s="2">
        <f>IFERROR(__xludf.DUMMYFUNCTION("""COMPUTED_VALUE"""),5352962.0)</f>
        <v>5352962</v>
      </c>
      <c r="G3155" s="2">
        <f>IFERROR(__xludf.DUMMYFUNCTION("""COMPUTED_VALUE"""),51.6952)</f>
        <v>51.6952</v>
      </c>
    </row>
    <row r="3156">
      <c r="A3156" s="1" t="s">
        <v>3155</v>
      </c>
      <c r="D3156" s="3">
        <f>IFERROR(__xludf.DUMMYFUNCTION("SPLIT(A3156, ""|"")"),43462.0)</f>
        <v>43462</v>
      </c>
      <c r="E3156" s="2">
        <f>IFERROR(__xludf.DUMMYFUNCTION("""COMPUTED_VALUE"""),1747713.0)</f>
        <v>1747713</v>
      </c>
      <c r="F3156" s="2">
        <f>IFERROR(__xludf.DUMMYFUNCTION("""COMPUTED_VALUE"""),5353033.0)</f>
        <v>5353033</v>
      </c>
      <c r="G3156" s="2">
        <f>IFERROR(__xludf.DUMMYFUNCTION("""COMPUTED_VALUE"""),84.0709999999999)</f>
        <v>84.071</v>
      </c>
    </row>
    <row r="3157">
      <c r="A3157" s="1" t="s">
        <v>3156</v>
      </c>
      <c r="D3157" s="3">
        <f>IFERROR(__xludf.DUMMYFUNCTION("SPLIT(A3157, ""|"")"),43462.0)</f>
        <v>43462</v>
      </c>
      <c r="E3157" s="2">
        <f>IFERROR(__xludf.DUMMYFUNCTION("""COMPUTED_VALUE"""),1578423.0)</f>
        <v>1578423</v>
      </c>
      <c r="F3157" s="2">
        <f>IFERROR(__xludf.DUMMYFUNCTION("""COMPUTED_VALUE"""),5352296.0)</f>
        <v>5352296</v>
      </c>
      <c r="G3157" s="2">
        <f>IFERROR(__xludf.DUMMYFUNCTION("""COMPUTED_VALUE"""),98.8383)</f>
        <v>98.8383</v>
      </c>
    </row>
    <row r="3158">
      <c r="A3158" s="1" t="s">
        <v>3157</v>
      </c>
      <c r="D3158" s="3">
        <f>IFERROR(__xludf.DUMMYFUNCTION("SPLIT(A3158, ""|"")"),42951.0)</f>
        <v>42951</v>
      </c>
      <c r="E3158" s="2">
        <f>IFERROR(__xludf.DUMMYFUNCTION("""COMPUTED_VALUE"""),1313943.0)</f>
        <v>1313943</v>
      </c>
      <c r="F3158" s="2">
        <f>IFERROR(__xludf.DUMMYFUNCTION("""COMPUTED_VALUE"""),3693728.0)</f>
        <v>3693728</v>
      </c>
      <c r="G3158" s="2">
        <f>IFERROR(__xludf.DUMMYFUNCTION("""COMPUTED_VALUE"""),60.6249)</f>
        <v>60.6249</v>
      </c>
    </row>
    <row r="3159">
      <c r="A3159" s="1" t="s">
        <v>3158</v>
      </c>
      <c r="D3159" s="3">
        <f>IFERROR(__xludf.DUMMYFUNCTION("SPLIT(A3159, ""|"")"),42951.0)</f>
        <v>42951</v>
      </c>
      <c r="E3159" s="2">
        <f>IFERROR(__xludf.DUMMYFUNCTION("""COMPUTED_VALUE"""),1364913.0)</f>
        <v>1364913</v>
      </c>
      <c r="F3159" s="2">
        <f>IFERROR(__xludf.DUMMYFUNCTION("""COMPUTED_VALUE"""),3694650.0)</f>
        <v>3694650</v>
      </c>
      <c r="G3159" s="2">
        <f>IFERROR(__xludf.DUMMYFUNCTION("""COMPUTED_VALUE"""),119.3609)</f>
        <v>119.3609</v>
      </c>
    </row>
    <row r="3160">
      <c r="A3160" s="1" t="s">
        <v>3159</v>
      </c>
      <c r="D3160" s="3">
        <f>IFERROR(__xludf.DUMMYFUNCTION("SPLIT(A3160, ""|"")"),42951.0)</f>
        <v>42951</v>
      </c>
      <c r="E3160" s="2">
        <f>IFERROR(__xludf.DUMMYFUNCTION("""COMPUTED_VALUE"""),1082913.0)</f>
        <v>1082913</v>
      </c>
      <c r="F3160" s="2">
        <f>IFERROR(__xludf.DUMMYFUNCTION("""COMPUTED_VALUE"""),3694539.0)</f>
        <v>3694539</v>
      </c>
      <c r="G3160" s="2">
        <f>IFERROR(__xludf.DUMMYFUNCTION("""COMPUTED_VALUE"""),131.7773)</f>
        <v>131.7773</v>
      </c>
    </row>
    <row r="3161">
      <c r="A3161" s="1" t="s">
        <v>3160</v>
      </c>
      <c r="D3161" s="3">
        <f>IFERROR(__xludf.DUMMYFUNCTION("SPLIT(A3161, ""|"")"),42951.0)</f>
        <v>42951</v>
      </c>
      <c r="E3161" s="2">
        <f>IFERROR(__xludf.DUMMYFUNCTION("""COMPUTED_VALUE"""),1184643.0)</f>
        <v>1184643</v>
      </c>
      <c r="F3161" s="2">
        <f>IFERROR(__xludf.DUMMYFUNCTION("""COMPUTED_VALUE"""),3693594.0)</f>
        <v>3693594</v>
      </c>
      <c r="G3161" s="2">
        <f>IFERROR(__xludf.DUMMYFUNCTION("""COMPUTED_VALUE"""),94.1874)</f>
        <v>94.1874</v>
      </c>
    </row>
    <row r="3162">
      <c r="A3162" s="1" t="s">
        <v>3161</v>
      </c>
      <c r="D3162" s="3">
        <f>IFERROR(__xludf.DUMMYFUNCTION("SPLIT(A3162, ""|"")"),42951.0)</f>
        <v>42951</v>
      </c>
      <c r="E3162" s="2">
        <f>IFERROR(__xludf.DUMMYFUNCTION("""COMPUTED_VALUE"""),1389093.0)</f>
        <v>1389093</v>
      </c>
      <c r="F3162" s="2">
        <f>IFERROR(__xludf.DUMMYFUNCTION("""COMPUTED_VALUE"""),3694721.0)</f>
        <v>3694721</v>
      </c>
      <c r="G3162" s="2">
        <f>IFERROR(__xludf.DUMMYFUNCTION("""COMPUTED_VALUE"""),15.3297)</f>
        <v>15.3297</v>
      </c>
    </row>
    <row r="3163">
      <c r="A3163" s="1" t="s">
        <v>3162</v>
      </c>
      <c r="D3163" s="3">
        <f>IFERROR(__xludf.DUMMYFUNCTION("SPLIT(A3163, ""|"")"),43207.0)</f>
        <v>43207</v>
      </c>
      <c r="E3163" s="2">
        <f>IFERROR(__xludf.DUMMYFUNCTION("""COMPUTED_VALUE"""),1473483.0)</f>
        <v>1473483</v>
      </c>
      <c r="F3163" s="2">
        <f>IFERROR(__xludf.DUMMYFUNCTION("""COMPUTED_VALUE"""),4396825.0)</f>
        <v>4396825</v>
      </c>
      <c r="G3163" s="2">
        <f>IFERROR(__xludf.DUMMYFUNCTION("""COMPUTED_VALUE"""),115.653799999999)</f>
        <v>115.6538</v>
      </c>
    </row>
    <row r="3164">
      <c r="A3164" s="1" t="s">
        <v>3163</v>
      </c>
      <c r="D3164" s="3">
        <f>IFERROR(__xludf.DUMMYFUNCTION("SPLIT(A3164, ""|"")"),43207.0)</f>
        <v>43207</v>
      </c>
      <c r="E3164" s="2">
        <f>IFERROR(__xludf.DUMMYFUNCTION("""COMPUTED_VALUE"""),1434813.0)</f>
        <v>1434813</v>
      </c>
      <c r="F3164" s="2">
        <f>IFERROR(__xludf.DUMMYFUNCTION("""COMPUTED_VALUE"""),4395399.0)</f>
        <v>4395399</v>
      </c>
      <c r="G3164" s="2">
        <f>IFERROR(__xludf.DUMMYFUNCTION("""COMPUTED_VALUE"""),279.5636)</f>
        <v>279.5636</v>
      </c>
    </row>
    <row r="3165">
      <c r="A3165" s="1" t="s">
        <v>3164</v>
      </c>
      <c r="D3165" s="3">
        <f>IFERROR(__xludf.DUMMYFUNCTION("SPLIT(A3165, ""|"")"),43463.0)</f>
        <v>43463</v>
      </c>
      <c r="E3165" s="2">
        <f>IFERROR(__xludf.DUMMYFUNCTION("""COMPUTED_VALUE"""),1827603.0)</f>
        <v>1827603</v>
      </c>
      <c r="F3165" s="2">
        <f>IFERROR(__xludf.DUMMYFUNCTION("""COMPUTED_VALUE"""),5354205.0)</f>
        <v>5354205</v>
      </c>
      <c r="G3165" s="2">
        <f>IFERROR(__xludf.DUMMYFUNCTION("""COMPUTED_VALUE"""),21.9674)</f>
        <v>21.9674</v>
      </c>
    </row>
    <row r="3166">
      <c r="A3166" s="1" t="s">
        <v>3165</v>
      </c>
      <c r="D3166" s="3">
        <f>IFERROR(__xludf.DUMMYFUNCTION("SPLIT(A3166, ""|"")"),43463.0)</f>
        <v>43463</v>
      </c>
      <c r="E3166" s="2">
        <f>IFERROR(__xludf.DUMMYFUNCTION("""COMPUTED_VALUE"""),1261383.0)</f>
        <v>1261383</v>
      </c>
      <c r="F3166" s="2">
        <f>IFERROR(__xludf.DUMMYFUNCTION("""COMPUTED_VALUE"""),5354610.0)</f>
        <v>5354610</v>
      </c>
      <c r="G3166" s="2">
        <f>IFERROR(__xludf.DUMMYFUNCTION("""COMPUTED_VALUE"""),77.5107999999999)</f>
        <v>77.5108</v>
      </c>
    </row>
    <row r="3167">
      <c r="A3167" s="1" t="s">
        <v>3166</v>
      </c>
      <c r="D3167" s="3">
        <f>IFERROR(__xludf.DUMMYFUNCTION("SPLIT(A3167, ""|"")"),43463.0)</f>
        <v>43463</v>
      </c>
      <c r="E3167" s="2">
        <f>IFERROR(__xludf.DUMMYFUNCTION("""COMPUTED_VALUE"""),1157373.0)</f>
        <v>1157373</v>
      </c>
      <c r="F3167" s="2">
        <f>IFERROR(__xludf.DUMMYFUNCTION("""COMPUTED_VALUE"""),5353944.0)</f>
        <v>5353944</v>
      </c>
      <c r="G3167" s="2">
        <f>IFERROR(__xludf.DUMMYFUNCTION("""COMPUTED_VALUE"""),64.2654)</f>
        <v>64.2654</v>
      </c>
    </row>
    <row r="3168">
      <c r="A3168" s="1" t="s">
        <v>3167</v>
      </c>
      <c r="D3168" s="3">
        <f>IFERROR(__xludf.DUMMYFUNCTION("SPLIT(A3168, ""|"")"),43463.0)</f>
        <v>43463</v>
      </c>
      <c r="E3168" s="2">
        <f>IFERROR(__xludf.DUMMYFUNCTION("""COMPUTED_VALUE"""),1827873.0)</f>
        <v>1827873</v>
      </c>
      <c r="F3168" s="2">
        <f>IFERROR(__xludf.DUMMYFUNCTION("""COMPUTED_VALUE"""),5355283.0)</f>
        <v>5355283</v>
      </c>
      <c r="G3168" s="2">
        <f>IFERROR(__xludf.DUMMYFUNCTION("""COMPUTED_VALUE"""),142.4282)</f>
        <v>142.4282</v>
      </c>
    </row>
    <row r="3169">
      <c r="A3169" s="1" t="s">
        <v>3168</v>
      </c>
      <c r="D3169" s="3">
        <f>IFERROR(__xludf.DUMMYFUNCTION("SPLIT(A3169, ""|"")"),43463.0)</f>
        <v>43463</v>
      </c>
      <c r="E3169" s="2">
        <f>IFERROR(__xludf.DUMMYFUNCTION("""COMPUTED_VALUE"""),358443.0)</f>
        <v>358443</v>
      </c>
      <c r="F3169" s="2">
        <f>IFERROR(__xludf.DUMMYFUNCTION("""COMPUTED_VALUE"""),5356114.0)</f>
        <v>5356114</v>
      </c>
      <c r="G3169" s="2">
        <f>IFERROR(__xludf.DUMMYFUNCTION("""COMPUTED_VALUE"""),97.3416)</f>
        <v>97.3416</v>
      </c>
    </row>
    <row r="3170">
      <c r="A3170" s="1" t="s">
        <v>3169</v>
      </c>
      <c r="D3170" s="3">
        <f>IFERROR(__xludf.DUMMYFUNCTION("SPLIT(A3170, ""|"")"),43463.0)</f>
        <v>43463</v>
      </c>
      <c r="E3170" s="2">
        <f>IFERROR(__xludf.DUMMYFUNCTION("""COMPUTED_VALUE"""),1048593.0)</f>
        <v>1048593</v>
      </c>
      <c r="F3170" s="2">
        <f>IFERROR(__xludf.DUMMYFUNCTION("""COMPUTED_VALUE"""),5354613.0)</f>
        <v>5354613</v>
      </c>
      <c r="G3170" s="2">
        <f>IFERROR(__xludf.DUMMYFUNCTION("""COMPUTED_VALUE"""),137.782)</f>
        <v>137.782</v>
      </c>
    </row>
    <row r="3171">
      <c r="A3171" s="1" t="s">
        <v>3170</v>
      </c>
      <c r="D3171" s="3">
        <f>IFERROR(__xludf.DUMMYFUNCTION("SPLIT(A3171, ""|"")"),42952.0)</f>
        <v>42952</v>
      </c>
      <c r="E3171" s="2">
        <f>IFERROR(__xludf.DUMMYFUNCTION("""COMPUTED_VALUE"""),1276743.0)</f>
        <v>1276743</v>
      </c>
      <c r="F3171" s="2">
        <f>IFERROR(__xludf.DUMMYFUNCTION("""COMPUTED_VALUE"""),3695037.0)</f>
        <v>3695037</v>
      </c>
      <c r="G3171" s="2">
        <f>IFERROR(__xludf.DUMMYFUNCTION("""COMPUTED_VALUE"""),29.9833)</f>
        <v>29.9833</v>
      </c>
    </row>
    <row r="3172">
      <c r="A3172" s="1" t="s">
        <v>3171</v>
      </c>
      <c r="D3172" s="3">
        <f>IFERROR(__xludf.DUMMYFUNCTION("SPLIT(A3172, ""|"")"),42952.0)</f>
        <v>42952</v>
      </c>
      <c r="E3172" s="2">
        <f>IFERROR(__xludf.DUMMYFUNCTION("""COMPUTED_VALUE"""),1389153.0)</f>
        <v>1389153</v>
      </c>
      <c r="F3172" s="2">
        <f>IFERROR(__xludf.DUMMYFUNCTION("""COMPUTED_VALUE"""),3694990.0)</f>
        <v>3694990</v>
      </c>
      <c r="G3172" s="2">
        <f>IFERROR(__xludf.DUMMYFUNCTION("""COMPUTED_VALUE"""),23.4965)</f>
        <v>23.4965</v>
      </c>
    </row>
    <row r="3173">
      <c r="A3173" s="1" t="s">
        <v>3172</v>
      </c>
      <c r="D3173" s="3">
        <f>IFERROR(__xludf.DUMMYFUNCTION("SPLIT(A3173, ""|"")"),43208.0)</f>
        <v>43208</v>
      </c>
      <c r="E3173" s="2">
        <f>IFERROR(__xludf.DUMMYFUNCTION("""COMPUTED_VALUE"""),1252173.0)</f>
        <v>1252173</v>
      </c>
      <c r="F3173" s="2">
        <f>IFERROR(__xludf.DUMMYFUNCTION("""COMPUTED_VALUE"""),4398788.0)</f>
        <v>4398788</v>
      </c>
      <c r="G3173" s="2">
        <f>IFERROR(__xludf.DUMMYFUNCTION("""COMPUTED_VALUE"""),111.9324)</f>
        <v>111.9324</v>
      </c>
    </row>
    <row r="3174">
      <c r="A3174" s="1" t="s">
        <v>3173</v>
      </c>
      <c r="D3174" s="3">
        <f>IFERROR(__xludf.DUMMYFUNCTION("SPLIT(A3174, ""|"")"),43208.0)</f>
        <v>43208</v>
      </c>
      <c r="E3174" s="2">
        <f>IFERROR(__xludf.DUMMYFUNCTION("""COMPUTED_VALUE"""),392763.0)</f>
        <v>392763</v>
      </c>
      <c r="F3174" s="2">
        <f>IFERROR(__xludf.DUMMYFUNCTION("""COMPUTED_VALUE"""),4398774.0)</f>
        <v>4398774</v>
      </c>
      <c r="G3174" s="2">
        <f>IFERROR(__xludf.DUMMYFUNCTION("""COMPUTED_VALUE"""),71.4981999999999)</f>
        <v>71.4982</v>
      </c>
    </row>
    <row r="3175">
      <c r="A3175" s="1" t="s">
        <v>3174</v>
      </c>
      <c r="D3175" s="3">
        <f>IFERROR(__xludf.DUMMYFUNCTION("SPLIT(A3175, ""|"")"),43208.0)</f>
        <v>43208</v>
      </c>
      <c r="E3175" s="2">
        <f>IFERROR(__xludf.DUMMYFUNCTION("""COMPUTED_VALUE"""),1575603.0)</f>
        <v>1575603</v>
      </c>
      <c r="F3175" s="2">
        <f>IFERROR(__xludf.DUMMYFUNCTION("""COMPUTED_VALUE"""),4397892.0)</f>
        <v>4397892</v>
      </c>
      <c r="G3175" s="2">
        <f>IFERROR(__xludf.DUMMYFUNCTION("""COMPUTED_VALUE"""),77.4874)</f>
        <v>77.4874</v>
      </c>
    </row>
    <row r="3176">
      <c r="A3176" s="1" t="s">
        <v>3175</v>
      </c>
      <c r="D3176" s="3">
        <f>IFERROR(__xludf.DUMMYFUNCTION("SPLIT(A3176, ""|"")"),43208.0)</f>
        <v>43208</v>
      </c>
      <c r="E3176" s="2">
        <f>IFERROR(__xludf.DUMMYFUNCTION("""COMPUTED_VALUE"""),309093.0)</f>
        <v>309093</v>
      </c>
      <c r="F3176" s="2">
        <f>IFERROR(__xludf.DUMMYFUNCTION("""COMPUTED_VALUE"""),4397807.0)</f>
        <v>4397807</v>
      </c>
      <c r="G3176" s="2">
        <f>IFERROR(__xludf.DUMMYFUNCTION("""COMPUTED_VALUE"""),85.7605)</f>
        <v>85.7605</v>
      </c>
    </row>
    <row r="3177">
      <c r="A3177" s="1" t="s">
        <v>3176</v>
      </c>
      <c r="D3177" s="3">
        <f>IFERROR(__xludf.DUMMYFUNCTION("SPLIT(A3177, ""|"")"),43208.0)</f>
        <v>43208</v>
      </c>
      <c r="E3177" s="2">
        <f>IFERROR(__xludf.DUMMYFUNCTION("""COMPUTED_VALUE"""),1576473.0)</f>
        <v>1576473</v>
      </c>
      <c r="F3177" s="2">
        <f>IFERROR(__xludf.DUMMYFUNCTION("""COMPUTED_VALUE"""),4399099.0)</f>
        <v>4399099</v>
      </c>
      <c r="G3177" s="2">
        <f>IFERROR(__xludf.DUMMYFUNCTION("""COMPUTED_VALUE"""),25.6667)</f>
        <v>25.6667</v>
      </c>
    </row>
    <row r="3178">
      <c r="A3178" s="1" t="s">
        <v>3177</v>
      </c>
      <c r="D3178" s="3">
        <f>IFERROR(__xludf.DUMMYFUNCTION("SPLIT(A3178, ""|"")"),43464.0)</f>
        <v>43464</v>
      </c>
      <c r="E3178" s="2">
        <f>IFERROR(__xludf.DUMMYFUNCTION("""COMPUTED_VALUE"""),426423.0)</f>
        <v>426423</v>
      </c>
      <c r="F3178" s="2">
        <f>IFERROR(__xludf.DUMMYFUNCTION("""COMPUTED_VALUE"""),5357494.0)</f>
        <v>5357494</v>
      </c>
      <c r="G3178" s="2">
        <f>IFERROR(__xludf.DUMMYFUNCTION("""COMPUTED_VALUE"""),109.0661)</f>
        <v>109.0661</v>
      </c>
    </row>
    <row r="3179">
      <c r="A3179" s="1" t="s">
        <v>3178</v>
      </c>
      <c r="D3179" s="3">
        <f>IFERROR(__xludf.DUMMYFUNCTION("SPLIT(A3179, ""|"")"),43464.0)</f>
        <v>43464</v>
      </c>
      <c r="E3179" s="2">
        <f>IFERROR(__xludf.DUMMYFUNCTION("""COMPUTED_VALUE"""),1352493.0)</f>
        <v>1352493</v>
      </c>
      <c r="F3179" s="2">
        <f>IFERROR(__xludf.DUMMYFUNCTION("""COMPUTED_VALUE"""),5357358.0)</f>
        <v>5357358</v>
      </c>
      <c r="G3179" s="2">
        <f>IFERROR(__xludf.DUMMYFUNCTION("""COMPUTED_VALUE"""),48.0082)</f>
        <v>48.0082</v>
      </c>
    </row>
    <row r="3180">
      <c r="A3180" s="1" t="s">
        <v>3179</v>
      </c>
      <c r="D3180" s="3">
        <f>IFERROR(__xludf.DUMMYFUNCTION("SPLIT(A3180, ""|"")"),43464.0)</f>
        <v>43464</v>
      </c>
      <c r="E3180" s="2">
        <f>IFERROR(__xludf.DUMMYFUNCTION("""COMPUTED_VALUE"""),1670943.0)</f>
        <v>1670943</v>
      </c>
      <c r="F3180" s="2">
        <f>IFERROR(__xludf.DUMMYFUNCTION("""COMPUTED_VALUE"""),5356465.0)</f>
        <v>5356465</v>
      </c>
      <c r="G3180" s="2">
        <f>IFERROR(__xludf.DUMMYFUNCTION("""COMPUTED_VALUE"""),45.3958)</f>
        <v>45.3958</v>
      </c>
    </row>
    <row r="3181">
      <c r="A3181" s="1" t="s">
        <v>3180</v>
      </c>
      <c r="D3181" s="3">
        <f>IFERROR(__xludf.DUMMYFUNCTION("SPLIT(A3181, ""|"")"),43464.0)</f>
        <v>43464</v>
      </c>
      <c r="E3181" s="2">
        <f>IFERROR(__xludf.DUMMYFUNCTION("""COMPUTED_VALUE"""),1416123.0)</f>
        <v>1416123</v>
      </c>
      <c r="F3181" s="2">
        <f>IFERROR(__xludf.DUMMYFUNCTION("""COMPUTED_VALUE"""),5357515.0)</f>
        <v>5357515</v>
      </c>
      <c r="G3181" s="2">
        <f>IFERROR(__xludf.DUMMYFUNCTION("""COMPUTED_VALUE"""),47.3463)</f>
        <v>47.3463</v>
      </c>
    </row>
    <row r="3182">
      <c r="A3182" s="1" t="s">
        <v>3181</v>
      </c>
      <c r="D3182" s="3">
        <f>IFERROR(__xludf.DUMMYFUNCTION("SPLIT(A3182, ""|"")"),43464.0)</f>
        <v>43464</v>
      </c>
      <c r="E3182" s="2">
        <f>IFERROR(__xludf.DUMMYFUNCTION("""COMPUTED_VALUE"""),1749693.0)</f>
        <v>1749693</v>
      </c>
      <c r="F3182" s="2">
        <f>IFERROR(__xludf.DUMMYFUNCTION("""COMPUTED_VALUE"""),5357544.0)</f>
        <v>5357544</v>
      </c>
      <c r="G3182" s="2">
        <f>IFERROR(__xludf.DUMMYFUNCTION("""COMPUTED_VALUE"""),82.86)</f>
        <v>82.86</v>
      </c>
    </row>
    <row r="3183">
      <c r="A3183" s="1" t="s">
        <v>3182</v>
      </c>
      <c r="D3183" s="3">
        <f>IFERROR(__xludf.DUMMYFUNCTION("SPLIT(A3183, ""|"")"),43464.0)</f>
        <v>43464</v>
      </c>
      <c r="E3183" s="2">
        <f>IFERROR(__xludf.DUMMYFUNCTION("""COMPUTED_VALUE"""),1450503.0)</f>
        <v>1450503</v>
      </c>
      <c r="F3183" s="2">
        <f>IFERROR(__xludf.DUMMYFUNCTION("""COMPUTED_VALUE"""),5357740.0)</f>
        <v>5357740</v>
      </c>
      <c r="G3183" s="2">
        <f>IFERROR(__xludf.DUMMYFUNCTION("""COMPUTED_VALUE"""),11.85)</f>
        <v>11.85</v>
      </c>
    </row>
    <row r="3184">
      <c r="A3184" s="1" t="s">
        <v>3183</v>
      </c>
      <c r="D3184" s="3">
        <f>IFERROR(__xludf.DUMMYFUNCTION("SPLIT(A3184, ""|"")"),43464.0)</f>
        <v>43464</v>
      </c>
      <c r="E3184" s="2">
        <f>IFERROR(__xludf.DUMMYFUNCTION("""COMPUTED_VALUE"""),1409553.0)</f>
        <v>1409553</v>
      </c>
      <c r="F3184" s="2">
        <f>IFERROR(__xludf.DUMMYFUNCTION("""COMPUTED_VALUE"""),5358170.0)</f>
        <v>5358170</v>
      </c>
      <c r="G3184" s="2">
        <f>IFERROR(__xludf.DUMMYFUNCTION("""COMPUTED_VALUE"""),75.5148)</f>
        <v>75.5148</v>
      </c>
    </row>
    <row r="3185">
      <c r="A3185" s="1" t="s">
        <v>3184</v>
      </c>
      <c r="D3185" s="3">
        <f>IFERROR(__xludf.DUMMYFUNCTION("SPLIT(A3185, ""|"")"),43464.0)</f>
        <v>43464</v>
      </c>
      <c r="E3185" s="2">
        <f>IFERROR(__xludf.DUMMYFUNCTION("""COMPUTED_VALUE"""),1270953.0)</f>
        <v>1270953</v>
      </c>
      <c r="F3185" s="2">
        <f>IFERROR(__xludf.DUMMYFUNCTION("""COMPUTED_VALUE"""),5356587.0)</f>
        <v>5356587</v>
      </c>
      <c r="G3185" s="2">
        <f>IFERROR(__xludf.DUMMYFUNCTION("""COMPUTED_VALUE"""),19.5356)</f>
        <v>19.5356</v>
      </c>
    </row>
    <row r="3186">
      <c r="A3186" s="1" t="s">
        <v>3185</v>
      </c>
      <c r="D3186" s="3">
        <f>IFERROR(__xludf.DUMMYFUNCTION("SPLIT(A3186, ""|"")"),42953.0)</f>
        <v>42953</v>
      </c>
      <c r="E3186" s="2">
        <f>IFERROR(__xludf.DUMMYFUNCTION("""COMPUTED_VALUE"""),286983.0)</f>
        <v>286983</v>
      </c>
      <c r="F3186" s="2">
        <f>IFERROR(__xludf.DUMMYFUNCTION("""COMPUTED_VALUE"""),3697887.0)</f>
        <v>3697887</v>
      </c>
      <c r="G3186" s="2">
        <f>IFERROR(__xludf.DUMMYFUNCTION("""COMPUTED_VALUE"""),29.15)</f>
        <v>29.15</v>
      </c>
    </row>
    <row r="3187">
      <c r="A3187" s="1" t="s">
        <v>3186</v>
      </c>
      <c r="D3187" s="3">
        <f>IFERROR(__xludf.DUMMYFUNCTION("SPLIT(A3187, ""|"")"),42953.0)</f>
        <v>42953</v>
      </c>
      <c r="E3187" s="2">
        <f>IFERROR(__xludf.DUMMYFUNCTION("""COMPUTED_VALUE"""),1089273.0)</f>
        <v>1089273</v>
      </c>
      <c r="F3187" s="2">
        <f>IFERROR(__xludf.DUMMYFUNCTION("""COMPUTED_VALUE"""),3697489.0)</f>
        <v>3697489</v>
      </c>
      <c r="G3187" s="2">
        <f>IFERROR(__xludf.DUMMYFUNCTION("""COMPUTED_VALUE"""),74.5240999999999)</f>
        <v>74.5241</v>
      </c>
    </row>
    <row r="3188">
      <c r="A3188" s="1" t="s">
        <v>3187</v>
      </c>
      <c r="D3188" s="3">
        <f>IFERROR(__xludf.DUMMYFUNCTION("SPLIT(A3188, ""|"")"),42953.0)</f>
        <v>42953</v>
      </c>
      <c r="E3188" s="2">
        <f>IFERROR(__xludf.DUMMYFUNCTION("""COMPUTED_VALUE"""),1236333.0)</f>
        <v>1236333</v>
      </c>
      <c r="F3188" s="2">
        <f>IFERROR(__xludf.DUMMYFUNCTION("""COMPUTED_VALUE"""),3697626.0)</f>
        <v>3697626</v>
      </c>
      <c r="G3188" s="2">
        <f>IFERROR(__xludf.DUMMYFUNCTION("""COMPUTED_VALUE"""),137.0153)</f>
        <v>137.0153</v>
      </c>
    </row>
    <row r="3189">
      <c r="A3189" s="1" t="s">
        <v>3188</v>
      </c>
      <c r="D3189" s="3">
        <f>IFERROR(__xludf.DUMMYFUNCTION("SPLIT(A3189, ""|"")"),43209.0)</f>
        <v>43209</v>
      </c>
      <c r="E3189" s="2">
        <f>IFERROR(__xludf.DUMMYFUNCTION("""COMPUTED_VALUE"""),1433553.0)</f>
        <v>1433553</v>
      </c>
      <c r="F3189" s="2">
        <f>IFERROR(__xludf.DUMMYFUNCTION("""COMPUTED_VALUE"""),4399515.0)</f>
        <v>4399515</v>
      </c>
      <c r="G3189" s="2">
        <f>IFERROR(__xludf.DUMMYFUNCTION("""COMPUTED_VALUE"""),132.1874)</f>
        <v>132.1874</v>
      </c>
    </row>
    <row r="3190">
      <c r="A3190" s="1" t="s">
        <v>3189</v>
      </c>
      <c r="D3190" s="3">
        <f>IFERROR(__xludf.DUMMYFUNCTION("SPLIT(A3190, ""|"")"),43209.0)</f>
        <v>43209</v>
      </c>
      <c r="E3190" s="2">
        <f>IFERROR(__xludf.DUMMYFUNCTION("""COMPUTED_VALUE"""),1416123.0)</f>
        <v>1416123</v>
      </c>
      <c r="F3190" s="2">
        <f>IFERROR(__xludf.DUMMYFUNCTION("""COMPUTED_VALUE"""),4401361.0)</f>
        <v>4401361</v>
      </c>
      <c r="G3190" s="2">
        <f>IFERROR(__xludf.DUMMYFUNCTION("""COMPUTED_VALUE"""),71.0455)</f>
        <v>71.0455</v>
      </c>
    </row>
    <row r="3191">
      <c r="A3191" s="1" t="s">
        <v>3190</v>
      </c>
      <c r="D3191" s="3">
        <f>IFERROR(__xludf.DUMMYFUNCTION("SPLIT(A3191, ""|"")"),43209.0)</f>
        <v>43209</v>
      </c>
      <c r="E3191" s="2">
        <f>IFERROR(__xludf.DUMMYFUNCTION("""COMPUTED_VALUE"""),1162143.0)</f>
        <v>1162143</v>
      </c>
      <c r="F3191" s="2">
        <f>IFERROR(__xludf.DUMMYFUNCTION("""COMPUTED_VALUE"""),4400631.0)</f>
        <v>4400631</v>
      </c>
      <c r="G3191" s="2">
        <f>IFERROR(__xludf.DUMMYFUNCTION("""COMPUTED_VALUE"""),89.3693)</f>
        <v>89.3693</v>
      </c>
    </row>
    <row r="3192">
      <c r="A3192" s="1" t="s">
        <v>3191</v>
      </c>
      <c r="D3192" s="3">
        <f>IFERROR(__xludf.DUMMYFUNCTION("SPLIT(A3192, ""|"")"),43209.0)</f>
        <v>43209</v>
      </c>
      <c r="E3192" s="2">
        <f>IFERROR(__xludf.DUMMYFUNCTION("""COMPUTED_VALUE"""),1576353.0)</f>
        <v>1576353</v>
      </c>
      <c r="F3192" s="2">
        <f>IFERROR(__xludf.DUMMYFUNCTION("""COMPUTED_VALUE"""),4401322.0)</f>
        <v>4401322</v>
      </c>
      <c r="G3192" s="2">
        <f>IFERROR(__xludf.DUMMYFUNCTION("""COMPUTED_VALUE"""),23.4123999999999)</f>
        <v>23.4124</v>
      </c>
    </row>
    <row r="3193">
      <c r="A3193" s="1" t="s">
        <v>3192</v>
      </c>
      <c r="D3193" s="3">
        <f>IFERROR(__xludf.DUMMYFUNCTION("SPLIT(A3193, ""|"")"),43209.0)</f>
        <v>43209</v>
      </c>
      <c r="E3193" s="2">
        <f>IFERROR(__xludf.DUMMYFUNCTION("""COMPUTED_VALUE"""),1218303.0)</f>
        <v>1218303</v>
      </c>
      <c r="F3193" s="2">
        <f>IFERROR(__xludf.DUMMYFUNCTION("""COMPUTED_VALUE"""),4399632.0)</f>
        <v>4399632</v>
      </c>
      <c r="G3193" s="2">
        <f>IFERROR(__xludf.DUMMYFUNCTION("""COMPUTED_VALUE"""),57.7198999999999)</f>
        <v>57.7199</v>
      </c>
    </row>
    <row r="3194">
      <c r="A3194" s="1" t="s">
        <v>3193</v>
      </c>
      <c r="D3194" s="3">
        <f>IFERROR(__xludf.DUMMYFUNCTION("SPLIT(A3194, ""|"")"),43209.0)</f>
        <v>43209</v>
      </c>
      <c r="E3194" s="2">
        <f>IFERROR(__xludf.DUMMYFUNCTION("""COMPUTED_VALUE"""),1163223.0)</f>
        <v>1163223</v>
      </c>
      <c r="F3194" s="2">
        <f>IFERROR(__xludf.DUMMYFUNCTION("""COMPUTED_VALUE"""),4401275.0)</f>
        <v>4401275</v>
      </c>
      <c r="G3194" s="2">
        <f>IFERROR(__xludf.DUMMYFUNCTION("""COMPUTED_VALUE"""),16.2166)</f>
        <v>16.2166</v>
      </c>
    </row>
    <row r="3195">
      <c r="A3195" s="1" t="s">
        <v>3194</v>
      </c>
      <c r="D3195" s="3">
        <f>IFERROR(__xludf.DUMMYFUNCTION("SPLIT(A3195, ""|"")"),43209.0)</f>
        <v>43209</v>
      </c>
      <c r="E3195" s="2">
        <f>IFERROR(__xludf.DUMMYFUNCTION("""COMPUTED_VALUE"""),234783.0)</f>
        <v>234783</v>
      </c>
      <c r="F3195" s="2">
        <f>IFERROR(__xludf.DUMMYFUNCTION("""COMPUTED_VALUE"""),4400120.0)</f>
        <v>4400120</v>
      </c>
      <c r="G3195" s="2">
        <f>IFERROR(__xludf.DUMMYFUNCTION("""COMPUTED_VALUE"""),167.054)</f>
        <v>167.054</v>
      </c>
    </row>
    <row r="3196">
      <c r="A3196" s="1" t="s">
        <v>3195</v>
      </c>
      <c r="D3196" s="3">
        <f>IFERROR(__xludf.DUMMYFUNCTION("SPLIT(A3196, ""|"")"),43465.0)</f>
        <v>43465</v>
      </c>
      <c r="E3196" s="2">
        <f>IFERROR(__xludf.DUMMYFUNCTION("""COMPUTED_VALUE"""),1829373.0)</f>
        <v>1829373</v>
      </c>
      <c r="F3196" s="2">
        <f>IFERROR(__xludf.DUMMYFUNCTION("""COMPUTED_VALUE"""),5361044.0)</f>
        <v>5361044</v>
      </c>
      <c r="G3196" s="2">
        <f>IFERROR(__xludf.DUMMYFUNCTION("""COMPUTED_VALUE"""),79.6258)</f>
        <v>79.6258</v>
      </c>
    </row>
    <row r="3197">
      <c r="A3197" s="1" t="s">
        <v>3196</v>
      </c>
      <c r="D3197" s="3">
        <f>IFERROR(__xludf.DUMMYFUNCTION("SPLIT(A3197, ""|"")"),43465.0)</f>
        <v>43465</v>
      </c>
      <c r="E3197" s="2">
        <f>IFERROR(__xludf.DUMMYFUNCTION("""COMPUTED_VALUE"""),1611873.0)</f>
        <v>1611873</v>
      </c>
      <c r="F3197" s="2">
        <f>IFERROR(__xludf.DUMMYFUNCTION("""COMPUTED_VALUE"""),5360838.0)</f>
        <v>5360838</v>
      </c>
      <c r="G3197" s="2">
        <f>IFERROR(__xludf.DUMMYFUNCTION("""COMPUTED_VALUE"""),134.5332)</f>
        <v>134.5332</v>
      </c>
    </row>
    <row r="3198">
      <c r="A3198" s="1" t="s">
        <v>3197</v>
      </c>
      <c r="D3198" s="3">
        <f>IFERROR(__xludf.DUMMYFUNCTION("SPLIT(A3198, ""|"")"),43465.0)</f>
        <v>43465</v>
      </c>
      <c r="E3198" s="2">
        <f>IFERROR(__xludf.DUMMYFUNCTION("""COMPUTED_VALUE"""),1829223.0)</f>
        <v>1829223</v>
      </c>
      <c r="F3198" s="2">
        <f>IFERROR(__xludf.DUMMYFUNCTION("""COMPUTED_VALUE"""),5360387.0)</f>
        <v>5360387</v>
      </c>
      <c r="G3198" s="2">
        <f>IFERROR(__xludf.DUMMYFUNCTION("""COMPUTED_VALUE"""),60.33)</f>
        <v>60.33</v>
      </c>
    </row>
    <row r="3199">
      <c r="A3199" s="1" t="s">
        <v>3198</v>
      </c>
      <c r="D3199" s="3">
        <f>IFERROR(__xludf.DUMMYFUNCTION("SPLIT(A3199, ""|"")"),43465.0)</f>
        <v>43465</v>
      </c>
      <c r="E3199" s="2">
        <f>IFERROR(__xludf.DUMMYFUNCTION("""COMPUTED_VALUE"""),1427553.0)</f>
        <v>1427553</v>
      </c>
      <c r="F3199" s="2">
        <f>IFERROR(__xludf.DUMMYFUNCTION("""COMPUTED_VALUE"""),5360722.0)</f>
        <v>5360722</v>
      </c>
      <c r="G3199" s="2">
        <f>IFERROR(__xludf.DUMMYFUNCTION("""COMPUTED_VALUE"""),186.8008)</f>
        <v>186.8008</v>
      </c>
    </row>
    <row r="3200">
      <c r="A3200" s="1" t="s">
        <v>3199</v>
      </c>
      <c r="D3200" s="3">
        <f>IFERROR(__xludf.DUMMYFUNCTION("SPLIT(A3200, ""|"")"),43465.0)</f>
        <v>43465</v>
      </c>
      <c r="E3200" s="2">
        <f>IFERROR(__xludf.DUMMYFUNCTION("""COMPUTED_VALUE"""),1427553.0)</f>
        <v>1427553</v>
      </c>
      <c r="F3200" s="2">
        <f>IFERROR(__xludf.DUMMYFUNCTION("""COMPUTED_VALUE"""),5360760.0)</f>
        <v>5360760</v>
      </c>
      <c r="G3200" s="2">
        <f>IFERROR(__xludf.DUMMYFUNCTION("""COMPUTED_VALUE"""),76.8037)</f>
        <v>76.8037</v>
      </c>
    </row>
    <row r="3201">
      <c r="A3201" s="1" t="s">
        <v>3200</v>
      </c>
      <c r="D3201" s="3">
        <f>IFERROR(__xludf.DUMMYFUNCTION("SPLIT(A3201, ""|"")"),42954.0)</f>
        <v>42954</v>
      </c>
      <c r="E3201" s="2">
        <f>IFERROR(__xludf.DUMMYFUNCTION("""COMPUTED_VALUE"""),391113.0)</f>
        <v>391113</v>
      </c>
      <c r="F3201" s="2">
        <f>IFERROR(__xludf.DUMMYFUNCTION("""COMPUTED_VALUE"""),3699234.0)</f>
        <v>3699234</v>
      </c>
      <c r="G3201" s="2">
        <f>IFERROR(__xludf.DUMMYFUNCTION("""COMPUTED_VALUE"""),44.8043)</f>
        <v>44.8043</v>
      </c>
    </row>
    <row r="3202">
      <c r="A3202" s="1" t="s">
        <v>3201</v>
      </c>
      <c r="D3202" s="3">
        <f>IFERROR(__xludf.DUMMYFUNCTION("SPLIT(A3202, ""|"")"),42954.0)</f>
        <v>42954</v>
      </c>
      <c r="E3202" s="2">
        <f>IFERROR(__xludf.DUMMYFUNCTION("""COMPUTED_VALUE"""),1390533.0)</f>
        <v>1390533</v>
      </c>
      <c r="F3202" s="2">
        <f>IFERROR(__xludf.DUMMYFUNCTION("""COMPUTED_VALUE"""),3700642.0)</f>
        <v>3700642</v>
      </c>
      <c r="G3202" s="2">
        <f>IFERROR(__xludf.DUMMYFUNCTION("""COMPUTED_VALUE"""),36.4089)</f>
        <v>36.4089</v>
      </c>
    </row>
    <row r="3203">
      <c r="A3203" s="1" t="s">
        <v>3202</v>
      </c>
      <c r="D3203" s="3">
        <f>IFERROR(__xludf.DUMMYFUNCTION("SPLIT(A3203, ""|"")"),42954.0)</f>
        <v>42954</v>
      </c>
      <c r="E3203" s="2">
        <f>IFERROR(__xludf.DUMMYFUNCTION("""COMPUTED_VALUE"""),1246893.0)</f>
        <v>1246893</v>
      </c>
      <c r="F3203" s="2">
        <f>IFERROR(__xludf.DUMMYFUNCTION("""COMPUTED_VALUE"""),3699747.0)</f>
        <v>3699747</v>
      </c>
      <c r="G3203" s="2">
        <f>IFERROR(__xludf.DUMMYFUNCTION("""COMPUTED_VALUE"""),204.7083)</f>
        <v>204.7083</v>
      </c>
    </row>
    <row r="3204">
      <c r="A3204" s="1" t="s">
        <v>3203</v>
      </c>
      <c r="D3204" s="3">
        <f>IFERROR(__xludf.DUMMYFUNCTION("SPLIT(A3204, ""|"")"),43210.0)</f>
        <v>43210</v>
      </c>
      <c r="E3204" s="2">
        <f>IFERROR(__xludf.DUMMYFUNCTION("""COMPUTED_VALUE"""),217743.0)</f>
        <v>217743</v>
      </c>
      <c r="F3204" s="2">
        <f>IFERROR(__xludf.DUMMYFUNCTION("""COMPUTED_VALUE"""),4402832.0)</f>
        <v>4402832</v>
      </c>
      <c r="G3204" s="2">
        <f>IFERROR(__xludf.DUMMYFUNCTION("""COMPUTED_VALUE"""),164.0812)</f>
        <v>164.0812</v>
      </c>
    </row>
    <row r="3205">
      <c r="A3205" s="1" t="s">
        <v>3204</v>
      </c>
      <c r="D3205" s="3">
        <f>IFERROR(__xludf.DUMMYFUNCTION("SPLIT(A3205, ""|"")"),43210.0)</f>
        <v>43210</v>
      </c>
      <c r="E3205" s="2">
        <f>IFERROR(__xludf.DUMMYFUNCTION("""COMPUTED_VALUE"""),1577253.0)</f>
        <v>1577253</v>
      </c>
      <c r="F3205" s="2">
        <f>IFERROR(__xludf.DUMMYFUNCTION("""COMPUTED_VALUE"""),4401792.0)</f>
        <v>4401792</v>
      </c>
      <c r="G3205" s="2">
        <f>IFERROR(__xludf.DUMMYFUNCTION("""COMPUTED_VALUE"""),38.623)</f>
        <v>38.623</v>
      </c>
    </row>
    <row r="3206">
      <c r="A3206" s="1" t="s">
        <v>3205</v>
      </c>
      <c r="D3206" s="3">
        <f>IFERROR(__xludf.DUMMYFUNCTION("SPLIT(A3206, ""|"")"),42955.0)</f>
        <v>42955</v>
      </c>
      <c r="E3206" s="2">
        <f>IFERROR(__xludf.DUMMYFUNCTION("""COMPUTED_VALUE"""),1391163.0)</f>
        <v>1391163</v>
      </c>
      <c r="F3206" s="2">
        <f>IFERROR(__xludf.DUMMYFUNCTION("""COMPUTED_VALUE"""),3703403.0)</f>
        <v>3703403</v>
      </c>
      <c r="G3206" s="2">
        <f>IFERROR(__xludf.DUMMYFUNCTION("""COMPUTED_VALUE"""),80.925)</f>
        <v>80.925</v>
      </c>
    </row>
    <row r="3207">
      <c r="A3207" s="1" t="s">
        <v>3206</v>
      </c>
      <c r="D3207" s="3">
        <f>IFERROR(__xludf.DUMMYFUNCTION("SPLIT(A3207, ""|"")"),42955.0)</f>
        <v>42955</v>
      </c>
      <c r="E3207" s="2">
        <f>IFERROR(__xludf.DUMMYFUNCTION("""COMPUTED_VALUE"""),1273263.0)</f>
        <v>1273263</v>
      </c>
      <c r="F3207" s="2">
        <f>IFERROR(__xludf.DUMMYFUNCTION("""COMPUTED_VALUE"""),3702779.0)</f>
        <v>3702779</v>
      </c>
      <c r="G3207" s="2">
        <f>IFERROR(__xludf.DUMMYFUNCTION("""COMPUTED_VALUE"""),40.9093)</f>
        <v>40.9093</v>
      </c>
    </row>
    <row r="3208">
      <c r="A3208" s="1" t="s">
        <v>3207</v>
      </c>
      <c r="D3208" s="3">
        <f>IFERROR(__xludf.DUMMYFUNCTION("SPLIT(A3208, ""|"")"),42955.0)</f>
        <v>42955</v>
      </c>
      <c r="E3208" s="2">
        <f>IFERROR(__xludf.DUMMYFUNCTION("""COMPUTED_VALUE"""),1128333.0)</f>
        <v>1128333</v>
      </c>
      <c r="F3208" s="2">
        <f>IFERROR(__xludf.DUMMYFUNCTION("""COMPUTED_VALUE"""),3703012.0)</f>
        <v>3703012</v>
      </c>
      <c r="G3208" s="2">
        <f>IFERROR(__xludf.DUMMYFUNCTION("""COMPUTED_VALUE"""),58.3079)</f>
        <v>58.3079</v>
      </c>
    </row>
    <row r="3209">
      <c r="A3209" s="1" t="s">
        <v>3208</v>
      </c>
      <c r="D3209" s="3">
        <f>IFERROR(__xludf.DUMMYFUNCTION("SPLIT(A3209, ""|"")"),42955.0)</f>
        <v>42955</v>
      </c>
      <c r="E3209" s="2">
        <f>IFERROR(__xludf.DUMMYFUNCTION("""COMPUTED_VALUE"""),1334643.0)</f>
        <v>1334643</v>
      </c>
      <c r="F3209" s="2">
        <f>IFERROR(__xludf.DUMMYFUNCTION("""COMPUTED_VALUE"""),3701575.0)</f>
        <v>3701575</v>
      </c>
      <c r="G3209" s="2">
        <f>IFERROR(__xludf.DUMMYFUNCTION("""COMPUTED_VALUE"""),119.3972)</f>
        <v>119.3972</v>
      </c>
    </row>
    <row r="3210">
      <c r="A3210" s="1" t="s">
        <v>3209</v>
      </c>
      <c r="D3210" s="3">
        <f>IFERROR(__xludf.DUMMYFUNCTION("SPLIT(A3210, ""|"")"),42955.0)</f>
        <v>42955</v>
      </c>
      <c r="E3210" s="2">
        <f>IFERROR(__xludf.DUMMYFUNCTION("""COMPUTED_VALUE"""),1292943.0)</f>
        <v>1292943</v>
      </c>
      <c r="F3210" s="2">
        <f>IFERROR(__xludf.DUMMYFUNCTION("""COMPUTED_VALUE"""),3701869.0)</f>
        <v>3701869</v>
      </c>
      <c r="G3210" s="2">
        <f>IFERROR(__xludf.DUMMYFUNCTION("""COMPUTED_VALUE"""),203.784399999999)</f>
        <v>203.7844</v>
      </c>
    </row>
    <row r="3211">
      <c r="A3211" s="1" t="s">
        <v>3210</v>
      </c>
      <c r="D3211" s="3">
        <f>IFERROR(__xludf.DUMMYFUNCTION("SPLIT(A3211, ""|"")"),42955.0)</f>
        <v>42955</v>
      </c>
      <c r="E3211" s="2">
        <f>IFERROR(__xludf.DUMMYFUNCTION("""COMPUTED_VALUE"""),1390683.0)</f>
        <v>1390683</v>
      </c>
      <c r="F3211" s="2">
        <f>IFERROR(__xludf.DUMMYFUNCTION("""COMPUTED_VALUE"""),3703250.0)</f>
        <v>3703250</v>
      </c>
      <c r="G3211" s="2">
        <f>IFERROR(__xludf.DUMMYFUNCTION("""COMPUTED_VALUE"""),246.6902)</f>
        <v>246.6902</v>
      </c>
    </row>
    <row r="3212">
      <c r="A3212" s="1" t="s">
        <v>3211</v>
      </c>
      <c r="D3212" s="3">
        <f>IFERROR(__xludf.DUMMYFUNCTION("SPLIT(A3212, ""|"")"),42955.0)</f>
        <v>42955</v>
      </c>
      <c r="E3212" s="2">
        <f>IFERROR(__xludf.DUMMYFUNCTION("""COMPUTED_VALUE"""),366003.0)</f>
        <v>366003</v>
      </c>
      <c r="F3212" s="2">
        <f>IFERROR(__xludf.DUMMYFUNCTION("""COMPUTED_VALUE"""),3701984.0)</f>
        <v>3701984</v>
      </c>
      <c r="G3212" s="2">
        <f>IFERROR(__xludf.DUMMYFUNCTION("""COMPUTED_VALUE"""),126.8977)</f>
        <v>126.8977</v>
      </c>
    </row>
    <row r="3213">
      <c r="A3213" s="1" t="s">
        <v>3212</v>
      </c>
      <c r="D3213" s="3">
        <f>IFERROR(__xludf.DUMMYFUNCTION("SPLIT(A3213, ""|"")"),43211.0)</f>
        <v>43211</v>
      </c>
      <c r="E3213" s="2">
        <f>IFERROR(__xludf.DUMMYFUNCTION("""COMPUTED_VALUE"""),1348683.0)</f>
        <v>1348683</v>
      </c>
      <c r="F3213" s="2">
        <f>IFERROR(__xludf.DUMMYFUNCTION("""COMPUTED_VALUE"""),4404799.0)</f>
        <v>4404799</v>
      </c>
      <c r="G3213" s="2">
        <f>IFERROR(__xludf.DUMMYFUNCTION("""COMPUTED_VALUE"""),99.545)</f>
        <v>99.545</v>
      </c>
    </row>
    <row r="3214">
      <c r="A3214" s="1" t="s">
        <v>3213</v>
      </c>
      <c r="D3214" s="3">
        <f>IFERROR(__xludf.DUMMYFUNCTION("SPLIT(A3214, ""|"")"),43211.0)</f>
        <v>43211</v>
      </c>
      <c r="E3214" s="2">
        <f>IFERROR(__xludf.DUMMYFUNCTION("""COMPUTED_VALUE"""),1491273.0)</f>
        <v>1491273</v>
      </c>
      <c r="F3214" s="2">
        <f>IFERROR(__xludf.DUMMYFUNCTION("""COMPUTED_VALUE"""),4404521.0)</f>
        <v>4404521</v>
      </c>
      <c r="G3214" s="2">
        <f>IFERROR(__xludf.DUMMYFUNCTION("""COMPUTED_VALUE"""),73.0483)</f>
        <v>73.0483</v>
      </c>
    </row>
    <row r="3215">
      <c r="A3215" s="1" t="s">
        <v>3214</v>
      </c>
      <c r="D3215" s="3">
        <f>IFERROR(__xludf.DUMMYFUNCTION("SPLIT(A3215, ""|"")"),43211.0)</f>
        <v>43211</v>
      </c>
      <c r="E3215" s="2">
        <f>IFERROR(__xludf.DUMMYFUNCTION("""COMPUTED_VALUE"""),481893.0)</f>
        <v>481893</v>
      </c>
      <c r="F3215" s="2">
        <f>IFERROR(__xludf.DUMMYFUNCTION("""COMPUTED_VALUE"""),4403556.0)</f>
        <v>4403556</v>
      </c>
      <c r="G3215" s="2">
        <f>IFERROR(__xludf.DUMMYFUNCTION("""COMPUTED_VALUE"""),92.3314)</f>
        <v>92.3314</v>
      </c>
    </row>
    <row r="3216">
      <c r="A3216" s="1" t="s">
        <v>3215</v>
      </c>
      <c r="D3216" s="3">
        <f>IFERROR(__xludf.DUMMYFUNCTION("SPLIT(A3216, ""|"")"),42956.0)</f>
        <v>42956</v>
      </c>
      <c r="E3216" s="2">
        <f>IFERROR(__xludf.DUMMYFUNCTION("""COMPUTED_VALUE"""),1246893.0)</f>
        <v>1246893</v>
      </c>
      <c r="F3216" s="2">
        <f>IFERROR(__xludf.DUMMYFUNCTION("""COMPUTED_VALUE"""),3704359.0)</f>
        <v>3704359</v>
      </c>
      <c r="G3216" s="2">
        <f>IFERROR(__xludf.DUMMYFUNCTION("""COMPUTED_VALUE"""),91.375)</f>
        <v>91.375</v>
      </c>
    </row>
    <row r="3217">
      <c r="A3217" s="1" t="s">
        <v>3216</v>
      </c>
      <c r="D3217" s="3">
        <f>IFERROR(__xludf.DUMMYFUNCTION("SPLIT(A3217, ""|"")"),42956.0)</f>
        <v>42956</v>
      </c>
      <c r="E3217" s="2">
        <f>IFERROR(__xludf.DUMMYFUNCTION("""COMPUTED_VALUE"""),1391493.0)</f>
        <v>1391493</v>
      </c>
      <c r="F3217" s="2">
        <f>IFERROR(__xludf.DUMMYFUNCTION("""COMPUTED_VALUE"""),3704705.0)</f>
        <v>3704705</v>
      </c>
      <c r="G3217" s="2">
        <f>IFERROR(__xludf.DUMMYFUNCTION("""COMPUTED_VALUE"""),75.2916)</f>
        <v>75.2916</v>
      </c>
    </row>
    <row r="3218">
      <c r="A3218" s="1" t="s">
        <v>3217</v>
      </c>
      <c r="D3218" s="3">
        <f>IFERROR(__xludf.DUMMYFUNCTION("SPLIT(A3218, ""|"")"),43212.0)</f>
        <v>43212</v>
      </c>
      <c r="E3218" s="2">
        <f>IFERROR(__xludf.DUMMYFUNCTION("""COMPUTED_VALUE"""),1184643.0)</f>
        <v>1184643</v>
      </c>
      <c r="F3218" s="2">
        <f>IFERROR(__xludf.DUMMYFUNCTION("""COMPUTED_VALUE"""),4407730.0)</f>
        <v>4407730</v>
      </c>
      <c r="G3218" s="2">
        <f>IFERROR(__xludf.DUMMYFUNCTION("""COMPUTED_VALUE"""),119.174699999999)</f>
        <v>119.1747</v>
      </c>
    </row>
    <row r="3219">
      <c r="A3219" s="1" t="s">
        <v>3218</v>
      </c>
      <c r="D3219" s="3">
        <f>IFERROR(__xludf.DUMMYFUNCTION("SPLIT(A3219, ""|"")"),43212.0)</f>
        <v>43212</v>
      </c>
      <c r="E3219" s="2">
        <f>IFERROR(__xludf.DUMMYFUNCTION("""COMPUTED_VALUE"""),1578753.0)</f>
        <v>1578753</v>
      </c>
      <c r="F3219" s="2">
        <f>IFERROR(__xludf.DUMMYFUNCTION("""COMPUTED_VALUE"""),4407176.0)</f>
        <v>4407176</v>
      </c>
      <c r="G3219" s="2">
        <f>IFERROR(__xludf.DUMMYFUNCTION("""COMPUTED_VALUE"""),489.887)</f>
        <v>489.887</v>
      </c>
    </row>
    <row r="3220">
      <c r="A3220" s="1" t="s">
        <v>3219</v>
      </c>
      <c r="D3220" s="3">
        <f>IFERROR(__xludf.DUMMYFUNCTION("SPLIT(A3220, ""|"")"),43212.0)</f>
        <v>43212</v>
      </c>
      <c r="E3220" s="2">
        <f>IFERROR(__xludf.DUMMYFUNCTION("""COMPUTED_VALUE"""),1407333.0)</f>
        <v>1407333</v>
      </c>
      <c r="F3220" s="2">
        <f>IFERROR(__xludf.DUMMYFUNCTION("""COMPUTED_VALUE"""),4405338.0)</f>
        <v>4405338</v>
      </c>
      <c r="G3220" s="2">
        <f>IFERROR(__xludf.DUMMYFUNCTION("""COMPUTED_VALUE"""),216.9647)</f>
        <v>216.9647</v>
      </c>
    </row>
    <row r="3221">
      <c r="A3221" s="1" t="s">
        <v>3220</v>
      </c>
      <c r="D3221" s="3">
        <f>IFERROR(__xludf.DUMMYFUNCTION("SPLIT(A3221, ""|"")"),43212.0)</f>
        <v>43212</v>
      </c>
      <c r="E3221" s="2">
        <f>IFERROR(__xludf.DUMMYFUNCTION("""COMPUTED_VALUE"""),1578423.0)</f>
        <v>1578423</v>
      </c>
      <c r="F3221" s="2">
        <f>IFERROR(__xludf.DUMMYFUNCTION("""COMPUTED_VALUE"""),4405954.0)</f>
        <v>4405954</v>
      </c>
      <c r="G3221" s="2">
        <f>IFERROR(__xludf.DUMMYFUNCTION("""COMPUTED_VALUE"""),122.713799999999)</f>
        <v>122.7138</v>
      </c>
    </row>
    <row r="3222">
      <c r="A3222" s="1" t="s">
        <v>3221</v>
      </c>
      <c r="D3222" s="3">
        <f>IFERROR(__xludf.DUMMYFUNCTION("SPLIT(A3222, ""|"")"),42957.0)</f>
        <v>42957</v>
      </c>
      <c r="E3222" s="2">
        <f>IFERROR(__xludf.DUMMYFUNCTION("""COMPUTED_VALUE"""),1338723.0)</f>
        <v>1338723</v>
      </c>
      <c r="F3222" s="2">
        <f>IFERROR(__xludf.DUMMYFUNCTION("""COMPUTED_VALUE"""),3706108.0)</f>
        <v>3706108</v>
      </c>
      <c r="G3222" s="2">
        <f>IFERROR(__xludf.DUMMYFUNCTION("""COMPUTED_VALUE"""),66.2445)</f>
        <v>66.2445</v>
      </c>
    </row>
    <row r="3223">
      <c r="A3223" s="1" t="s">
        <v>3222</v>
      </c>
      <c r="D3223" s="3">
        <f>IFERROR(__xludf.DUMMYFUNCTION("SPLIT(A3223, ""|"")"),42957.0)</f>
        <v>42957</v>
      </c>
      <c r="E3223" s="2">
        <f>IFERROR(__xludf.DUMMYFUNCTION("""COMPUTED_VALUE"""),1391883.0)</f>
        <v>1391883</v>
      </c>
      <c r="F3223" s="2">
        <f>IFERROR(__xludf.DUMMYFUNCTION("""COMPUTED_VALUE"""),3706454.0)</f>
        <v>3706454</v>
      </c>
      <c r="G3223" s="2">
        <f>IFERROR(__xludf.DUMMYFUNCTION("""COMPUTED_VALUE"""),38.25)</f>
        <v>38.25</v>
      </c>
    </row>
    <row r="3224">
      <c r="A3224" s="1" t="s">
        <v>3223</v>
      </c>
      <c r="D3224" s="3">
        <f>IFERROR(__xludf.DUMMYFUNCTION("SPLIT(A3224, ""|"")"),42957.0)</f>
        <v>42957</v>
      </c>
      <c r="E3224" s="2">
        <f>IFERROR(__xludf.DUMMYFUNCTION("""COMPUTED_VALUE"""),1391433.0)</f>
        <v>1391433</v>
      </c>
      <c r="F3224" s="2">
        <f>IFERROR(__xludf.DUMMYFUNCTION("""COMPUTED_VALUE"""),3706463.0)</f>
        <v>3706463</v>
      </c>
      <c r="G3224" s="2">
        <f>IFERROR(__xludf.DUMMYFUNCTION("""COMPUTED_VALUE"""),5.9925)</f>
        <v>5.9925</v>
      </c>
    </row>
    <row r="3225">
      <c r="A3225" s="1" t="s">
        <v>3224</v>
      </c>
      <c r="D3225" s="3">
        <f>IFERROR(__xludf.DUMMYFUNCTION("SPLIT(A3225, ""|"")"),42957.0)</f>
        <v>42957</v>
      </c>
      <c r="E3225" s="2">
        <f>IFERROR(__xludf.DUMMYFUNCTION("""COMPUTED_VALUE"""),1392033.0)</f>
        <v>1392033</v>
      </c>
      <c r="F3225" s="2">
        <f>IFERROR(__xludf.DUMMYFUNCTION("""COMPUTED_VALUE"""),3707141.0)</f>
        <v>3707141</v>
      </c>
      <c r="G3225" s="2">
        <f>IFERROR(__xludf.DUMMYFUNCTION("""COMPUTED_VALUE"""),51.0)</f>
        <v>51</v>
      </c>
    </row>
    <row r="3226">
      <c r="A3226" s="1" t="s">
        <v>3225</v>
      </c>
      <c r="D3226" s="3">
        <f>IFERROR(__xludf.DUMMYFUNCTION("SPLIT(A3226, ""|"")"),42957.0)</f>
        <v>42957</v>
      </c>
      <c r="E3226" s="2">
        <f>IFERROR(__xludf.DUMMYFUNCTION("""COMPUTED_VALUE"""),1291233.0)</f>
        <v>1291233</v>
      </c>
      <c r="F3226" s="2">
        <f>IFERROR(__xludf.DUMMYFUNCTION("""COMPUTED_VALUE"""),3707157.0)</f>
        <v>3707157</v>
      </c>
      <c r="G3226" s="2">
        <f>IFERROR(__xludf.DUMMYFUNCTION("""COMPUTED_VALUE"""),103.392099999999)</f>
        <v>103.3921</v>
      </c>
    </row>
    <row r="3227">
      <c r="A3227" s="1" t="s">
        <v>3226</v>
      </c>
      <c r="D3227" s="3">
        <f>IFERROR(__xludf.DUMMYFUNCTION("SPLIT(A3227, ""|"")"),43213.0)</f>
        <v>43213</v>
      </c>
      <c r="E3227" s="2">
        <f>IFERROR(__xludf.DUMMYFUNCTION("""COMPUTED_VALUE"""),1566813.0)</f>
        <v>1566813</v>
      </c>
      <c r="F3227" s="2">
        <f>IFERROR(__xludf.DUMMYFUNCTION("""COMPUTED_VALUE"""),4408380.0)</f>
        <v>4408380</v>
      </c>
      <c r="G3227" s="2">
        <f>IFERROR(__xludf.DUMMYFUNCTION("""COMPUTED_VALUE"""),29.7501)</f>
        <v>29.7501</v>
      </c>
    </row>
    <row r="3228">
      <c r="A3228" s="1" t="s">
        <v>3227</v>
      </c>
      <c r="D3228" s="3">
        <f>IFERROR(__xludf.DUMMYFUNCTION("SPLIT(A3228, ""|"")"),43213.0)</f>
        <v>43213</v>
      </c>
      <c r="E3228" s="2">
        <f>IFERROR(__xludf.DUMMYFUNCTION("""COMPUTED_VALUE"""),1405893.0)</f>
        <v>1405893</v>
      </c>
      <c r="F3228" s="2">
        <f>IFERROR(__xludf.DUMMYFUNCTION("""COMPUTED_VALUE"""),4408252.0)</f>
        <v>4408252</v>
      </c>
      <c r="G3228" s="2">
        <f>IFERROR(__xludf.DUMMYFUNCTION("""COMPUTED_VALUE"""),74.9138)</f>
        <v>74.9138</v>
      </c>
    </row>
    <row r="3229">
      <c r="A3229" s="1" t="s">
        <v>3228</v>
      </c>
      <c r="D3229" s="3">
        <f>IFERROR(__xludf.DUMMYFUNCTION("SPLIT(A3229, ""|"")"),43213.0)</f>
        <v>43213</v>
      </c>
      <c r="E3229" s="2">
        <f>IFERROR(__xludf.DUMMYFUNCTION("""COMPUTED_VALUE"""),1579563.0)</f>
        <v>1579563</v>
      </c>
      <c r="F3229" s="2">
        <f>IFERROR(__xludf.DUMMYFUNCTION("""COMPUTED_VALUE"""),4410313.0)</f>
        <v>4410313</v>
      </c>
      <c r="G3229" s="2">
        <f>IFERROR(__xludf.DUMMYFUNCTION("""COMPUTED_VALUE"""),18.6954)</f>
        <v>18.6954</v>
      </c>
    </row>
    <row r="3230">
      <c r="A3230" s="1" t="s">
        <v>3229</v>
      </c>
      <c r="D3230" s="3">
        <f>IFERROR(__xludf.DUMMYFUNCTION("SPLIT(A3230, ""|"")"),43213.0)</f>
        <v>43213</v>
      </c>
      <c r="E3230" s="2">
        <f>IFERROR(__xludf.DUMMYFUNCTION("""COMPUTED_VALUE"""),143763.0)</f>
        <v>143763</v>
      </c>
      <c r="F3230" s="2">
        <f>IFERROR(__xludf.DUMMYFUNCTION("""COMPUTED_VALUE"""),4408326.0)</f>
        <v>4408326</v>
      </c>
      <c r="G3230" s="2">
        <f>IFERROR(__xludf.DUMMYFUNCTION("""COMPUTED_VALUE"""),46.919)</f>
        <v>46.919</v>
      </c>
    </row>
    <row r="3231">
      <c r="A3231" s="1" t="s">
        <v>3230</v>
      </c>
      <c r="D3231" s="3">
        <f>IFERROR(__xludf.DUMMYFUNCTION("SPLIT(A3231, ""|"")"),43213.0)</f>
        <v>43213</v>
      </c>
      <c r="E3231" s="2">
        <f>IFERROR(__xludf.DUMMYFUNCTION("""COMPUTED_VALUE"""),345093.0)</f>
        <v>345093</v>
      </c>
      <c r="F3231" s="2">
        <f>IFERROR(__xludf.DUMMYFUNCTION("""COMPUTED_VALUE"""),4410291.0)</f>
        <v>4410291</v>
      </c>
      <c r="G3231" s="2">
        <f>IFERROR(__xludf.DUMMYFUNCTION("""COMPUTED_VALUE"""),59.0833)</f>
        <v>59.0833</v>
      </c>
    </row>
    <row r="3232">
      <c r="A3232" s="1" t="s">
        <v>3231</v>
      </c>
      <c r="D3232" s="3">
        <f>IFERROR(__xludf.DUMMYFUNCTION("SPLIT(A3232, ""|"")"),43213.0)</f>
        <v>43213</v>
      </c>
      <c r="E3232" s="2">
        <f>IFERROR(__xludf.DUMMYFUNCTION("""COMPUTED_VALUE"""),1543923.0)</f>
        <v>1543923</v>
      </c>
      <c r="F3232" s="2">
        <f>IFERROR(__xludf.DUMMYFUNCTION("""COMPUTED_VALUE"""),4409699.0)</f>
        <v>4409699</v>
      </c>
      <c r="G3232" s="2">
        <f>IFERROR(__xludf.DUMMYFUNCTION("""COMPUTED_VALUE"""),64.702)</f>
        <v>64.702</v>
      </c>
    </row>
    <row r="3233">
      <c r="A3233" s="1" t="s">
        <v>3232</v>
      </c>
      <c r="D3233" s="3">
        <f>IFERROR(__xludf.DUMMYFUNCTION("SPLIT(A3233, ""|"")"),42958.0)</f>
        <v>42958</v>
      </c>
      <c r="E3233" s="2">
        <f>IFERROR(__xludf.DUMMYFUNCTION("""COMPUTED_VALUE"""),1336473.0)</f>
        <v>1336473</v>
      </c>
      <c r="F3233" s="2">
        <f>IFERROR(__xludf.DUMMYFUNCTION("""COMPUTED_VALUE"""),3709590.0)</f>
        <v>3709590</v>
      </c>
      <c r="G3233" s="2">
        <f>IFERROR(__xludf.DUMMYFUNCTION("""COMPUTED_VALUE"""),180.540499999999)</f>
        <v>180.5405</v>
      </c>
    </row>
    <row r="3234">
      <c r="A3234" s="1" t="s">
        <v>3233</v>
      </c>
      <c r="D3234" s="3">
        <f>IFERROR(__xludf.DUMMYFUNCTION("SPLIT(A3234, ""|"")"),42958.0)</f>
        <v>42958</v>
      </c>
      <c r="E3234" s="2">
        <f>IFERROR(__xludf.DUMMYFUNCTION("""COMPUTED_VALUE"""),1198923.0)</f>
        <v>1198923</v>
      </c>
      <c r="F3234" s="2">
        <f>IFERROR(__xludf.DUMMYFUNCTION("""COMPUTED_VALUE"""),3708510.0)</f>
        <v>3708510</v>
      </c>
      <c r="G3234" s="2">
        <f>IFERROR(__xludf.DUMMYFUNCTION("""COMPUTED_VALUE"""),128.8588)</f>
        <v>128.8588</v>
      </c>
    </row>
    <row r="3235">
      <c r="A3235" s="1" t="s">
        <v>3234</v>
      </c>
      <c r="D3235" s="3">
        <f>IFERROR(__xludf.DUMMYFUNCTION("SPLIT(A3235, ""|"")"),42958.0)</f>
        <v>42958</v>
      </c>
      <c r="E3235" s="2">
        <f>IFERROR(__xludf.DUMMYFUNCTION("""COMPUTED_VALUE"""),1392573.0)</f>
        <v>1392573</v>
      </c>
      <c r="F3235" s="2">
        <f>IFERROR(__xludf.DUMMYFUNCTION("""COMPUTED_VALUE"""),3709442.0)</f>
        <v>3709442</v>
      </c>
      <c r="G3235" s="2">
        <f>IFERROR(__xludf.DUMMYFUNCTION("""COMPUTED_VALUE"""),84.8815)</f>
        <v>84.8815</v>
      </c>
    </row>
    <row r="3236">
      <c r="A3236" s="1" t="s">
        <v>3235</v>
      </c>
      <c r="D3236" s="3">
        <f>IFERROR(__xludf.DUMMYFUNCTION("SPLIT(A3236, ""|"")"),43214.0)</f>
        <v>43214</v>
      </c>
      <c r="E3236" s="2">
        <f>IFERROR(__xludf.DUMMYFUNCTION("""COMPUTED_VALUE"""),1455873.0)</f>
        <v>1455873</v>
      </c>
      <c r="F3236" s="2">
        <f>IFERROR(__xludf.DUMMYFUNCTION("""COMPUTED_VALUE"""),4413244.0)</f>
        <v>4413244</v>
      </c>
      <c r="G3236" s="2">
        <f>IFERROR(__xludf.DUMMYFUNCTION("""COMPUTED_VALUE"""),101.356599999999)</f>
        <v>101.3566</v>
      </c>
    </row>
    <row r="3237">
      <c r="A3237" s="1" t="s">
        <v>3236</v>
      </c>
      <c r="D3237" s="3">
        <f>IFERROR(__xludf.DUMMYFUNCTION("SPLIT(A3237, ""|"")"),43214.0)</f>
        <v>43214</v>
      </c>
      <c r="E3237" s="2">
        <f>IFERROR(__xludf.DUMMYFUNCTION("""COMPUTED_VALUE"""),1580253.0)</f>
        <v>1580253</v>
      </c>
      <c r="F3237" s="2">
        <f>IFERROR(__xludf.DUMMYFUNCTION("""COMPUTED_VALUE"""),4413111.0)</f>
        <v>4413111</v>
      </c>
      <c r="G3237" s="2">
        <f>IFERROR(__xludf.DUMMYFUNCTION("""COMPUTED_VALUE"""),24.91)</f>
        <v>24.91</v>
      </c>
    </row>
    <row r="3238">
      <c r="A3238" s="1" t="s">
        <v>3237</v>
      </c>
      <c r="D3238" s="3">
        <f>IFERROR(__xludf.DUMMYFUNCTION("SPLIT(A3238, ""|"")"),43214.0)</f>
        <v>43214</v>
      </c>
      <c r="E3238" s="2">
        <f>IFERROR(__xludf.DUMMYFUNCTION("""COMPUTED_VALUE"""),1549233.0)</f>
        <v>1549233</v>
      </c>
      <c r="F3238" s="2">
        <f>IFERROR(__xludf.DUMMYFUNCTION("""COMPUTED_VALUE"""),4413750.0)</f>
        <v>4413750</v>
      </c>
      <c r="G3238" s="2">
        <f>IFERROR(__xludf.DUMMYFUNCTION("""COMPUTED_VALUE"""),16.1544)</f>
        <v>16.1544</v>
      </c>
    </row>
    <row r="3239">
      <c r="A3239" s="1" t="s">
        <v>3238</v>
      </c>
      <c r="D3239" s="3">
        <f>IFERROR(__xludf.DUMMYFUNCTION("SPLIT(A3239, ""|"")"),43214.0)</f>
        <v>43214</v>
      </c>
      <c r="E3239" s="2">
        <f>IFERROR(__xludf.DUMMYFUNCTION("""COMPUTED_VALUE"""),1535193.0)</f>
        <v>1535193</v>
      </c>
      <c r="F3239" s="2">
        <f>IFERROR(__xludf.DUMMYFUNCTION("""COMPUTED_VALUE"""),4411453.0)</f>
        <v>4411453</v>
      </c>
      <c r="G3239" s="2">
        <f>IFERROR(__xludf.DUMMYFUNCTION("""COMPUTED_VALUE"""),34.0984)</f>
        <v>34.0984</v>
      </c>
    </row>
    <row r="3240">
      <c r="A3240" s="1" t="s">
        <v>3239</v>
      </c>
      <c r="D3240" s="3">
        <f>IFERROR(__xludf.DUMMYFUNCTION("SPLIT(A3240, ""|"")"),43214.0)</f>
        <v>43214</v>
      </c>
      <c r="E3240" s="2">
        <f>IFERROR(__xludf.DUMMYFUNCTION("""COMPUTED_VALUE"""),1579953.0)</f>
        <v>1579953</v>
      </c>
      <c r="F3240" s="2">
        <f>IFERROR(__xludf.DUMMYFUNCTION("""COMPUTED_VALUE"""),4411954.0)</f>
        <v>4411954</v>
      </c>
      <c r="G3240" s="2">
        <f>IFERROR(__xludf.DUMMYFUNCTION("""COMPUTED_VALUE"""),93.54)</f>
        <v>93.54</v>
      </c>
    </row>
    <row r="3241">
      <c r="A3241" s="1" t="s">
        <v>3240</v>
      </c>
      <c r="D3241" s="3">
        <f>IFERROR(__xludf.DUMMYFUNCTION("SPLIT(A3241, ""|"")"),43214.0)</f>
        <v>43214</v>
      </c>
      <c r="E3241" s="2">
        <f>IFERROR(__xludf.DUMMYFUNCTION("""COMPUTED_VALUE"""),1580073.0)</f>
        <v>1580073</v>
      </c>
      <c r="F3241" s="2">
        <f>IFERROR(__xludf.DUMMYFUNCTION("""COMPUTED_VALUE"""),4412472.0)</f>
        <v>4412472</v>
      </c>
      <c r="G3241" s="2">
        <f>IFERROR(__xludf.DUMMYFUNCTION("""COMPUTED_VALUE"""),51.014)</f>
        <v>51.014</v>
      </c>
    </row>
    <row r="3242">
      <c r="A3242" s="1" t="s">
        <v>3241</v>
      </c>
      <c r="D3242" s="3">
        <f>IFERROR(__xludf.DUMMYFUNCTION("SPLIT(A3242, ""|"")"),43214.0)</f>
        <v>43214</v>
      </c>
      <c r="E3242" s="2">
        <f>IFERROR(__xludf.DUMMYFUNCTION("""COMPUTED_VALUE"""),1580223.0)</f>
        <v>1580223</v>
      </c>
      <c r="F3242" s="2">
        <f>IFERROR(__xludf.DUMMYFUNCTION("""COMPUTED_VALUE"""),4413021.0)</f>
        <v>4413021</v>
      </c>
      <c r="G3242" s="2">
        <f>IFERROR(__xludf.DUMMYFUNCTION("""COMPUTED_VALUE"""),7.7631)</f>
        <v>7.7631</v>
      </c>
    </row>
    <row r="3243">
      <c r="A3243" s="1" t="s">
        <v>3242</v>
      </c>
      <c r="D3243" s="3">
        <f>IFERROR(__xludf.DUMMYFUNCTION("SPLIT(A3243, ""|"")"),42959.0)</f>
        <v>42959</v>
      </c>
      <c r="E3243" s="2">
        <f>IFERROR(__xludf.DUMMYFUNCTION("""COMPUTED_VALUE"""),1194483.0)</f>
        <v>1194483</v>
      </c>
      <c r="F3243" s="2">
        <f>IFERROR(__xludf.DUMMYFUNCTION("""COMPUTED_VALUE"""),3710231.0)</f>
        <v>3710231</v>
      </c>
      <c r="G3243" s="2">
        <f>IFERROR(__xludf.DUMMYFUNCTION("""COMPUTED_VALUE"""),177.1541)</f>
        <v>177.1541</v>
      </c>
    </row>
    <row r="3244">
      <c r="A3244" s="1" t="s">
        <v>3243</v>
      </c>
      <c r="D3244" s="3">
        <f>IFERROR(__xludf.DUMMYFUNCTION("SPLIT(A3244, ""|"")"),42959.0)</f>
        <v>42959</v>
      </c>
      <c r="E3244" s="2">
        <f>IFERROR(__xludf.DUMMYFUNCTION("""COMPUTED_VALUE"""),1190553.0)</f>
        <v>1190553</v>
      </c>
      <c r="F3244" s="2">
        <f>IFERROR(__xludf.DUMMYFUNCTION("""COMPUTED_VALUE"""),3710967.0)</f>
        <v>3710967</v>
      </c>
      <c r="G3244" s="2">
        <f>IFERROR(__xludf.DUMMYFUNCTION("""COMPUTED_VALUE"""),32.4167)</f>
        <v>32.4167</v>
      </c>
    </row>
    <row r="3245">
      <c r="A3245" s="1" t="s">
        <v>3244</v>
      </c>
      <c r="D3245" s="3">
        <f>IFERROR(__xludf.DUMMYFUNCTION("SPLIT(A3245, ""|"")"),42959.0)</f>
        <v>42959</v>
      </c>
      <c r="E3245" s="2">
        <f>IFERROR(__xludf.DUMMYFUNCTION("""COMPUTED_VALUE"""),884403.0)</f>
        <v>884403</v>
      </c>
      <c r="F3245" s="2">
        <f>IFERROR(__xludf.DUMMYFUNCTION("""COMPUTED_VALUE"""),3710499.0)</f>
        <v>3710499</v>
      </c>
      <c r="G3245" s="2">
        <f>IFERROR(__xludf.DUMMYFUNCTION("""COMPUTED_VALUE"""),71.38)</f>
        <v>71.38</v>
      </c>
    </row>
    <row r="3246">
      <c r="A3246" s="1" t="s">
        <v>3245</v>
      </c>
      <c r="D3246" s="3">
        <f>IFERROR(__xludf.DUMMYFUNCTION("SPLIT(A3246, ""|"")"),43215.0)</f>
        <v>43215</v>
      </c>
      <c r="E3246" s="2">
        <f>IFERROR(__xludf.DUMMYFUNCTION("""COMPUTED_VALUE"""),1274823.0)</f>
        <v>1274823</v>
      </c>
      <c r="F3246" s="2">
        <f>IFERROR(__xludf.DUMMYFUNCTION("""COMPUTED_VALUE"""),4414107.0)</f>
        <v>4414107</v>
      </c>
      <c r="G3246" s="2">
        <f>IFERROR(__xludf.DUMMYFUNCTION("""COMPUTED_VALUE"""),64.226)</f>
        <v>64.226</v>
      </c>
    </row>
    <row r="3247">
      <c r="A3247" s="1" t="s">
        <v>3246</v>
      </c>
      <c r="D3247" s="3">
        <f>IFERROR(__xludf.DUMMYFUNCTION("SPLIT(A3247, ""|"")"),43215.0)</f>
        <v>43215</v>
      </c>
      <c r="E3247" s="2">
        <f>IFERROR(__xludf.DUMMYFUNCTION("""COMPUTED_VALUE"""),1533183.0)</f>
        <v>1533183</v>
      </c>
      <c r="F3247" s="2">
        <f>IFERROR(__xludf.DUMMYFUNCTION("""COMPUTED_VALUE"""),4414219.0)</f>
        <v>4414219</v>
      </c>
      <c r="G3247" s="2">
        <f>IFERROR(__xludf.DUMMYFUNCTION("""COMPUTED_VALUE"""),79.2394999999999)</f>
        <v>79.2395</v>
      </c>
    </row>
    <row r="3248">
      <c r="A3248" s="1" t="s">
        <v>3247</v>
      </c>
      <c r="D3248" s="3">
        <f>IFERROR(__xludf.DUMMYFUNCTION("SPLIT(A3248, ""|"")"),43215.0)</f>
        <v>43215</v>
      </c>
      <c r="E3248" s="2">
        <f>IFERROR(__xludf.DUMMYFUNCTION("""COMPUTED_VALUE"""),1216983.0)</f>
        <v>1216983</v>
      </c>
      <c r="F3248" s="2">
        <f>IFERROR(__xludf.DUMMYFUNCTION("""COMPUTED_VALUE"""),4415874.0)</f>
        <v>4415874</v>
      </c>
      <c r="G3248" s="2">
        <f>IFERROR(__xludf.DUMMYFUNCTION("""COMPUTED_VALUE"""),37.52)</f>
        <v>37.52</v>
      </c>
    </row>
    <row r="3249">
      <c r="A3249" s="1" t="s">
        <v>3248</v>
      </c>
      <c r="D3249" s="3">
        <f>IFERROR(__xludf.DUMMYFUNCTION("SPLIT(A3249, ""|"")"),43215.0)</f>
        <v>43215</v>
      </c>
      <c r="E3249" s="2">
        <f>IFERROR(__xludf.DUMMYFUNCTION("""COMPUTED_VALUE"""),1207683.0)</f>
        <v>1207683</v>
      </c>
      <c r="F3249" s="2">
        <f>IFERROR(__xludf.DUMMYFUNCTION("""COMPUTED_VALUE"""),4413944.0)</f>
        <v>4413944</v>
      </c>
      <c r="G3249" s="2">
        <f>IFERROR(__xludf.DUMMYFUNCTION("""COMPUTED_VALUE"""),85.6021)</f>
        <v>85.6021</v>
      </c>
    </row>
    <row r="3250">
      <c r="A3250" s="1" t="s">
        <v>3249</v>
      </c>
      <c r="D3250" s="3">
        <f>IFERROR(__xludf.DUMMYFUNCTION("SPLIT(A3250, ""|"")"),43215.0)</f>
        <v>43215</v>
      </c>
      <c r="E3250" s="2">
        <f>IFERROR(__xludf.DUMMYFUNCTION("""COMPUTED_VALUE"""),1030023.0)</f>
        <v>1030023</v>
      </c>
      <c r="F3250" s="2">
        <f>IFERROR(__xludf.DUMMYFUNCTION("""COMPUTED_VALUE"""),4413867.0)</f>
        <v>4413867</v>
      </c>
      <c r="G3250" s="2">
        <f>IFERROR(__xludf.DUMMYFUNCTION("""COMPUTED_VALUE"""),88.1033)</f>
        <v>88.1033</v>
      </c>
    </row>
    <row r="3251">
      <c r="A3251" s="1" t="s">
        <v>3250</v>
      </c>
      <c r="D3251" s="3">
        <f>IFERROR(__xludf.DUMMYFUNCTION("SPLIT(A3251, ""|"")"),42960.0)</f>
        <v>42960</v>
      </c>
      <c r="E3251" s="2">
        <f>IFERROR(__xludf.DUMMYFUNCTION("""COMPUTED_VALUE"""),1387113.0)</f>
        <v>1387113</v>
      </c>
      <c r="F3251" s="2">
        <f>IFERROR(__xludf.DUMMYFUNCTION("""COMPUTED_VALUE"""),3711545.0)</f>
        <v>3711545</v>
      </c>
      <c r="G3251" s="2">
        <f>IFERROR(__xludf.DUMMYFUNCTION("""COMPUTED_VALUE"""),183.116499999999)</f>
        <v>183.1165</v>
      </c>
    </row>
    <row r="3252">
      <c r="A3252" s="1" t="s">
        <v>3251</v>
      </c>
      <c r="D3252" s="3">
        <f>IFERROR(__xludf.DUMMYFUNCTION("SPLIT(A3252, ""|"")"),42960.0)</f>
        <v>42960</v>
      </c>
      <c r="E3252" s="2">
        <f>IFERROR(__xludf.DUMMYFUNCTION("""COMPUTED_VALUE"""),1269453.0)</f>
        <v>1269453</v>
      </c>
      <c r="F3252" s="2">
        <f>IFERROR(__xludf.DUMMYFUNCTION("""COMPUTED_VALUE"""),3711750.0)</f>
        <v>3711750</v>
      </c>
      <c r="G3252" s="2">
        <f>IFERROR(__xludf.DUMMYFUNCTION("""COMPUTED_VALUE"""),68.4447999999999)</f>
        <v>68.4448</v>
      </c>
    </row>
    <row r="3253">
      <c r="A3253" s="1" t="s">
        <v>3252</v>
      </c>
      <c r="D3253" s="3">
        <f>IFERROR(__xludf.DUMMYFUNCTION("SPLIT(A3253, ""|"")"),42960.0)</f>
        <v>42960</v>
      </c>
      <c r="E3253" s="2">
        <f>IFERROR(__xludf.DUMMYFUNCTION("""COMPUTED_VALUE"""),1271673.0)</f>
        <v>1271673</v>
      </c>
      <c r="F3253" s="2">
        <f>IFERROR(__xludf.DUMMYFUNCTION("""COMPUTED_VALUE"""),3713034.0)</f>
        <v>3713034</v>
      </c>
      <c r="G3253" s="2">
        <f>IFERROR(__xludf.DUMMYFUNCTION("""COMPUTED_VALUE"""),39.9084)</f>
        <v>39.9084</v>
      </c>
    </row>
    <row r="3254">
      <c r="A3254" s="1" t="s">
        <v>3253</v>
      </c>
      <c r="D3254" s="3">
        <f>IFERROR(__xludf.DUMMYFUNCTION("SPLIT(A3254, ""|"")"),42960.0)</f>
        <v>42960</v>
      </c>
      <c r="E3254" s="2">
        <f>IFERROR(__xludf.DUMMYFUNCTION("""COMPUTED_VALUE"""),1185843.0)</f>
        <v>1185843</v>
      </c>
      <c r="F3254" s="2">
        <f>IFERROR(__xludf.DUMMYFUNCTION("""COMPUTED_VALUE"""),3712829.0)</f>
        <v>3712829</v>
      </c>
      <c r="G3254" s="2">
        <f>IFERROR(__xludf.DUMMYFUNCTION("""COMPUTED_VALUE"""),76.0367)</f>
        <v>76.0367</v>
      </c>
    </row>
    <row r="3255">
      <c r="A3255" s="1" t="s">
        <v>3254</v>
      </c>
      <c r="D3255" s="3">
        <f>IFERROR(__xludf.DUMMYFUNCTION("SPLIT(A3255, ""|"")"),43216.0)</f>
        <v>43216</v>
      </c>
      <c r="E3255" s="2">
        <f>IFERROR(__xludf.DUMMYFUNCTION("""COMPUTED_VALUE"""),1441233.0)</f>
        <v>1441233</v>
      </c>
      <c r="F3255" s="2">
        <f>IFERROR(__xludf.DUMMYFUNCTION("""COMPUTED_VALUE"""),4417550.0)</f>
        <v>4417550</v>
      </c>
      <c r="G3255" s="2">
        <f>IFERROR(__xludf.DUMMYFUNCTION("""COMPUTED_VALUE"""),9.3758)</f>
        <v>9.3758</v>
      </c>
    </row>
    <row r="3256">
      <c r="A3256" s="1" t="s">
        <v>3255</v>
      </c>
      <c r="D3256" s="3">
        <f>IFERROR(__xludf.DUMMYFUNCTION("SPLIT(A3256, ""|"")"),43216.0)</f>
        <v>43216</v>
      </c>
      <c r="E3256" s="2">
        <f>IFERROR(__xludf.DUMMYFUNCTION("""COMPUTED_VALUE"""),248073.0)</f>
        <v>248073</v>
      </c>
      <c r="F3256" s="2">
        <f>IFERROR(__xludf.DUMMYFUNCTION("""COMPUTED_VALUE"""),4418841.0)</f>
        <v>4418841</v>
      </c>
      <c r="G3256" s="2">
        <f>IFERROR(__xludf.DUMMYFUNCTION("""COMPUTED_VALUE"""),76.8558999999999)</f>
        <v>76.8559</v>
      </c>
    </row>
    <row r="3257">
      <c r="A3257" s="1" t="s">
        <v>3256</v>
      </c>
      <c r="D3257" s="3">
        <f>IFERROR(__xludf.DUMMYFUNCTION("SPLIT(A3257, ""|"")"),43216.0)</f>
        <v>43216</v>
      </c>
      <c r="E3257" s="2">
        <f>IFERROR(__xludf.DUMMYFUNCTION("""COMPUTED_VALUE"""),1478823.0)</f>
        <v>1478823</v>
      </c>
      <c r="F3257" s="2">
        <f>IFERROR(__xludf.DUMMYFUNCTION("""COMPUTED_VALUE"""),4418726.0)</f>
        <v>4418726</v>
      </c>
      <c r="G3257" s="2">
        <f>IFERROR(__xludf.DUMMYFUNCTION("""COMPUTED_VALUE"""),69.2749999999999)</f>
        <v>69.275</v>
      </c>
    </row>
    <row r="3258">
      <c r="A3258" s="1" t="s">
        <v>3257</v>
      </c>
      <c r="D3258" s="3">
        <f>IFERROR(__xludf.DUMMYFUNCTION("SPLIT(A3258, ""|"")"),42961.0)</f>
        <v>42961</v>
      </c>
      <c r="E3258" s="2">
        <f>IFERROR(__xludf.DUMMYFUNCTION("""COMPUTED_VALUE"""),1393743.0)</f>
        <v>1393743</v>
      </c>
      <c r="F3258" s="2">
        <f>IFERROR(__xludf.DUMMYFUNCTION("""COMPUTED_VALUE"""),3713976.0)</f>
        <v>3713976</v>
      </c>
      <c r="G3258" s="2">
        <f>IFERROR(__xludf.DUMMYFUNCTION("""COMPUTED_VALUE"""),37.8389)</f>
        <v>37.8389</v>
      </c>
    </row>
    <row r="3259">
      <c r="A3259" s="1" t="s">
        <v>3258</v>
      </c>
      <c r="D3259" s="3">
        <f>IFERROR(__xludf.DUMMYFUNCTION("SPLIT(A3259, ""|"")"),42961.0)</f>
        <v>42961</v>
      </c>
      <c r="E3259" s="2">
        <f>IFERROR(__xludf.DUMMYFUNCTION("""COMPUTED_VALUE"""),1393683.0)</f>
        <v>1393683</v>
      </c>
      <c r="F3259" s="2">
        <f>IFERROR(__xludf.DUMMYFUNCTION("""COMPUTED_VALUE"""),3713673.0)</f>
        <v>3713673</v>
      </c>
      <c r="G3259" s="2">
        <f>IFERROR(__xludf.DUMMYFUNCTION("""COMPUTED_VALUE"""),51.6361)</f>
        <v>51.6361</v>
      </c>
    </row>
    <row r="3260">
      <c r="A3260" s="1" t="s">
        <v>3259</v>
      </c>
      <c r="D3260" s="3">
        <f>IFERROR(__xludf.DUMMYFUNCTION("SPLIT(A3260, ""|"")"),42961.0)</f>
        <v>42961</v>
      </c>
      <c r="E3260" s="2">
        <f>IFERROR(__xludf.DUMMYFUNCTION("""COMPUTED_VALUE"""),234783.0)</f>
        <v>234783</v>
      </c>
      <c r="F3260" s="2">
        <f>IFERROR(__xludf.DUMMYFUNCTION("""COMPUTED_VALUE"""),3714649.0)</f>
        <v>3714649</v>
      </c>
      <c r="G3260" s="2">
        <f>IFERROR(__xludf.DUMMYFUNCTION("""COMPUTED_VALUE"""),86.9888)</f>
        <v>86.9888</v>
      </c>
    </row>
    <row r="3261">
      <c r="A3261" s="1" t="s">
        <v>3260</v>
      </c>
      <c r="D3261" s="3">
        <f>IFERROR(__xludf.DUMMYFUNCTION("SPLIT(A3261, ""|"")"),42961.0)</f>
        <v>42961</v>
      </c>
      <c r="E3261" s="2">
        <f>IFERROR(__xludf.DUMMYFUNCTION("""COMPUTED_VALUE"""),1393623.0)</f>
        <v>1393623</v>
      </c>
      <c r="F3261" s="2">
        <f>IFERROR(__xludf.DUMMYFUNCTION("""COMPUTED_VALUE"""),3713402.0)</f>
        <v>3713402</v>
      </c>
      <c r="G3261" s="2">
        <f>IFERROR(__xludf.DUMMYFUNCTION("""COMPUTED_VALUE"""),105.855299999999)</f>
        <v>105.8553</v>
      </c>
    </row>
    <row r="3262">
      <c r="A3262" s="1" t="s">
        <v>3261</v>
      </c>
      <c r="D3262" s="3">
        <f>IFERROR(__xludf.DUMMYFUNCTION("SPLIT(A3262, ""|"")"),42961.0)</f>
        <v>42961</v>
      </c>
      <c r="E3262" s="2">
        <f>IFERROR(__xludf.DUMMYFUNCTION("""COMPUTED_VALUE"""),1046973.0)</f>
        <v>1046973</v>
      </c>
      <c r="F3262" s="2">
        <f>IFERROR(__xludf.DUMMYFUNCTION("""COMPUTED_VALUE"""),3714106.0)</f>
        <v>3714106</v>
      </c>
      <c r="G3262" s="2">
        <f>IFERROR(__xludf.DUMMYFUNCTION("""COMPUTED_VALUE"""),46.5782)</f>
        <v>46.5782</v>
      </c>
    </row>
    <row r="3263">
      <c r="A3263" s="1" t="s">
        <v>3262</v>
      </c>
      <c r="D3263" s="3">
        <f>IFERROR(__xludf.DUMMYFUNCTION("SPLIT(A3263, ""|"")"),43217.0)</f>
        <v>43217</v>
      </c>
      <c r="E3263" s="2">
        <f>IFERROR(__xludf.DUMMYFUNCTION("""COMPUTED_VALUE"""),1341843.0)</f>
        <v>1341843</v>
      </c>
      <c r="F3263" s="2">
        <f>IFERROR(__xludf.DUMMYFUNCTION("""COMPUTED_VALUE"""),4419784.0)</f>
        <v>4419784</v>
      </c>
      <c r="G3263" s="2">
        <f>IFERROR(__xludf.DUMMYFUNCTION("""COMPUTED_VALUE"""),217.789)</f>
        <v>217.789</v>
      </c>
    </row>
    <row r="3264">
      <c r="A3264" s="1" t="s">
        <v>3263</v>
      </c>
      <c r="D3264" s="3">
        <f>IFERROR(__xludf.DUMMYFUNCTION("SPLIT(A3264, ""|"")"),43217.0)</f>
        <v>43217</v>
      </c>
      <c r="E3264" s="2">
        <f>IFERROR(__xludf.DUMMYFUNCTION("""COMPUTED_VALUE"""),1581843.0)</f>
        <v>1581843</v>
      </c>
      <c r="F3264" s="2">
        <f>IFERROR(__xludf.DUMMYFUNCTION("""COMPUTED_VALUE"""),4419715.0)</f>
        <v>4419715</v>
      </c>
      <c r="G3264" s="2">
        <f>IFERROR(__xludf.DUMMYFUNCTION("""COMPUTED_VALUE"""),14.0)</f>
        <v>14</v>
      </c>
    </row>
    <row r="3265">
      <c r="A3265" s="1" t="s">
        <v>3264</v>
      </c>
      <c r="D3265" s="3">
        <f>IFERROR(__xludf.DUMMYFUNCTION("SPLIT(A3265, ""|"")"),43217.0)</f>
        <v>43217</v>
      </c>
      <c r="E3265" s="2">
        <f>IFERROR(__xludf.DUMMYFUNCTION("""COMPUTED_VALUE"""),1515603.0)</f>
        <v>1515603</v>
      </c>
      <c r="F3265" s="2">
        <f>IFERROR(__xludf.DUMMYFUNCTION("""COMPUTED_VALUE"""),4419548.0)</f>
        <v>4419548</v>
      </c>
      <c r="G3265" s="2">
        <f>IFERROR(__xludf.DUMMYFUNCTION("""COMPUTED_VALUE"""),81.5606)</f>
        <v>81.5606</v>
      </c>
    </row>
    <row r="3266">
      <c r="A3266" s="1" t="s">
        <v>3265</v>
      </c>
      <c r="D3266" s="3">
        <f>IFERROR(__xludf.DUMMYFUNCTION("SPLIT(A3266, ""|"")"),43217.0)</f>
        <v>43217</v>
      </c>
      <c r="E3266" s="2">
        <f>IFERROR(__xludf.DUMMYFUNCTION("""COMPUTED_VALUE"""),1077423.0)</f>
        <v>1077423</v>
      </c>
      <c r="F3266" s="2">
        <f>IFERROR(__xludf.DUMMYFUNCTION("""COMPUTED_VALUE"""),4419401.0)</f>
        <v>4419401</v>
      </c>
      <c r="G3266" s="2">
        <f>IFERROR(__xludf.DUMMYFUNCTION("""COMPUTED_VALUE"""),204.2578)</f>
        <v>204.2578</v>
      </c>
    </row>
    <row r="3267">
      <c r="A3267" s="1" t="s">
        <v>3266</v>
      </c>
      <c r="D3267" s="3">
        <f>IFERROR(__xludf.DUMMYFUNCTION("SPLIT(A3267, ""|"")"),43217.0)</f>
        <v>43217</v>
      </c>
      <c r="E3267" s="2">
        <f>IFERROR(__xludf.DUMMYFUNCTION("""COMPUTED_VALUE"""),1582023.0)</f>
        <v>1582023</v>
      </c>
      <c r="F3267" s="2">
        <f>IFERROR(__xludf.DUMMYFUNCTION("""COMPUTED_VALUE"""),4420445.0)</f>
        <v>4420445</v>
      </c>
      <c r="G3267" s="2">
        <f>IFERROR(__xludf.DUMMYFUNCTION("""COMPUTED_VALUE"""),16.7169)</f>
        <v>16.7169</v>
      </c>
    </row>
    <row r="3268">
      <c r="A3268" s="1" t="s">
        <v>3267</v>
      </c>
      <c r="D3268" s="3">
        <f>IFERROR(__xludf.DUMMYFUNCTION("SPLIT(A3268, ""|"")"),42962.0)</f>
        <v>42962</v>
      </c>
      <c r="E3268" s="2">
        <f>IFERROR(__xludf.DUMMYFUNCTION("""COMPUTED_VALUE"""),391113.0)</f>
        <v>391113</v>
      </c>
      <c r="F3268" s="2">
        <f>IFERROR(__xludf.DUMMYFUNCTION("""COMPUTED_VALUE"""),3715795.0)</f>
        <v>3715795</v>
      </c>
      <c r="G3268" s="2">
        <f>IFERROR(__xludf.DUMMYFUNCTION("""COMPUTED_VALUE"""),45.6029)</f>
        <v>45.6029</v>
      </c>
    </row>
    <row r="3269">
      <c r="A3269" s="1" t="s">
        <v>3268</v>
      </c>
      <c r="D3269" s="3">
        <f>IFERROR(__xludf.DUMMYFUNCTION("SPLIT(A3269, ""|"")"),42962.0)</f>
        <v>42962</v>
      </c>
      <c r="E3269" s="2">
        <f>IFERROR(__xludf.DUMMYFUNCTION("""COMPUTED_VALUE"""),231213.0)</f>
        <v>231213</v>
      </c>
      <c r="F3269" s="2">
        <f>IFERROR(__xludf.DUMMYFUNCTION("""COMPUTED_VALUE"""),3716387.0)</f>
        <v>3716387</v>
      </c>
      <c r="G3269" s="2">
        <f>IFERROR(__xludf.DUMMYFUNCTION("""COMPUTED_VALUE"""),149.2514)</f>
        <v>149.2514</v>
      </c>
    </row>
    <row r="3270">
      <c r="A3270" s="1" t="s">
        <v>3269</v>
      </c>
      <c r="D3270" s="3">
        <f>IFERROR(__xludf.DUMMYFUNCTION("SPLIT(A3270, ""|"")"),42962.0)</f>
        <v>42962</v>
      </c>
      <c r="E3270" s="2">
        <f>IFERROR(__xludf.DUMMYFUNCTION("""COMPUTED_VALUE"""),1106103.0)</f>
        <v>1106103</v>
      </c>
      <c r="F3270" s="2">
        <f>IFERROR(__xludf.DUMMYFUNCTION("""COMPUTED_VALUE"""),3717276.0)</f>
        <v>3717276</v>
      </c>
      <c r="G3270" s="2">
        <f>IFERROR(__xludf.DUMMYFUNCTION("""COMPUTED_VALUE"""),79.5325)</f>
        <v>79.5325</v>
      </c>
    </row>
    <row r="3271">
      <c r="A3271" s="1" t="s">
        <v>3270</v>
      </c>
      <c r="D3271" s="3">
        <f>IFERROR(__xludf.DUMMYFUNCTION("SPLIT(A3271, ""|"")"),42962.0)</f>
        <v>42962</v>
      </c>
      <c r="E3271" s="2">
        <f>IFERROR(__xludf.DUMMYFUNCTION("""COMPUTED_VALUE"""),367683.0)</f>
        <v>367683</v>
      </c>
      <c r="F3271" s="2">
        <f>IFERROR(__xludf.DUMMYFUNCTION("""COMPUTED_VALUE"""),3716029.0)</f>
        <v>3716029</v>
      </c>
      <c r="G3271" s="2">
        <f>IFERROR(__xludf.DUMMYFUNCTION("""COMPUTED_VALUE"""),43.9887)</f>
        <v>43.9887</v>
      </c>
    </row>
    <row r="3272">
      <c r="A3272" s="1" t="s">
        <v>3271</v>
      </c>
      <c r="D3272" s="3">
        <f>IFERROR(__xludf.DUMMYFUNCTION("SPLIT(A3272, ""|"")"),42962.0)</f>
        <v>42962</v>
      </c>
      <c r="E3272" s="2">
        <f>IFERROR(__xludf.DUMMYFUNCTION("""COMPUTED_VALUE"""),1394373.0)</f>
        <v>1394373</v>
      </c>
      <c r="F3272" s="2">
        <f>IFERROR(__xludf.DUMMYFUNCTION("""COMPUTED_VALUE"""),3716656.0)</f>
        <v>3716656</v>
      </c>
      <c r="G3272" s="2">
        <f>IFERROR(__xludf.DUMMYFUNCTION("""COMPUTED_VALUE"""),149.1667)</f>
        <v>149.1667</v>
      </c>
    </row>
    <row r="3273">
      <c r="A3273" s="1" t="s">
        <v>3272</v>
      </c>
      <c r="D3273" s="3">
        <f>IFERROR(__xludf.DUMMYFUNCTION("SPLIT(A3273, ""|"")"),42962.0)</f>
        <v>42962</v>
      </c>
      <c r="E3273" s="2">
        <f>IFERROR(__xludf.DUMMYFUNCTION("""COMPUTED_VALUE"""),289563.0)</f>
        <v>289563</v>
      </c>
      <c r="F3273" s="2">
        <f>IFERROR(__xludf.DUMMYFUNCTION("""COMPUTED_VALUE"""),3716269.0)</f>
        <v>3716269</v>
      </c>
      <c r="G3273" s="2">
        <f>IFERROR(__xludf.DUMMYFUNCTION("""COMPUTED_VALUE"""),33.9083)</f>
        <v>33.9083</v>
      </c>
    </row>
    <row r="3274">
      <c r="A3274" s="1" t="s">
        <v>3273</v>
      </c>
      <c r="D3274" s="3">
        <f>IFERROR(__xludf.DUMMYFUNCTION("SPLIT(A3274, ""|"")"),43218.0)</f>
        <v>43218</v>
      </c>
      <c r="E3274" s="2">
        <f>IFERROR(__xludf.DUMMYFUNCTION("""COMPUTED_VALUE"""),426423.0)</f>
        <v>426423</v>
      </c>
      <c r="F3274" s="2">
        <f>IFERROR(__xludf.DUMMYFUNCTION("""COMPUTED_VALUE"""),4422046.0)</f>
        <v>4422046</v>
      </c>
      <c r="G3274" s="2">
        <f>IFERROR(__xludf.DUMMYFUNCTION("""COMPUTED_VALUE"""),86.1796)</f>
        <v>86.1796</v>
      </c>
    </row>
    <row r="3275">
      <c r="A3275" s="1" t="s">
        <v>3274</v>
      </c>
      <c r="D3275" s="3">
        <f>IFERROR(__xludf.DUMMYFUNCTION("SPLIT(A3275, ""|"")"),43218.0)</f>
        <v>43218</v>
      </c>
      <c r="E3275" s="2">
        <f>IFERROR(__xludf.DUMMYFUNCTION("""COMPUTED_VALUE"""),146283.0)</f>
        <v>146283</v>
      </c>
      <c r="F3275" s="2">
        <f>IFERROR(__xludf.DUMMYFUNCTION("""COMPUTED_VALUE"""),4422586.0)</f>
        <v>4422586</v>
      </c>
      <c r="G3275" s="2">
        <f>IFERROR(__xludf.DUMMYFUNCTION("""COMPUTED_VALUE"""),90.041)</f>
        <v>90.041</v>
      </c>
    </row>
    <row r="3276">
      <c r="A3276" s="1" t="s">
        <v>3275</v>
      </c>
      <c r="D3276" s="3">
        <f>IFERROR(__xludf.DUMMYFUNCTION("SPLIT(A3276, ""|"")"),42963.0)</f>
        <v>42963</v>
      </c>
      <c r="E3276" s="2">
        <f>IFERROR(__xludf.DUMMYFUNCTION("""COMPUTED_VALUE"""),1369953.0)</f>
        <v>1369953</v>
      </c>
      <c r="F3276" s="2">
        <f>IFERROR(__xludf.DUMMYFUNCTION("""COMPUTED_VALUE"""),3718596.0)</f>
        <v>3718596</v>
      </c>
      <c r="G3276" s="2">
        <f>IFERROR(__xludf.DUMMYFUNCTION("""COMPUTED_VALUE"""),104.7595)</f>
        <v>104.7595</v>
      </c>
    </row>
    <row r="3277">
      <c r="A3277" s="1" t="s">
        <v>3276</v>
      </c>
      <c r="D3277" s="3">
        <f>IFERROR(__xludf.DUMMYFUNCTION("SPLIT(A3277, ""|"")"),42963.0)</f>
        <v>42963</v>
      </c>
      <c r="E3277" s="2">
        <f>IFERROR(__xludf.DUMMYFUNCTION("""COMPUTED_VALUE"""),1394643.0)</f>
        <v>1394643</v>
      </c>
      <c r="F3277" s="2">
        <f>IFERROR(__xludf.DUMMYFUNCTION("""COMPUTED_VALUE"""),3717820.0)</f>
        <v>3717820</v>
      </c>
      <c r="G3277" s="2">
        <f>IFERROR(__xludf.DUMMYFUNCTION("""COMPUTED_VALUE"""),23.0076)</f>
        <v>23.0076</v>
      </c>
    </row>
    <row r="3278">
      <c r="A3278" s="1" t="s">
        <v>3277</v>
      </c>
      <c r="D3278" s="3">
        <f>IFERROR(__xludf.DUMMYFUNCTION("SPLIT(A3278, ""|"")"),42963.0)</f>
        <v>42963</v>
      </c>
      <c r="E3278" s="2">
        <f>IFERROR(__xludf.DUMMYFUNCTION("""COMPUTED_VALUE"""),1239183.0)</f>
        <v>1239183</v>
      </c>
      <c r="F3278" s="2">
        <f>IFERROR(__xludf.DUMMYFUNCTION("""COMPUTED_VALUE"""),3718777.0)</f>
        <v>3718777</v>
      </c>
      <c r="G3278" s="2">
        <f>IFERROR(__xludf.DUMMYFUNCTION("""COMPUTED_VALUE"""),62.6667)</f>
        <v>62.6667</v>
      </c>
    </row>
    <row r="3279">
      <c r="A3279" s="1" t="s">
        <v>3278</v>
      </c>
      <c r="D3279" s="3">
        <f>IFERROR(__xludf.DUMMYFUNCTION("SPLIT(A3279, ""|"")"),42963.0)</f>
        <v>42963</v>
      </c>
      <c r="E3279" s="2">
        <f>IFERROR(__xludf.DUMMYFUNCTION("""COMPUTED_VALUE"""),1387113.0)</f>
        <v>1387113</v>
      </c>
      <c r="F3279" s="2">
        <f>IFERROR(__xludf.DUMMYFUNCTION("""COMPUTED_VALUE"""),3719518.0)</f>
        <v>3719518</v>
      </c>
      <c r="G3279" s="2">
        <f>IFERROR(__xludf.DUMMYFUNCTION("""COMPUTED_VALUE"""),8.25)</f>
        <v>8.25</v>
      </c>
    </row>
    <row r="3280">
      <c r="A3280" s="1" t="s">
        <v>3279</v>
      </c>
      <c r="D3280" s="3">
        <f>IFERROR(__xludf.DUMMYFUNCTION("SPLIT(A3280, ""|"")"),43219.0)</f>
        <v>43219</v>
      </c>
      <c r="E3280" s="2">
        <f>IFERROR(__xludf.DUMMYFUNCTION("""COMPUTED_VALUE"""),948573.0)</f>
        <v>948573</v>
      </c>
      <c r="F3280" s="2">
        <f>IFERROR(__xludf.DUMMYFUNCTION("""COMPUTED_VALUE"""),4426744.0)</f>
        <v>4426744</v>
      </c>
      <c r="G3280" s="2">
        <f>IFERROR(__xludf.DUMMYFUNCTION("""COMPUTED_VALUE"""),47.6209)</f>
        <v>47.6209</v>
      </c>
    </row>
    <row r="3281">
      <c r="A3281" s="1" t="s">
        <v>3280</v>
      </c>
      <c r="D3281" s="3">
        <f>IFERROR(__xludf.DUMMYFUNCTION("SPLIT(A3281, ""|"")"),43219.0)</f>
        <v>43219</v>
      </c>
      <c r="E3281" s="2">
        <f>IFERROR(__xludf.DUMMYFUNCTION("""COMPUTED_VALUE"""),1435473.0)</f>
        <v>1435473</v>
      </c>
      <c r="F3281" s="2">
        <f>IFERROR(__xludf.DUMMYFUNCTION("""COMPUTED_VALUE"""),4423718.0)</f>
        <v>4423718</v>
      </c>
      <c r="G3281" s="2">
        <f>IFERROR(__xludf.DUMMYFUNCTION("""COMPUTED_VALUE"""),81.5255)</f>
        <v>81.5255</v>
      </c>
    </row>
    <row r="3282">
      <c r="A3282" s="1" t="s">
        <v>3281</v>
      </c>
      <c r="D3282" s="3">
        <f>IFERROR(__xludf.DUMMYFUNCTION("SPLIT(A3282, ""|"")"),43219.0)</f>
        <v>43219</v>
      </c>
      <c r="E3282" s="2">
        <f>IFERROR(__xludf.DUMMYFUNCTION("""COMPUTED_VALUE"""),392763.0)</f>
        <v>392763</v>
      </c>
      <c r="F3282" s="2">
        <f>IFERROR(__xludf.DUMMYFUNCTION("""COMPUTED_VALUE"""),4424641.0)</f>
        <v>4424641</v>
      </c>
      <c r="G3282" s="2">
        <f>IFERROR(__xludf.DUMMYFUNCTION("""COMPUTED_VALUE"""),82.1181)</f>
        <v>82.1181</v>
      </c>
    </row>
    <row r="3283">
      <c r="A3283" s="1" t="s">
        <v>3282</v>
      </c>
      <c r="D3283" s="3">
        <f>IFERROR(__xludf.DUMMYFUNCTION("SPLIT(A3283, ""|"")"),43219.0)</f>
        <v>43219</v>
      </c>
      <c r="E3283" s="2">
        <f>IFERROR(__xludf.DUMMYFUNCTION("""COMPUTED_VALUE"""),1527813.0)</f>
        <v>1527813</v>
      </c>
      <c r="F3283" s="2">
        <f>IFERROR(__xludf.DUMMYFUNCTION("""COMPUTED_VALUE"""),4425499.0)</f>
        <v>4425499</v>
      </c>
      <c r="G3283" s="2">
        <f>IFERROR(__xludf.DUMMYFUNCTION("""COMPUTED_VALUE"""),68.9808999999999)</f>
        <v>68.9809</v>
      </c>
    </row>
    <row r="3284">
      <c r="A3284" s="1" t="s">
        <v>3283</v>
      </c>
      <c r="D3284" s="3">
        <f>IFERROR(__xludf.DUMMYFUNCTION("SPLIT(A3284, ""|"")"),43219.0)</f>
        <v>43219</v>
      </c>
      <c r="E3284" s="2">
        <f>IFERROR(__xludf.DUMMYFUNCTION("""COMPUTED_VALUE"""),1582983.0)</f>
        <v>1582983</v>
      </c>
      <c r="F3284" s="2">
        <f>IFERROR(__xludf.DUMMYFUNCTION("""COMPUTED_VALUE"""),4424045.0)</f>
        <v>4424045</v>
      </c>
      <c r="G3284" s="2">
        <f>IFERROR(__xludf.DUMMYFUNCTION("""COMPUTED_VALUE"""),16.1044)</f>
        <v>16.1044</v>
      </c>
    </row>
    <row r="3285">
      <c r="A3285" s="1" t="s">
        <v>3284</v>
      </c>
      <c r="D3285" s="3">
        <f>IFERROR(__xludf.DUMMYFUNCTION("SPLIT(A3285, ""|"")"),43219.0)</f>
        <v>43219</v>
      </c>
      <c r="E3285" s="2">
        <f>IFERROR(__xludf.DUMMYFUNCTION("""COMPUTED_VALUE"""),1051953.0)</f>
        <v>1051953</v>
      </c>
      <c r="F3285" s="2">
        <f>IFERROR(__xludf.DUMMYFUNCTION("""COMPUTED_VALUE"""),4426406.0)</f>
        <v>4426406</v>
      </c>
      <c r="G3285" s="2">
        <f>IFERROR(__xludf.DUMMYFUNCTION("""COMPUTED_VALUE"""),62.678)</f>
        <v>62.678</v>
      </c>
    </row>
    <row r="3286">
      <c r="A3286" s="1" t="s">
        <v>3285</v>
      </c>
      <c r="D3286" s="3">
        <f>IFERROR(__xludf.DUMMYFUNCTION("SPLIT(A3286, ""|"")"),43219.0)</f>
        <v>43219</v>
      </c>
      <c r="E3286" s="2">
        <f>IFERROR(__xludf.DUMMYFUNCTION("""COMPUTED_VALUE"""),1165353.0)</f>
        <v>1165353</v>
      </c>
      <c r="F3286" s="2">
        <f>IFERROR(__xludf.DUMMYFUNCTION("""COMPUTED_VALUE"""),4425395.0)</f>
        <v>4425395</v>
      </c>
      <c r="G3286" s="2">
        <f>IFERROR(__xludf.DUMMYFUNCTION("""COMPUTED_VALUE"""),121.7364)</f>
        <v>121.7364</v>
      </c>
    </row>
    <row r="3287">
      <c r="A3287" s="1" t="s">
        <v>3286</v>
      </c>
      <c r="D3287" s="3">
        <f>IFERROR(__xludf.DUMMYFUNCTION("SPLIT(A3287, ""|"")"),42964.0)</f>
        <v>42964</v>
      </c>
      <c r="E3287" s="2">
        <f>IFERROR(__xludf.DUMMYFUNCTION("""COMPUTED_VALUE"""),1395243.0)</f>
        <v>1395243</v>
      </c>
      <c r="F3287" s="2">
        <f>IFERROR(__xludf.DUMMYFUNCTION("""COMPUTED_VALUE"""),3720235.0)</f>
        <v>3720235</v>
      </c>
      <c r="G3287" s="2">
        <f>IFERROR(__xludf.DUMMYFUNCTION("""COMPUTED_VALUE"""),98.8721)</f>
        <v>98.8721</v>
      </c>
    </row>
    <row r="3288">
      <c r="A3288" s="1" t="s">
        <v>3287</v>
      </c>
      <c r="D3288" s="3">
        <f>IFERROR(__xludf.DUMMYFUNCTION("SPLIT(A3288, ""|"")"),42964.0)</f>
        <v>42964</v>
      </c>
      <c r="E3288" s="2">
        <f>IFERROR(__xludf.DUMMYFUNCTION("""COMPUTED_VALUE"""),290643.0)</f>
        <v>290643</v>
      </c>
      <c r="F3288" s="2">
        <f>IFERROR(__xludf.DUMMYFUNCTION("""COMPUTED_VALUE"""),3721032.0)</f>
        <v>3721032</v>
      </c>
      <c r="G3288" s="2">
        <f>IFERROR(__xludf.DUMMYFUNCTION("""COMPUTED_VALUE"""),111.274099999999)</f>
        <v>111.2741</v>
      </c>
    </row>
    <row r="3289">
      <c r="A3289" s="1" t="s">
        <v>3288</v>
      </c>
      <c r="D3289" s="3">
        <f>IFERROR(__xludf.DUMMYFUNCTION("SPLIT(A3289, ""|"")"),43220.0)</f>
        <v>43220</v>
      </c>
      <c r="E3289" s="2">
        <f>IFERROR(__xludf.DUMMYFUNCTION("""COMPUTED_VALUE"""),1474593.0)</f>
        <v>1474593</v>
      </c>
      <c r="F3289" s="2">
        <f>IFERROR(__xludf.DUMMYFUNCTION("""COMPUTED_VALUE"""),4427322.0)</f>
        <v>4427322</v>
      </c>
      <c r="G3289" s="2">
        <f>IFERROR(__xludf.DUMMYFUNCTION("""COMPUTED_VALUE"""),38.7342)</f>
        <v>38.7342</v>
      </c>
    </row>
    <row r="3290">
      <c r="A3290" s="1" t="s">
        <v>3289</v>
      </c>
      <c r="D3290" s="3">
        <f>IFERROR(__xludf.DUMMYFUNCTION("SPLIT(A3290, ""|"")"),43220.0)</f>
        <v>43220</v>
      </c>
      <c r="E3290" s="2">
        <f>IFERROR(__xludf.DUMMYFUNCTION("""COMPUTED_VALUE"""),1144893.0)</f>
        <v>1144893</v>
      </c>
      <c r="F3290" s="2">
        <f>IFERROR(__xludf.DUMMYFUNCTION("""COMPUTED_VALUE"""),4430232.0)</f>
        <v>4430232</v>
      </c>
      <c r="G3290" s="2">
        <f>IFERROR(__xludf.DUMMYFUNCTION("""COMPUTED_VALUE"""),71.9532)</f>
        <v>71.9532</v>
      </c>
    </row>
    <row r="3291">
      <c r="A3291" s="1" t="s">
        <v>3290</v>
      </c>
      <c r="D3291" s="3">
        <f>IFERROR(__xludf.DUMMYFUNCTION("SPLIT(A3291, ""|"")"),43220.0)</f>
        <v>43220</v>
      </c>
      <c r="E3291" s="2">
        <f>IFERROR(__xludf.DUMMYFUNCTION("""COMPUTED_VALUE"""),1188093.0)</f>
        <v>1188093</v>
      </c>
      <c r="F3291" s="2">
        <f>IFERROR(__xludf.DUMMYFUNCTION("""COMPUTED_VALUE"""),4430040.0)</f>
        <v>4430040</v>
      </c>
      <c r="G3291" s="2">
        <f>IFERROR(__xludf.DUMMYFUNCTION("""COMPUTED_VALUE"""),28.6282)</f>
        <v>28.6282</v>
      </c>
    </row>
    <row r="3292">
      <c r="A3292" s="1" t="s">
        <v>3291</v>
      </c>
      <c r="D3292" s="3">
        <f>IFERROR(__xludf.DUMMYFUNCTION("SPLIT(A3292, ""|"")"),43220.0)</f>
        <v>43220</v>
      </c>
      <c r="E3292" s="2">
        <f>IFERROR(__xludf.DUMMYFUNCTION("""COMPUTED_VALUE"""),1583163.0)</f>
        <v>1583163</v>
      </c>
      <c r="F3292" s="2">
        <f>IFERROR(__xludf.DUMMYFUNCTION("""COMPUTED_VALUE"""),4427359.0)</f>
        <v>4427359</v>
      </c>
      <c r="G3292" s="2">
        <f>IFERROR(__xludf.DUMMYFUNCTION("""COMPUTED_VALUE"""),23.7219999999999)</f>
        <v>23.722</v>
      </c>
    </row>
    <row r="3293">
      <c r="A3293" s="1" t="s">
        <v>3292</v>
      </c>
      <c r="D3293" s="3">
        <f>IFERROR(__xludf.DUMMYFUNCTION("SPLIT(A3293, ""|"")"),43220.0)</f>
        <v>43220</v>
      </c>
      <c r="E3293" s="2">
        <f>IFERROR(__xludf.DUMMYFUNCTION("""COMPUTED_VALUE"""),1584333.0)</f>
        <v>1584333</v>
      </c>
      <c r="F3293" s="2">
        <f>IFERROR(__xludf.DUMMYFUNCTION("""COMPUTED_VALUE"""),4429938.0)</f>
        <v>4429938</v>
      </c>
      <c r="G3293" s="2">
        <f>IFERROR(__xludf.DUMMYFUNCTION("""COMPUTED_VALUE"""),87.2667)</f>
        <v>87.2667</v>
      </c>
    </row>
    <row r="3294">
      <c r="A3294" s="1" t="s">
        <v>3293</v>
      </c>
      <c r="D3294" s="3">
        <f>IFERROR(__xludf.DUMMYFUNCTION("SPLIT(A3294, ""|"")"),43220.0)</f>
        <v>43220</v>
      </c>
      <c r="E3294" s="2">
        <f>IFERROR(__xludf.DUMMYFUNCTION("""COMPUTED_VALUE"""),1561593.0)</f>
        <v>1561593</v>
      </c>
      <c r="F3294" s="2">
        <f>IFERROR(__xludf.DUMMYFUNCTION("""COMPUTED_VALUE"""),4428591.0)</f>
        <v>4428591</v>
      </c>
      <c r="G3294" s="2">
        <f>IFERROR(__xludf.DUMMYFUNCTION("""COMPUTED_VALUE"""),121.759)</f>
        <v>121.759</v>
      </c>
    </row>
    <row r="3295">
      <c r="A3295" s="1" t="s">
        <v>3294</v>
      </c>
      <c r="D3295" s="3">
        <f>IFERROR(__xludf.DUMMYFUNCTION("SPLIT(A3295, ""|"")"),43220.0)</f>
        <v>43220</v>
      </c>
      <c r="E3295" s="2">
        <f>IFERROR(__xludf.DUMMYFUNCTION("""COMPUTED_VALUE"""),1261383.0)</f>
        <v>1261383</v>
      </c>
      <c r="F3295" s="2">
        <f>IFERROR(__xludf.DUMMYFUNCTION("""COMPUTED_VALUE"""),4427450.0)</f>
        <v>4427450</v>
      </c>
      <c r="G3295" s="2">
        <f>IFERROR(__xludf.DUMMYFUNCTION("""COMPUTED_VALUE"""),92.4656)</f>
        <v>92.4656</v>
      </c>
    </row>
    <row r="3296">
      <c r="A3296" s="1" t="s">
        <v>3295</v>
      </c>
      <c r="D3296" s="3">
        <f>IFERROR(__xludf.DUMMYFUNCTION("SPLIT(A3296, ""|"")"),43220.0)</f>
        <v>43220</v>
      </c>
      <c r="E3296" s="2">
        <f>IFERROR(__xludf.DUMMYFUNCTION("""COMPUTED_VALUE"""),1584213.0)</f>
        <v>1584213</v>
      </c>
      <c r="F3296" s="2">
        <f>IFERROR(__xludf.DUMMYFUNCTION("""COMPUTED_VALUE"""),4429843.0)</f>
        <v>4429843</v>
      </c>
      <c r="G3296" s="2">
        <f>IFERROR(__xludf.DUMMYFUNCTION("""COMPUTED_VALUE"""),71.8705)</f>
        <v>71.8705</v>
      </c>
    </row>
    <row r="3297">
      <c r="A3297" s="1" t="s">
        <v>3296</v>
      </c>
      <c r="D3297" s="3">
        <f>IFERROR(__xludf.DUMMYFUNCTION("SPLIT(A3297, ""|"")"),43220.0)</f>
        <v>43220</v>
      </c>
      <c r="E3297" s="2">
        <f>IFERROR(__xludf.DUMMYFUNCTION("""COMPUTED_VALUE"""),1350603.0)</f>
        <v>1350603</v>
      </c>
      <c r="F3297" s="2">
        <f>IFERROR(__xludf.DUMMYFUNCTION("""COMPUTED_VALUE"""),4428677.0)</f>
        <v>4428677</v>
      </c>
      <c r="G3297" s="2">
        <f>IFERROR(__xludf.DUMMYFUNCTION("""COMPUTED_VALUE"""),27.5996)</f>
        <v>27.5996</v>
      </c>
    </row>
    <row r="3298">
      <c r="A3298" s="1" t="s">
        <v>3297</v>
      </c>
      <c r="D3298" s="3">
        <f>IFERROR(__xludf.DUMMYFUNCTION("SPLIT(A3298, ""|"")"),43220.0)</f>
        <v>43220</v>
      </c>
      <c r="E3298" s="2">
        <f>IFERROR(__xludf.DUMMYFUNCTION("""COMPUTED_VALUE"""),1145583.0)</f>
        <v>1145583</v>
      </c>
      <c r="F3298" s="2">
        <f>IFERROR(__xludf.DUMMYFUNCTION("""COMPUTED_VALUE"""),4428317.0)</f>
        <v>4428317</v>
      </c>
      <c r="G3298" s="2">
        <f>IFERROR(__xludf.DUMMYFUNCTION("""COMPUTED_VALUE"""),43.824)</f>
        <v>43.824</v>
      </c>
    </row>
    <row r="3299">
      <c r="A3299" s="1" t="s">
        <v>3298</v>
      </c>
      <c r="D3299" s="3">
        <f>IFERROR(__xludf.DUMMYFUNCTION("SPLIT(A3299, ""|"")"),43220.0)</f>
        <v>43220</v>
      </c>
      <c r="E3299" s="2">
        <f>IFERROR(__xludf.DUMMYFUNCTION("""COMPUTED_VALUE"""),1089273.0)</f>
        <v>1089273</v>
      </c>
      <c r="F3299" s="2">
        <f>IFERROR(__xludf.DUMMYFUNCTION("""COMPUTED_VALUE"""),4427638.0)</f>
        <v>4427638</v>
      </c>
      <c r="G3299" s="2">
        <f>IFERROR(__xludf.DUMMYFUNCTION("""COMPUTED_VALUE"""),40.825)</f>
        <v>40.825</v>
      </c>
    </row>
    <row r="3300">
      <c r="A3300" s="1" t="s">
        <v>3299</v>
      </c>
      <c r="D3300" s="3">
        <f>IFERROR(__xludf.DUMMYFUNCTION("SPLIT(A3300, ""|"")"),43220.0)</f>
        <v>43220</v>
      </c>
      <c r="E3300" s="2">
        <f>IFERROR(__xludf.DUMMYFUNCTION("""COMPUTED_VALUE"""),1584123.0)</f>
        <v>1584123</v>
      </c>
      <c r="F3300" s="2">
        <f>IFERROR(__xludf.DUMMYFUNCTION("""COMPUTED_VALUE"""),4429109.0)</f>
        <v>4429109</v>
      </c>
      <c r="G3300" s="2">
        <f>IFERROR(__xludf.DUMMYFUNCTION("""COMPUTED_VALUE"""),44.9834)</f>
        <v>44.9834</v>
      </c>
    </row>
    <row r="3301">
      <c r="A3301" s="1" t="s">
        <v>3300</v>
      </c>
      <c r="D3301" s="3">
        <f>IFERROR(__xludf.DUMMYFUNCTION("SPLIT(A3301, ""|"")"),42965.0)</f>
        <v>42965</v>
      </c>
      <c r="E3301" s="2">
        <f>IFERROR(__xludf.DUMMYFUNCTION("""COMPUTED_VALUE"""),1395993.0)</f>
        <v>1395993</v>
      </c>
      <c r="F3301" s="2">
        <f>IFERROR(__xludf.DUMMYFUNCTION("""COMPUTED_VALUE"""),3723217.0)</f>
        <v>3723217</v>
      </c>
      <c r="G3301" s="2">
        <f>IFERROR(__xludf.DUMMYFUNCTION("""COMPUTED_VALUE"""),67.4159)</f>
        <v>67.4159</v>
      </c>
    </row>
    <row r="3302">
      <c r="A3302" s="1" t="s">
        <v>3301</v>
      </c>
      <c r="D3302" s="3">
        <f>IFERROR(__xludf.DUMMYFUNCTION("SPLIT(A3302, ""|"")"),42965.0)</f>
        <v>42965</v>
      </c>
      <c r="E3302" s="2">
        <f>IFERROR(__xludf.DUMMYFUNCTION("""COMPUTED_VALUE"""),1395873.0)</f>
        <v>1395873</v>
      </c>
      <c r="F3302" s="2">
        <f>IFERROR(__xludf.DUMMYFUNCTION("""COMPUTED_VALUE"""),3722731.0)</f>
        <v>3722731</v>
      </c>
      <c r="G3302" s="2">
        <f>IFERROR(__xludf.DUMMYFUNCTION("""COMPUTED_VALUE"""),25.2649)</f>
        <v>25.2649</v>
      </c>
    </row>
    <row r="3303">
      <c r="A3303" s="1" t="s">
        <v>3302</v>
      </c>
      <c r="D3303" s="3">
        <f>IFERROR(__xludf.DUMMYFUNCTION("SPLIT(A3303, ""|"")"),42965.0)</f>
        <v>42965</v>
      </c>
      <c r="E3303" s="2">
        <f>IFERROR(__xludf.DUMMYFUNCTION("""COMPUTED_VALUE"""),1286103.0)</f>
        <v>1286103</v>
      </c>
      <c r="F3303" s="2">
        <f>IFERROR(__xludf.DUMMYFUNCTION("""COMPUTED_VALUE"""),3724269.0)</f>
        <v>3724269</v>
      </c>
      <c r="G3303" s="2">
        <f>IFERROR(__xludf.DUMMYFUNCTION("""COMPUTED_VALUE"""),285.4597)</f>
        <v>285.4597</v>
      </c>
    </row>
    <row r="3304">
      <c r="A3304" s="1" t="s">
        <v>3303</v>
      </c>
      <c r="D3304" s="3">
        <f>IFERROR(__xludf.DUMMYFUNCTION("SPLIT(A3304, ""|"")"),42965.0)</f>
        <v>42965</v>
      </c>
      <c r="E3304" s="2">
        <f>IFERROR(__xludf.DUMMYFUNCTION("""COMPUTED_VALUE"""),1238253.0)</f>
        <v>1238253</v>
      </c>
      <c r="F3304" s="2">
        <f>IFERROR(__xludf.DUMMYFUNCTION("""COMPUTED_VALUE"""),3722973.0)</f>
        <v>3722973</v>
      </c>
      <c r="G3304" s="2">
        <f>IFERROR(__xludf.DUMMYFUNCTION("""COMPUTED_VALUE"""),9.3756)</f>
        <v>9.3756</v>
      </c>
    </row>
    <row r="3305">
      <c r="A3305" s="1" t="s">
        <v>3304</v>
      </c>
      <c r="D3305" s="3">
        <f>IFERROR(__xludf.DUMMYFUNCTION("SPLIT(A3305, ""|"")"),43221.0)</f>
        <v>43221</v>
      </c>
      <c r="E3305" s="2">
        <f>IFERROR(__xludf.DUMMYFUNCTION("""COMPUTED_VALUE"""),1491033.0)</f>
        <v>1491033</v>
      </c>
      <c r="F3305" s="2">
        <f>IFERROR(__xludf.DUMMYFUNCTION("""COMPUTED_VALUE"""),4430872.0)</f>
        <v>4430872</v>
      </c>
      <c r="G3305" s="2">
        <f>IFERROR(__xludf.DUMMYFUNCTION("""COMPUTED_VALUE"""),48.994)</f>
        <v>48.994</v>
      </c>
    </row>
    <row r="3306">
      <c r="A3306" s="1" t="s">
        <v>3305</v>
      </c>
      <c r="D3306" s="3">
        <f>IFERROR(__xludf.DUMMYFUNCTION("SPLIT(A3306, ""|"")"),43221.0)</f>
        <v>43221</v>
      </c>
      <c r="E3306" s="2">
        <f>IFERROR(__xludf.DUMMYFUNCTION("""COMPUTED_VALUE"""),1179483.0)</f>
        <v>1179483</v>
      </c>
      <c r="F3306" s="2">
        <f>IFERROR(__xludf.DUMMYFUNCTION("""COMPUTED_VALUE"""),4432772.0)</f>
        <v>4432772</v>
      </c>
      <c r="G3306" s="2">
        <f>IFERROR(__xludf.DUMMYFUNCTION("""COMPUTED_VALUE"""),140.1079)</f>
        <v>140.1079</v>
      </c>
    </row>
    <row r="3307">
      <c r="A3307" s="1" t="s">
        <v>3306</v>
      </c>
      <c r="D3307" s="3">
        <f>IFERROR(__xludf.DUMMYFUNCTION("SPLIT(A3307, ""|"")"),43221.0)</f>
        <v>43221</v>
      </c>
      <c r="E3307" s="2">
        <f>IFERROR(__xludf.DUMMYFUNCTION("""COMPUTED_VALUE"""),428643.0)</f>
        <v>428643</v>
      </c>
      <c r="F3307" s="2">
        <f>IFERROR(__xludf.DUMMYFUNCTION("""COMPUTED_VALUE"""),4430682.0)</f>
        <v>4430682</v>
      </c>
      <c r="G3307" s="2">
        <f>IFERROR(__xludf.DUMMYFUNCTION("""COMPUTED_VALUE"""),13.948)</f>
        <v>13.948</v>
      </c>
    </row>
    <row r="3308">
      <c r="A3308" s="1" t="s">
        <v>3307</v>
      </c>
      <c r="D3308" s="3">
        <f>IFERROR(__xludf.DUMMYFUNCTION("SPLIT(A3308, ""|"")"),43221.0)</f>
        <v>43221</v>
      </c>
      <c r="E3308" s="2">
        <f>IFERROR(__xludf.DUMMYFUNCTION("""COMPUTED_VALUE"""),1110273.0)</f>
        <v>1110273</v>
      </c>
      <c r="F3308" s="2">
        <f>IFERROR(__xludf.DUMMYFUNCTION("""COMPUTED_VALUE"""),4430584.0)</f>
        <v>4430584</v>
      </c>
      <c r="G3308" s="2">
        <f>IFERROR(__xludf.DUMMYFUNCTION("""COMPUTED_VALUE"""),73.5948)</f>
        <v>73.5948</v>
      </c>
    </row>
    <row r="3309">
      <c r="A3309" s="1" t="s">
        <v>3308</v>
      </c>
      <c r="D3309" s="3">
        <f>IFERROR(__xludf.DUMMYFUNCTION("SPLIT(A3309, ""|"")"),42966.0)</f>
        <v>42966</v>
      </c>
      <c r="E3309" s="2">
        <f>IFERROR(__xludf.DUMMYFUNCTION("""COMPUTED_VALUE"""),1396713.0)</f>
        <v>1396713</v>
      </c>
      <c r="F3309" s="2">
        <f>IFERROR(__xludf.DUMMYFUNCTION("""COMPUTED_VALUE"""),3725669.0)</f>
        <v>3725669</v>
      </c>
      <c r="G3309" s="2">
        <f>IFERROR(__xludf.DUMMYFUNCTION("""COMPUTED_VALUE"""),28.35)</f>
        <v>28.35</v>
      </c>
    </row>
    <row r="3310">
      <c r="A3310" s="1" t="s">
        <v>3309</v>
      </c>
      <c r="D3310" s="3">
        <f>IFERROR(__xludf.DUMMYFUNCTION("SPLIT(A3310, ""|"")"),42966.0)</f>
        <v>42966</v>
      </c>
      <c r="E3310" s="2">
        <f>IFERROR(__xludf.DUMMYFUNCTION("""COMPUTED_VALUE"""),1396503.0)</f>
        <v>1396503</v>
      </c>
      <c r="F3310" s="2">
        <f>IFERROR(__xludf.DUMMYFUNCTION("""COMPUTED_VALUE"""),3725023.0)</f>
        <v>3725023</v>
      </c>
      <c r="G3310" s="2">
        <f>IFERROR(__xludf.DUMMYFUNCTION("""COMPUTED_VALUE"""),58.6656)</f>
        <v>58.6656</v>
      </c>
    </row>
    <row r="3311">
      <c r="A3311" s="1" t="s">
        <v>3310</v>
      </c>
      <c r="D3311" s="3">
        <f>IFERROR(__xludf.DUMMYFUNCTION("SPLIT(A3311, ""|"")"),42966.0)</f>
        <v>42966</v>
      </c>
      <c r="E3311" s="2">
        <f>IFERROR(__xludf.DUMMYFUNCTION("""COMPUTED_VALUE"""),1396473.0)</f>
        <v>1396473</v>
      </c>
      <c r="F3311" s="2">
        <f>IFERROR(__xludf.DUMMYFUNCTION("""COMPUTED_VALUE"""),3724905.0)</f>
        <v>3724905</v>
      </c>
      <c r="G3311" s="2">
        <f>IFERROR(__xludf.DUMMYFUNCTION("""COMPUTED_VALUE"""),95.625)</f>
        <v>95.625</v>
      </c>
    </row>
    <row r="3312">
      <c r="A3312" s="1" t="s">
        <v>3311</v>
      </c>
      <c r="D3312" s="3">
        <f>IFERROR(__xludf.DUMMYFUNCTION("SPLIT(A3312, ""|"")"),42966.0)</f>
        <v>42966</v>
      </c>
      <c r="E3312" s="2">
        <f>IFERROR(__xludf.DUMMYFUNCTION("""COMPUTED_VALUE"""),1396413.0)</f>
        <v>1396413</v>
      </c>
      <c r="F3312" s="2">
        <f>IFERROR(__xludf.DUMMYFUNCTION("""COMPUTED_VALUE"""),3724689.0)</f>
        <v>3724689</v>
      </c>
      <c r="G3312" s="2">
        <f>IFERROR(__xludf.DUMMYFUNCTION("""COMPUTED_VALUE"""),36.5833)</f>
        <v>36.5833</v>
      </c>
    </row>
    <row r="3313">
      <c r="A3313" s="1" t="s">
        <v>3312</v>
      </c>
      <c r="D3313" s="3">
        <f>IFERROR(__xludf.DUMMYFUNCTION("SPLIT(A3313, ""|"")"),42966.0)</f>
        <v>42966</v>
      </c>
      <c r="E3313" s="2">
        <f>IFERROR(__xludf.DUMMYFUNCTION("""COMPUTED_VALUE"""),1274853.0)</f>
        <v>1274853</v>
      </c>
      <c r="F3313" s="2">
        <f>IFERROR(__xludf.DUMMYFUNCTION("""COMPUTED_VALUE"""),3725351.0)</f>
        <v>3725351</v>
      </c>
      <c r="G3313" s="2">
        <f>IFERROR(__xludf.DUMMYFUNCTION("""COMPUTED_VALUE"""),53.9813)</f>
        <v>53.9813</v>
      </c>
    </row>
    <row r="3314">
      <c r="A3314" s="1" t="s">
        <v>3313</v>
      </c>
      <c r="D3314" s="3">
        <f>IFERROR(__xludf.DUMMYFUNCTION("SPLIT(A3314, ""|"")"),43222.0)</f>
        <v>43222</v>
      </c>
      <c r="E3314" s="2">
        <f>IFERROR(__xludf.DUMMYFUNCTION("""COMPUTED_VALUE"""),1585893.0)</f>
        <v>1585893</v>
      </c>
      <c r="F3314" s="2">
        <f>IFERROR(__xludf.DUMMYFUNCTION("""COMPUTED_VALUE"""),4436274.0)</f>
        <v>4436274</v>
      </c>
      <c r="G3314" s="2">
        <f>IFERROR(__xludf.DUMMYFUNCTION("""COMPUTED_VALUE"""),58.6583)</f>
        <v>58.6583</v>
      </c>
    </row>
    <row r="3315">
      <c r="A3315" s="1" t="s">
        <v>3314</v>
      </c>
      <c r="D3315" s="3">
        <f>IFERROR(__xludf.DUMMYFUNCTION("SPLIT(A3315, ""|"")"),43222.0)</f>
        <v>43222</v>
      </c>
      <c r="E3315" s="2">
        <f>IFERROR(__xludf.DUMMYFUNCTION("""COMPUTED_VALUE"""),1585413.0)</f>
        <v>1585413</v>
      </c>
      <c r="F3315" s="2">
        <f>IFERROR(__xludf.DUMMYFUNCTION("""COMPUTED_VALUE"""),4435776.0)</f>
        <v>4435776</v>
      </c>
      <c r="G3315" s="2">
        <f>IFERROR(__xludf.DUMMYFUNCTION("""COMPUTED_VALUE"""),22.4917)</f>
        <v>22.4917</v>
      </c>
    </row>
    <row r="3316">
      <c r="A3316" s="1" t="s">
        <v>3315</v>
      </c>
      <c r="D3316" s="3">
        <f>IFERROR(__xludf.DUMMYFUNCTION("SPLIT(A3316, ""|"")"),43222.0)</f>
        <v>43222</v>
      </c>
      <c r="E3316" s="2">
        <f>IFERROR(__xludf.DUMMYFUNCTION("""COMPUTED_VALUE"""),1011633.0)</f>
        <v>1011633</v>
      </c>
      <c r="F3316" s="2">
        <f>IFERROR(__xludf.DUMMYFUNCTION("""COMPUTED_VALUE"""),4433747.0)</f>
        <v>4433747</v>
      </c>
      <c r="G3316" s="2">
        <f>IFERROR(__xludf.DUMMYFUNCTION("""COMPUTED_VALUE"""),275.722699999999)</f>
        <v>275.7227</v>
      </c>
    </row>
    <row r="3317">
      <c r="A3317" s="1" t="s">
        <v>3316</v>
      </c>
      <c r="D3317" s="3">
        <f>IFERROR(__xludf.DUMMYFUNCTION("SPLIT(A3317, ""|"")"),42967.0)</f>
        <v>42967</v>
      </c>
      <c r="E3317" s="2">
        <f>IFERROR(__xludf.DUMMYFUNCTION("""COMPUTED_VALUE"""),1084803.0)</f>
        <v>1084803</v>
      </c>
      <c r="F3317" s="2">
        <f>IFERROR(__xludf.DUMMYFUNCTION("""COMPUTED_VALUE"""),3726921.0)</f>
        <v>3726921</v>
      </c>
      <c r="G3317" s="2">
        <f>IFERROR(__xludf.DUMMYFUNCTION("""COMPUTED_VALUE"""),69.5662)</f>
        <v>69.5662</v>
      </c>
    </row>
    <row r="3318">
      <c r="A3318" s="1" t="s">
        <v>3317</v>
      </c>
      <c r="D3318" s="3">
        <f>IFERROR(__xludf.DUMMYFUNCTION("SPLIT(A3318, ""|"")"),43223.0)</f>
        <v>43223</v>
      </c>
      <c r="E3318" s="2">
        <f>IFERROR(__xludf.DUMMYFUNCTION("""COMPUTED_VALUE"""),1381413.0)</f>
        <v>1381413</v>
      </c>
      <c r="F3318" s="2">
        <f>IFERROR(__xludf.DUMMYFUNCTION("""COMPUTED_VALUE"""),4437489.0)</f>
        <v>4437489</v>
      </c>
      <c r="G3318" s="2">
        <f>IFERROR(__xludf.DUMMYFUNCTION("""COMPUTED_VALUE"""),104.7655)</f>
        <v>104.7655</v>
      </c>
    </row>
    <row r="3319">
      <c r="A3319" s="1" t="s">
        <v>3318</v>
      </c>
      <c r="D3319" s="3">
        <f>IFERROR(__xludf.DUMMYFUNCTION("SPLIT(A3319, ""|"")"),43223.0)</f>
        <v>43223</v>
      </c>
      <c r="E3319" s="2">
        <f>IFERROR(__xludf.DUMMYFUNCTION("""COMPUTED_VALUE"""),1428633.0)</f>
        <v>1428633</v>
      </c>
      <c r="F3319" s="2">
        <f>IFERROR(__xludf.DUMMYFUNCTION("""COMPUTED_VALUE"""),4437684.0)</f>
        <v>4437684</v>
      </c>
      <c r="G3319" s="2">
        <f>IFERROR(__xludf.DUMMYFUNCTION("""COMPUTED_VALUE"""),148.6133)</f>
        <v>148.6133</v>
      </c>
    </row>
    <row r="3320">
      <c r="A3320" s="1" t="s">
        <v>3319</v>
      </c>
      <c r="D3320" s="3">
        <f>IFERROR(__xludf.DUMMYFUNCTION("SPLIT(A3320, ""|"")"),43223.0)</f>
        <v>43223</v>
      </c>
      <c r="E3320" s="2">
        <f>IFERROR(__xludf.DUMMYFUNCTION("""COMPUTED_VALUE"""),1383813.0)</f>
        <v>1383813</v>
      </c>
      <c r="F3320" s="2">
        <f>IFERROR(__xludf.DUMMYFUNCTION("""COMPUTED_VALUE"""),4437035.0)</f>
        <v>4437035</v>
      </c>
      <c r="G3320" s="2">
        <f>IFERROR(__xludf.DUMMYFUNCTION("""COMPUTED_VALUE"""),13.3806)</f>
        <v>13.3806</v>
      </c>
    </row>
    <row r="3321">
      <c r="A3321" s="1" t="s">
        <v>3320</v>
      </c>
      <c r="D3321" s="3">
        <f>IFERROR(__xludf.DUMMYFUNCTION("SPLIT(A3321, ""|"")"),43223.0)</f>
        <v>43223</v>
      </c>
      <c r="E3321" s="2">
        <f>IFERROR(__xludf.DUMMYFUNCTION("""COMPUTED_VALUE"""),1195233.0)</f>
        <v>1195233</v>
      </c>
      <c r="F3321" s="2">
        <f>IFERROR(__xludf.DUMMYFUNCTION("""COMPUTED_VALUE"""),4438045.0)</f>
        <v>4438045</v>
      </c>
      <c r="G3321" s="2">
        <f>IFERROR(__xludf.DUMMYFUNCTION("""COMPUTED_VALUE"""),46.6632999999999)</f>
        <v>46.6633</v>
      </c>
    </row>
    <row r="3322">
      <c r="A3322" s="1" t="s">
        <v>3321</v>
      </c>
      <c r="D3322" s="3">
        <f>IFERROR(__xludf.DUMMYFUNCTION("SPLIT(A3322, ""|"")"),43223.0)</f>
        <v>43223</v>
      </c>
      <c r="E3322" s="2">
        <f>IFERROR(__xludf.DUMMYFUNCTION("""COMPUTED_VALUE"""),1457763.0)</f>
        <v>1457763</v>
      </c>
      <c r="F3322" s="2">
        <f>IFERROR(__xludf.DUMMYFUNCTION("""COMPUTED_VALUE"""),4438615.0)</f>
        <v>4438615</v>
      </c>
      <c r="G3322" s="2">
        <f>IFERROR(__xludf.DUMMYFUNCTION("""COMPUTED_VALUE"""),80.6593)</f>
        <v>80.6593</v>
      </c>
    </row>
    <row r="3323">
      <c r="A3323" s="1" t="s">
        <v>3322</v>
      </c>
      <c r="D3323" s="3">
        <f>IFERROR(__xludf.DUMMYFUNCTION("SPLIT(A3323, ""|"")"),43223.0)</f>
        <v>43223</v>
      </c>
      <c r="E3323" s="2">
        <f>IFERROR(__xludf.DUMMYFUNCTION("""COMPUTED_VALUE"""),1122033.0)</f>
        <v>1122033</v>
      </c>
      <c r="F3323" s="2">
        <f>IFERROR(__xludf.DUMMYFUNCTION("""COMPUTED_VALUE"""),4438820.0)</f>
        <v>4438820</v>
      </c>
      <c r="G3323" s="2">
        <f>IFERROR(__xludf.DUMMYFUNCTION("""COMPUTED_VALUE"""),71.1902)</f>
        <v>71.1902</v>
      </c>
    </row>
    <row r="3324">
      <c r="A3324" s="1" t="s">
        <v>3323</v>
      </c>
      <c r="D3324" s="3">
        <f>IFERROR(__xludf.DUMMYFUNCTION("SPLIT(A3324, ""|"")"),42968.0)</f>
        <v>42968</v>
      </c>
      <c r="E3324" s="2">
        <f>IFERROR(__xludf.DUMMYFUNCTION("""COMPUTED_VALUE"""),1397703.0)</f>
        <v>1397703</v>
      </c>
      <c r="F3324" s="2">
        <f>IFERROR(__xludf.DUMMYFUNCTION("""COMPUTED_VALUE"""),3729621.0)</f>
        <v>3729621</v>
      </c>
      <c r="G3324" s="2">
        <f>IFERROR(__xludf.DUMMYFUNCTION("""COMPUTED_VALUE"""),45.3176)</f>
        <v>45.3176</v>
      </c>
    </row>
    <row r="3325">
      <c r="A3325" s="1" t="s">
        <v>3324</v>
      </c>
      <c r="D3325" s="3">
        <f>IFERROR(__xludf.DUMMYFUNCTION("SPLIT(A3325, ""|"")"),42968.0)</f>
        <v>42968</v>
      </c>
      <c r="E3325" s="2">
        <f>IFERROR(__xludf.DUMMYFUNCTION("""COMPUTED_VALUE"""),267663.0)</f>
        <v>267663</v>
      </c>
      <c r="F3325" s="2">
        <f>IFERROR(__xludf.DUMMYFUNCTION("""COMPUTED_VALUE"""),3730198.0)</f>
        <v>3730198</v>
      </c>
      <c r="G3325" s="2">
        <f>IFERROR(__xludf.DUMMYFUNCTION("""COMPUTED_VALUE"""),27.4758999999999)</f>
        <v>27.4759</v>
      </c>
    </row>
    <row r="3326">
      <c r="A3326" s="1" t="s">
        <v>3325</v>
      </c>
      <c r="D3326" s="3">
        <f>IFERROR(__xludf.DUMMYFUNCTION("SPLIT(A3326, ""|"")"),42968.0)</f>
        <v>42968</v>
      </c>
      <c r="E3326" s="2">
        <f>IFERROR(__xludf.DUMMYFUNCTION("""COMPUTED_VALUE"""),1102863.0)</f>
        <v>1102863</v>
      </c>
      <c r="F3326" s="2">
        <f>IFERROR(__xludf.DUMMYFUNCTION("""COMPUTED_VALUE"""),3728985.0)</f>
        <v>3728985</v>
      </c>
      <c r="G3326" s="2">
        <f>IFERROR(__xludf.DUMMYFUNCTION("""COMPUTED_VALUE"""),75.9847999999999)</f>
        <v>75.9848</v>
      </c>
    </row>
    <row r="3327">
      <c r="A3327" s="1" t="s">
        <v>3326</v>
      </c>
      <c r="D3327" s="3">
        <f>IFERROR(__xludf.DUMMYFUNCTION("SPLIT(A3327, ""|"")"),42968.0)</f>
        <v>42968</v>
      </c>
      <c r="E3327" s="2">
        <f>IFERROR(__xludf.DUMMYFUNCTION("""COMPUTED_VALUE"""),1274823.0)</f>
        <v>1274823</v>
      </c>
      <c r="F3327" s="2">
        <f>IFERROR(__xludf.DUMMYFUNCTION("""COMPUTED_VALUE"""),3731184.0)</f>
        <v>3731184</v>
      </c>
      <c r="G3327" s="2">
        <f>IFERROR(__xludf.DUMMYFUNCTION("""COMPUTED_VALUE"""),97.0377)</f>
        <v>97.0377</v>
      </c>
    </row>
    <row r="3328">
      <c r="A3328" s="1" t="s">
        <v>3327</v>
      </c>
      <c r="D3328" s="3">
        <f>IFERROR(__xludf.DUMMYFUNCTION("SPLIT(A3328, ""|"")"),42968.0)</f>
        <v>42968</v>
      </c>
      <c r="E3328" s="2">
        <f>IFERROR(__xludf.DUMMYFUNCTION("""COMPUTED_VALUE"""),395523.0)</f>
        <v>395523</v>
      </c>
      <c r="F3328" s="2">
        <f>IFERROR(__xludf.DUMMYFUNCTION("""COMPUTED_VALUE"""),3729815.0)</f>
        <v>3729815</v>
      </c>
      <c r="G3328" s="2">
        <f>IFERROR(__xludf.DUMMYFUNCTION("""COMPUTED_VALUE"""),72.1046)</f>
        <v>72.1046</v>
      </c>
    </row>
    <row r="3329">
      <c r="A3329" s="1" t="s">
        <v>3328</v>
      </c>
      <c r="D3329" s="3">
        <f>IFERROR(__xludf.DUMMYFUNCTION("SPLIT(A3329, ""|"")"),42968.0)</f>
        <v>42968</v>
      </c>
      <c r="E3329" s="2">
        <f>IFERROR(__xludf.DUMMYFUNCTION("""COMPUTED_VALUE"""),1397853.0)</f>
        <v>1397853</v>
      </c>
      <c r="F3329" s="2">
        <f>IFERROR(__xludf.DUMMYFUNCTION("""COMPUTED_VALUE"""),3730236.0)</f>
        <v>3730236</v>
      </c>
      <c r="G3329" s="2">
        <f>IFERROR(__xludf.DUMMYFUNCTION("""COMPUTED_VALUE"""),43.225)</f>
        <v>43.225</v>
      </c>
    </row>
    <row r="3330">
      <c r="A3330" s="1" t="s">
        <v>3329</v>
      </c>
      <c r="D3330" s="3">
        <f>IFERROR(__xludf.DUMMYFUNCTION("SPLIT(A3330, ""|"")"),43224.0)</f>
        <v>43224</v>
      </c>
      <c r="E3330" s="2">
        <f>IFERROR(__xludf.DUMMYFUNCTION("""COMPUTED_VALUE"""),91623.0)</f>
        <v>91623</v>
      </c>
      <c r="F3330" s="2">
        <f>IFERROR(__xludf.DUMMYFUNCTION("""COMPUTED_VALUE"""),4439028.0)</f>
        <v>4439028</v>
      </c>
      <c r="G3330" s="2">
        <f>IFERROR(__xludf.DUMMYFUNCTION("""COMPUTED_VALUE"""),23.2264)</f>
        <v>23.2264</v>
      </c>
    </row>
    <row r="3331">
      <c r="A3331" s="1" t="s">
        <v>3330</v>
      </c>
      <c r="D3331" s="3">
        <f>IFERROR(__xludf.DUMMYFUNCTION("SPLIT(A3331, ""|"")"),43224.0)</f>
        <v>43224</v>
      </c>
      <c r="E3331" s="2">
        <f>IFERROR(__xludf.DUMMYFUNCTION("""COMPUTED_VALUE"""),1334643.0)</f>
        <v>1334643</v>
      </c>
      <c r="F3331" s="2">
        <f>IFERROR(__xludf.DUMMYFUNCTION("""COMPUTED_VALUE"""),4440121.0)</f>
        <v>4440121</v>
      </c>
      <c r="G3331" s="2">
        <f>IFERROR(__xludf.DUMMYFUNCTION("""COMPUTED_VALUE"""),87.1409)</f>
        <v>87.1409</v>
      </c>
    </row>
    <row r="3332">
      <c r="A3332" s="1" t="s">
        <v>3331</v>
      </c>
      <c r="D3332" s="3">
        <f>IFERROR(__xludf.DUMMYFUNCTION("SPLIT(A3332, ""|"")"),43224.0)</f>
        <v>43224</v>
      </c>
      <c r="E3332" s="2">
        <f>IFERROR(__xludf.DUMMYFUNCTION("""COMPUTED_VALUE"""),1234173.0)</f>
        <v>1234173</v>
      </c>
      <c r="F3332" s="2">
        <f>IFERROR(__xludf.DUMMYFUNCTION("""COMPUTED_VALUE"""),4439974.0)</f>
        <v>4439974</v>
      </c>
      <c r="G3332" s="2">
        <f>IFERROR(__xludf.DUMMYFUNCTION("""COMPUTED_VALUE"""),68.75)</f>
        <v>68.75</v>
      </c>
    </row>
    <row r="3333">
      <c r="A3333" s="1" t="s">
        <v>3332</v>
      </c>
      <c r="D3333" s="3">
        <f>IFERROR(__xludf.DUMMYFUNCTION("SPLIT(A3333, ""|"")"),43224.0)</f>
        <v>43224</v>
      </c>
      <c r="E3333" s="2">
        <f>IFERROR(__xludf.DUMMYFUNCTION("""COMPUTED_VALUE"""),1587033.0)</f>
        <v>1587033</v>
      </c>
      <c r="F3333" s="2">
        <f>IFERROR(__xludf.DUMMYFUNCTION("""COMPUTED_VALUE"""),4440636.0)</f>
        <v>4440636</v>
      </c>
      <c r="G3333" s="2">
        <f>IFERROR(__xludf.DUMMYFUNCTION("""COMPUTED_VALUE"""),7.4904)</f>
        <v>7.4904</v>
      </c>
    </row>
    <row r="3334">
      <c r="A3334" s="1" t="s">
        <v>3333</v>
      </c>
      <c r="D3334" s="3">
        <f>IFERROR(__xludf.DUMMYFUNCTION("SPLIT(A3334, ""|"")"),43224.0)</f>
        <v>43224</v>
      </c>
      <c r="E3334" s="2">
        <f>IFERROR(__xludf.DUMMYFUNCTION("""COMPUTED_VALUE"""),1477113.0)</f>
        <v>1477113</v>
      </c>
      <c r="F3334" s="2">
        <f>IFERROR(__xludf.DUMMYFUNCTION("""COMPUTED_VALUE"""),4439574.0)</f>
        <v>4439574</v>
      </c>
      <c r="G3334" s="2">
        <f>IFERROR(__xludf.DUMMYFUNCTION("""COMPUTED_VALUE"""),95.0734)</f>
        <v>95.0734</v>
      </c>
    </row>
    <row r="3335">
      <c r="A3335" s="1" t="s">
        <v>3334</v>
      </c>
      <c r="D3335" s="3">
        <f>IFERROR(__xludf.DUMMYFUNCTION("SPLIT(A3335, ""|"")"),43224.0)</f>
        <v>43224</v>
      </c>
      <c r="E3335" s="2">
        <f>IFERROR(__xludf.DUMMYFUNCTION("""COMPUTED_VALUE"""),490203.0)</f>
        <v>490203</v>
      </c>
      <c r="F3335" s="2">
        <f>IFERROR(__xludf.DUMMYFUNCTION("""COMPUTED_VALUE"""),4440606.0)</f>
        <v>4440606</v>
      </c>
      <c r="G3335" s="2">
        <f>IFERROR(__xludf.DUMMYFUNCTION("""COMPUTED_VALUE"""),96.1437)</f>
        <v>96.1437</v>
      </c>
    </row>
    <row r="3336">
      <c r="A3336" s="1" t="s">
        <v>3335</v>
      </c>
      <c r="D3336" s="3">
        <f>IFERROR(__xludf.DUMMYFUNCTION("SPLIT(A3336, ""|"")"),42969.0)</f>
        <v>42969</v>
      </c>
      <c r="E3336" s="2">
        <f>IFERROR(__xludf.DUMMYFUNCTION("""COMPUTED_VALUE"""),1151013.0)</f>
        <v>1151013</v>
      </c>
      <c r="F3336" s="2">
        <f>IFERROR(__xludf.DUMMYFUNCTION("""COMPUTED_VALUE"""),3733160.0)</f>
        <v>3733160</v>
      </c>
      <c r="G3336" s="2">
        <f>IFERROR(__xludf.DUMMYFUNCTION("""COMPUTED_VALUE"""),103.8737)</f>
        <v>103.8737</v>
      </c>
    </row>
    <row r="3337">
      <c r="A3337" s="1" t="s">
        <v>3336</v>
      </c>
      <c r="D3337" s="3">
        <f>IFERROR(__xludf.DUMMYFUNCTION("SPLIT(A3337, ""|"")"),42969.0)</f>
        <v>42969</v>
      </c>
      <c r="E3337" s="2">
        <f>IFERROR(__xludf.DUMMYFUNCTION("""COMPUTED_VALUE"""),186663.0)</f>
        <v>186663</v>
      </c>
      <c r="F3337" s="2">
        <f>IFERROR(__xludf.DUMMYFUNCTION("""COMPUTED_VALUE"""),3732597.0)</f>
        <v>3732597</v>
      </c>
      <c r="G3337" s="2">
        <f>IFERROR(__xludf.DUMMYFUNCTION("""COMPUTED_VALUE"""),80.2267)</f>
        <v>80.2267</v>
      </c>
    </row>
    <row r="3338">
      <c r="A3338" s="1" t="s">
        <v>3337</v>
      </c>
      <c r="D3338" s="3">
        <f>IFERROR(__xludf.DUMMYFUNCTION("SPLIT(A3338, ""|"")"),42969.0)</f>
        <v>42969</v>
      </c>
      <c r="E3338" s="2">
        <f>IFERROR(__xludf.DUMMYFUNCTION("""COMPUTED_VALUE"""),1061973.0)</f>
        <v>1061973</v>
      </c>
      <c r="F3338" s="2">
        <f>IFERROR(__xludf.DUMMYFUNCTION("""COMPUTED_VALUE"""),3732571.0)</f>
        <v>3732571</v>
      </c>
      <c r="G3338" s="2">
        <f>IFERROR(__xludf.DUMMYFUNCTION("""COMPUTED_VALUE"""),36.4579)</f>
        <v>36.4579</v>
      </c>
    </row>
    <row r="3339">
      <c r="A3339" s="1" t="s">
        <v>3338</v>
      </c>
      <c r="D3339" s="3">
        <f>IFERROR(__xludf.DUMMYFUNCTION("SPLIT(A3339, ""|"")"),42969.0)</f>
        <v>42969</v>
      </c>
      <c r="E3339" s="2">
        <f>IFERROR(__xludf.DUMMYFUNCTION("""COMPUTED_VALUE"""),1398123.0)</f>
        <v>1398123</v>
      </c>
      <c r="F3339" s="2">
        <f>IFERROR(__xludf.DUMMYFUNCTION("""COMPUTED_VALUE"""),3731404.0)</f>
        <v>3731404</v>
      </c>
      <c r="G3339" s="2">
        <f>IFERROR(__xludf.DUMMYFUNCTION("""COMPUTED_VALUE"""),14.1472)</f>
        <v>14.1472</v>
      </c>
    </row>
    <row r="3340">
      <c r="A3340" s="1" t="s">
        <v>3339</v>
      </c>
      <c r="D3340" s="3">
        <f>IFERROR(__xludf.DUMMYFUNCTION("SPLIT(A3340, ""|"")"),42969.0)</f>
        <v>42969</v>
      </c>
      <c r="E3340" s="2">
        <f>IFERROR(__xludf.DUMMYFUNCTION("""COMPUTED_VALUE"""),1398303.0)</f>
        <v>1398303</v>
      </c>
      <c r="F3340" s="2">
        <f>IFERROR(__xludf.DUMMYFUNCTION("""COMPUTED_VALUE"""),3732101.0)</f>
        <v>3732101</v>
      </c>
      <c r="G3340" s="2">
        <f>IFERROR(__xludf.DUMMYFUNCTION("""COMPUTED_VALUE"""),88.72)</f>
        <v>88.72</v>
      </c>
    </row>
    <row r="3341">
      <c r="A3341" s="1" t="s">
        <v>3340</v>
      </c>
      <c r="D3341" s="3">
        <f>IFERROR(__xludf.DUMMYFUNCTION("SPLIT(A3341, ""|"")"),42969.0)</f>
        <v>42969</v>
      </c>
      <c r="E3341" s="2">
        <f>IFERROR(__xludf.DUMMYFUNCTION("""COMPUTED_VALUE"""),1222383.0)</f>
        <v>1222383</v>
      </c>
      <c r="F3341" s="2">
        <f>IFERROR(__xludf.DUMMYFUNCTION("""COMPUTED_VALUE"""),3731323.0)</f>
        <v>3731323</v>
      </c>
      <c r="G3341" s="2">
        <f>IFERROR(__xludf.DUMMYFUNCTION("""COMPUTED_VALUE"""),8.2425)</f>
        <v>8.2425</v>
      </c>
    </row>
    <row r="3342">
      <c r="A3342" s="1" t="s">
        <v>3341</v>
      </c>
      <c r="D3342" s="3">
        <f>IFERROR(__xludf.DUMMYFUNCTION("SPLIT(A3342, ""|"")"),42969.0)</f>
        <v>42969</v>
      </c>
      <c r="E3342" s="2">
        <f>IFERROR(__xludf.DUMMYFUNCTION("""COMPUTED_VALUE"""),1398153.0)</f>
        <v>1398153</v>
      </c>
      <c r="F3342" s="2">
        <f>IFERROR(__xludf.DUMMYFUNCTION("""COMPUTED_VALUE"""),3731504.0)</f>
        <v>3731504</v>
      </c>
      <c r="G3342" s="2">
        <f>IFERROR(__xludf.DUMMYFUNCTION("""COMPUTED_VALUE"""),12.2544)</f>
        <v>12.2544</v>
      </c>
    </row>
    <row r="3343">
      <c r="A3343" s="1" t="s">
        <v>3342</v>
      </c>
      <c r="D3343" s="3">
        <f>IFERROR(__xludf.DUMMYFUNCTION("SPLIT(A3343, ""|"")"),42969.0)</f>
        <v>42969</v>
      </c>
      <c r="E3343" s="2">
        <f>IFERROR(__xludf.DUMMYFUNCTION("""COMPUTED_VALUE"""),184683.0)</f>
        <v>184683</v>
      </c>
      <c r="F3343" s="2">
        <f>IFERROR(__xludf.DUMMYFUNCTION("""COMPUTED_VALUE"""),3733100.0)</f>
        <v>3733100</v>
      </c>
      <c r="G3343" s="2">
        <f>IFERROR(__xludf.DUMMYFUNCTION("""COMPUTED_VALUE"""),63.4228)</f>
        <v>63.4228</v>
      </c>
    </row>
    <row r="3344">
      <c r="A3344" s="1" t="s">
        <v>3343</v>
      </c>
      <c r="D3344" s="3">
        <f>IFERROR(__xludf.DUMMYFUNCTION("SPLIT(A3344, ""|"")"),42969.0)</f>
        <v>42969</v>
      </c>
      <c r="E3344" s="2">
        <f>IFERROR(__xludf.DUMMYFUNCTION("""COMPUTED_VALUE"""),1101993.0)</f>
        <v>1101993</v>
      </c>
      <c r="F3344" s="2">
        <f>IFERROR(__xludf.DUMMYFUNCTION("""COMPUTED_VALUE"""),3732438.0)</f>
        <v>3732438</v>
      </c>
      <c r="G3344" s="2">
        <f>IFERROR(__xludf.DUMMYFUNCTION("""COMPUTED_VALUE"""),31.5833)</f>
        <v>31.5833</v>
      </c>
    </row>
    <row r="3345">
      <c r="A3345" s="1" t="s">
        <v>3344</v>
      </c>
      <c r="D3345" s="3">
        <f>IFERROR(__xludf.DUMMYFUNCTION("SPLIT(A3345, ""|"")"),43225.0)</f>
        <v>43225</v>
      </c>
      <c r="E3345" s="2">
        <f>IFERROR(__xludf.DUMMYFUNCTION("""COMPUTED_VALUE"""),1040313.0)</f>
        <v>1040313</v>
      </c>
      <c r="F3345" s="2">
        <f>IFERROR(__xludf.DUMMYFUNCTION("""COMPUTED_VALUE"""),4441766.0)</f>
        <v>4441766</v>
      </c>
      <c r="G3345" s="2">
        <f>IFERROR(__xludf.DUMMYFUNCTION("""COMPUTED_VALUE"""),223.2779)</f>
        <v>223.2779</v>
      </c>
    </row>
    <row r="3346">
      <c r="A3346" s="1" t="s">
        <v>3345</v>
      </c>
      <c r="D3346" s="3">
        <f>IFERROR(__xludf.DUMMYFUNCTION("SPLIT(A3346, ""|"")"),43225.0)</f>
        <v>43225</v>
      </c>
      <c r="E3346" s="2">
        <f>IFERROR(__xludf.DUMMYFUNCTION("""COMPUTED_VALUE"""),1128333.0)</f>
        <v>1128333</v>
      </c>
      <c r="F3346" s="2">
        <f>IFERROR(__xludf.DUMMYFUNCTION("""COMPUTED_VALUE"""),4441213.0)</f>
        <v>4441213</v>
      </c>
      <c r="G3346" s="2">
        <f>IFERROR(__xludf.DUMMYFUNCTION("""COMPUTED_VALUE"""),46.1999)</f>
        <v>46.1999</v>
      </c>
    </row>
    <row r="3347">
      <c r="A3347" s="1" t="s">
        <v>3346</v>
      </c>
      <c r="D3347" s="3">
        <f>IFERROR(__xludf.DUMMYFUNCTION("SPLIT(A3347, ""|"")"),42970.0)</f>
        <v>42970</v>
      </c>
      <c r="E3347" s="2">
        <f>IFERROR(__xludf.DUMMYFUNCTION("""COMPUTED_VALUE"""),1348683.0)</f>
        <v>1348683</v>
      </c>
      <c r="F3347" s="2">
        <f>IFERROR(__xludf.DUMMYFUNCTION("""COMPUTED_VALUE"""),3735654.0)</f>
        <v>3735654</v>
      </c>
      <c r="G3347" s="2">
        <f>IFERROR(__xludf.DUMMYFUNCTION("""COMPUTED_VALUE"""),50.6407)</f>
        <v>50.6407</v>
      </c>
    </row>
    <row r="3348">
      <c r="A3348" s="1" t="s">
        <v>3347</v>
      </c>
      <c r="D3348" s="3">
        <f>IFERROR(__xludf.DUMMYFUNCTION("SPLIT(A3348, ""|"")"),42970.0)</f>
        <v>42970</v>
      </c>
      <c r="E3348" s="2">
        <f>IFERROR(__xludf.DUMMYFUNCTION("""COMPUTED_VALUE"""),1350873.0)</f>
        <v>1350873</v>
      </c>
      <c r="F3348" s="2">
        <f>IFERROR(__xludf.DUMMYFUNCTION("""COMPUTED_VALUE"""),3734056.0)</f>
        <v>3734056</v>
      </c>
      <c r="G3348" s="2">
        <f>IFERROR(__xludf.DUMMYFUNCTION("""COMPUTED_VALUE"""),99.9380999999999)</f>
        <v>99.9381</v>
      </c>
    </row>
    <row r="3349">
      <c r="A3349" s="1" t="s">
        <v>3348</v>
      </c>
      <c r="D3349" s="3">
        <f>IFERROR(__xludf.DUMMYFUNCTION("SPLIT(A3349, ""|"")"),42970.0)</f>
        <v>42970</v>
      </c>
      <c r="E3349" s="2">
        <f>IFERROR(__xludf.DUMMYFUNCTION("""COMPUTED_VALUE"""),1339623.0)</f>
        <v>1339623</v>
      </c>
      <c r="F3349" s="2">
        <f>IFERROR(__xludf.DUMMYFUNCTION("""COMPUTED_VALUE"""),3735181.0)</f>
        <v>3735181</v>
      </c>
      <c r="G3349" s="2">
        <f>IFERROR(__xludf.DUMMYFUNCTION("""COMPUTED_VALUE"""),51.057)</f>
        <v>51.057</v>
      </c>
    </row>
    <row r="3350">
      <c r="A3350" s="1" t="s">
        <v>3349</v>
      </c>
      <c r="D3350" s="3">
        <f>IFERROR(__xludf.DUMMYFUNCTION("SPLIT(A3350, ""|"")"),42970.0)</f>
        <v>42970</v>
      </c>
      <c r="E3350" s="2">
        <f>IFERROR(__xludf.DUMMYFUNCTION("""COMPUTED_VALUE"""),1398273.0)</f>
        <v>1398273</v>
      </c>
      <c r="F3350" s="2">
        <f>IFERROR(__xludf.DUMMYFUNCTION("""COMPUTED_VALUE"""),3735562.0)</f>
        <v>3735562</v>
      </c>
      <c r="G3350" s="2">
        <f>IFERROR(__xludf.DUMMYFUNCTION("""COMPUTED_VALUE"""),68.4778999999999)</f>
        <v>68.4779</v>
      </c>
    </row>
    <row r="3351">
      <c r="A3351" s="1" t="s">
        <v>3350</v>
      </c>
      <c r="D3351" s="3">
        <f>IFERROR(__xludf.DUMMYFUNCTION("SPLIT(A3351, ""|"")"),43226.0)</f>
        <v>43226</v>
      </c>
      <c r="E3351" s="2">
        <f>IFERROR(__xludf.DUMMYFUNCTION("""COMPUTED_VALUE"""),1587693.0)</f>
        <v>1587693</v>
      </c>
      <c r="F3351" s="2">
        <f>IFERROR(__xludf.DUMMYFUNCTION("""COMPUTED_VALUE"""),4443097.0)</f>
        <v>4443097</v>
      </c>
      <c r="G3351" s="2">
        <f>IFERROR(__xludf.DUMMYFUNCTION("""COMPUTED_VALUE"""),73.699)</f>
        <v>73.699</v>
      </c>
    </row>
    <row r="3352">
      <c r="A3352" s="1" t="s">
        <v>3351</v>
      </c>
      <c r="D3352" s="3">
        <f>IFERROR(__xludf.DUMMYFUNCTION("SPLIT(A3352, ""|"")"),43226.0)</f>
        <v>43226</v>
      </c>
      <c r="E3352" s="2">
        <f>IFERROR(__xludf.DUMMYFUNCTION("""COMPUTED_VALUE"""),1209573.0)</f>
        <v>1209573</v>
      </c>
      <c r="F3352" s="2">
        <f>IFERROR(__xludf.DUMMYFUNCTION("""COMPUTED_VALUE"""),4442991.0)</f>
        <v>4442991</v>
      </c>
      <c r="G3352" s="2">
        <f>IFERROR(__xludf.DUMMYFUNCTION("""COMPUTED_VALUE"""),50.256)</f>
        <v>50.256</v>
      </c>
    </row>
    <row r="3353">
      <c r="A3353" s="1" t="s">
        <v>3352</v>
      </c>
      <c r="D3353" s="3">
        <f>IFERROR(__xludf.DUMMYFUNCTION("SPLIT(A3353, ""|"")"),42971.0)</f>
        <v>42971</v>
      </c>
      <c r="E3353" s="2">
        <f>IFERROR(__xludf.DUMMYFUNCTION("""COMPUTED_VALUE"""),1261383.0)</f>
        <v>1261383</v>
      </c>
      <c r="F3353" s="2">
        <f>IFERROR(__xludf.DUMMYFUNCTION("""COMPUTED_VALUE"""),3737613.0)</f>
        <v>3737613</v>
      </c>
      <c r="G3353" s="2">
        <f>IFERROR(__xludf.DUMMYFUNCTION("""COMPUTED_VALUE"""),128.161)</f>
        <v>128.161</v>
      </c>
    </row>
    <row r="3354">
      <c r="A3354" s="1" t="s">
        <v>3353</v>
      </c>
      <c r="D3354" s="3">
        <f>IFERROR(__xludf.DUMMYFUNCTION("SPLIT(A3354, ""|"")"),42971.0)</f>
        <v>42971</v>
      </c>
      <c r="E3354" s="2">
        <f>IFERROR(__xludf.DUMMYFUNCTION("""COMPUTED_VALUE"""),1333263.0)</f>
        <v>1333263</v>
      </c>
      <c r="F3354" s="2">
        <f>IFERROR(__xludf.DUMMYFUNCTION("""COMPUTED_VALUE"""),3737483.0)</f>
        <v>3737483</v>
      </c>
      <c r="G3354" s="2">
        <f>IFERROR(__xludf.DUMMYFUNCTION("""COMPUTED_VALUE"""),133.4088)</f>
        <v>133.4088</v>
      </c>
    </row>
    <row r="3355">
      <c r="A3355" s="1" t="s">
        <v>3354</v>
      </c>
      <c r="D3355" s="3">
        <f>IFERROR(__xludf.DUMMYFUNCTION("SPLIT(A3355, ""|"")"),42971.0)</f>
        <v>42971</v>
      </c>
      <c r="E3355" s="2">
        <f>IFERROR(__xludf.DUMMYFUNCTION("""COMPUTED_VALUE"""),1370283.0)</f>
        <v>1370283</v>
      </c>
      <c r="F3355" s="2">
        <f>IFERROR(__xludf.DUMMYFUNCTION("""COMPUTED_VALUE"""),3737687.0)</f>
        <v>3737687</v>
      </c>
      <c r="G3355" s="2">
        <f>IFERROR(__xludf.DUMMYFUNCTION("""COMPUTED_VALUE"""),85.4440999999999)</f>
        <v>85.4441</v>
      </c>
    </row>
    <row r="3356">
      <c r="A3356" s="1" t="s">
        <v>3355</v>
      </c>
      <c r="D3356" s="3">
        <f>IFERROR(__xludf.DUMMYFUNCTION("SPLIT(A3356, ""|"")"),42971.0)</f>
        <v>42971</v>
      </c>
      <c r="E3356" s="2">
        <f>IFERROR(__xludf.DUMMYFUNCTION("""COMPUTED_VALUE"""),486093.0)</f>
        <v>486093</v>
      </c>
      <c r="F3356" s="2">
        <f>IFERROR(__xludf.DUMMYFUNCTION("""COMPUTED_VALUE"""),3737015.0)</f>
        <v>3737015</v>
      </c>
      <c r="G3356" s="2">
        <f>IFERROR(__xludf.DUMMYFUNCTION("""COMPUTED_VALUE"""),56.7423)</f>
        <v>56.7423</v>
      </c>
    </row>
    <row r="3357">
      <c r="A3357" s="1" t="s">
        <v>3356</v>
      </c>
      <c r="D3357" s="3">
        <f>IFERROR(__xludf.DUMMYFUNCTION("SPLIT(A3357, ""|"")"),42971.0)</f>
        <v>42971</v>
      </c>
      <c r="E3357" s="2">
        <f>IFERROR(__xludf.DUMMYFUNCTION("""COMPUTED_VALUE"""),1399533.0)</f>
        <v>1399533</v>
      </c>
      <c r="F3357" s="2">
        <f>IFERROR(__xludf.DUMMYFUNCTION("""COMPUTED_VALUE"""),3737101.0)</f>
        <v>3737101</v>
      </c>
      <c r="G3357" s="2">
        <f>IFERROR(__xludf.DUMMYFUNCTION("""COMPUTED_VALUE"""),41.6389)</f>
        <v>41.6389</v>
      </c>
    </row>
    <row r="3358">
      <c r="A3358" s="1" t="s">
        <v>3357</v>
      </c>
      <c r="D3358" s="3">
        <f>IFERROR(__xludf.DUMMYFUNCTION("SPLIT(A3358, ""|"")"),42971.0)</f>
        <v>42971</v>
      </c>
      <c r="E3358" s="2">
        <f>IFERROR(__xludf.DUMMYFUNCTION("""COMPUTED_VALUE"""),1393623.0)</f>
        <v>1393623</v>
      </c>
      <c r="F3358" s="2">
        <f>IFERROR(__xludf.DUMMYFUNCTION("""COMPUTED_VALUE"""),3736520.0)</f>
        <v>3736520</v>
      </c>
      <c r="G3358" s="2">
        <f>IFERROR(__xludf.DUMMYFUNCTION("""COMPUTED_VALUE"""),146.2901)</f>
        <v>146.2901</v>
      </c>
    </row>
    <row r="3359">
      <c r="A3359" s="1" t="s">
        <v>3358</v>
      </c>
      <c r="D3359" s="3">
        <f>IFERROR(__xludf.DUMMYFUNCTION("SPLIT(A3359, ""|"")"),43227.0)</f>
        <v>43227</v>
      </c>
      <c r="E3359" s="2">
        <f>IFERROR(__xludf.DUMMYFUNCTION("""COMPUTED_VALUE"""),473733.0)</f>
        <v>473733</v>
      </c>
      <c r="F3359" s="2">
        <f>IFERROR(__xludf.DUMMYFUNCTION("""COMPUTED_VALUE"""),4445455.0)</f>
        <v>4445455</v>
      </c>
      <c r="G3359" s="2">
        <f>IFERROR(__xludf.DUMMYFUNCTION("""COMPUTED_VALUE"""),33.0)</f>
        <v>33</v>
      </c>
    </row>
    <row r="3360">
      <c r="A3360" s="1" t="s">
        <v>3359</v>
      </c>
      <c r="D3360" s="3">
        <f>IFERROR(__xludf.DUMMYFUNCTION("SPLIT(A3360, ""|"")"),43227.0)</f>
        <v>43227</v>
      </c>
      <c r="E3360" s="2">
        <f>IFERROR(__xludf.DUMMYFUNCTION("""COMPUTED_VALUE"""),1451553.0)</f>
        <v>1451553</v>
      </c>
      <c r="F3360" s="2">
        <f>IFERROR(__xludf.DUMMYFUNCTION("""COMPUTED_VALUE"""),4446799.0)</f>
        <v>4446799</v>
      </c>
      <c r="G3360" s="2">
        <f>IFERROR(__xludf.DUMMYFUNCTION("""COMPUTED_VALUE"""),106.0655)</f>
        <v>106.0655</v>
      </c>
    </row>
    <row r="3361">
      <c r="A3361" s="1" t="s">
        <v>3360</v>
      </c>
      <c r="D3361" s="3">
        <f>IFERROR(__xludf.DUMMYFUNCTION("SPLIT(A3361, ""|"")"),43227.0)</f>
        <v>43227</v>
      </c>
      <c r="E3361" s="2">
        <f>IFERROR(__xludf.DUMMYFUNCTION("""COMPUTED_VALUE"""),1556523.0)</f>
        <v>1556523</v>
      </c>
      <c r="F3361" s="2">
        <f>IFERROR(__xludf.DUMMYFUNCTION("""COMPUTED_VALUE"""),4447035.0)</f>
        <v>4447035</v>
      </c>
      <c r="G3361" s="2">
        <f>IFERROR(__xludf.DUMMYFUNCTION("""COMPUTED_VALUE"""),44.4172)</f>
        <v>44.4172</v>
      </c>
    </row>
    <row r="3362">
      <c r="A3362" s="1" t="s">
        <v>3361</v>
      </c>
      <c r="D3362" s="3">
        <f>IFERROR(__xludf.DUMMYFUNCTION("SPLIT(A3362, ""|"")"),43227.0)</f>
        <v>43227</v>
      </c>
      <c r="E3362" s="2">
        <f>IFERROR(__xludf.DUMMYFUNCTION("""COMPUTED_VALUE"""),1350873.0)</f>
        <v>1350873</v>
      </c>
      <c r="F3362" s="2">
        <f>IFERROR(__xludf.DUMMYFUNCTION("""COMPUTED_VALUE"""),4446255.0)</f>
        <v>4446255</v>
      </c>
      <c r="G3362" s="2">
        <f>IFERROR(__xludf.DUMMYFUNCTION("""COMPUTED_VALUE"""),57.8054)</f>
        <v>57.8054</v>
      </c>
    </row>
    <row r="3363">
      <c r="A3363" s="1" t="s">
        <v>3362</v>
      </c>
      <c r="D3363" s="3">
        <f>IFERROR(__xludf.DUMMYFUNCTION("SPLIT(A3363, ""|"")"),43227.0)</f>
        <v>43227</v>
      </c>
      <c r="E3363" s="2">
        <f>IFERROR(__xludf.DUMMYFUNCTION("""COMPUTED_VALUE"""),1588233.0)</f>
        <v>1588233</v>
      </c>
      <c r="F3363" s="2">
        <f>IFERROR(__xludf.DUMMYFUNCTION("""COMPUTED_VALUE"""),4445297.0)</f>
        <v>4445297</v>
      </c>
      <c r="G3363" s="2">
        <f>IFERROR(__xludf.DUMMYFUNCTION("""COMPUTED_VALUE"""),184.6788)</f>
        <v>184.6788</v>
      </c>
    </row>
    <row r="3364">
      <c r="A3364" s="1" t="s">
        <v>3363</v>
      </c>
      <c r="D3364" s="3">
        <f>IFERROR(__xludf.DUMMYFUNCTION("SPLIT(A3364, ""|"")"),43227.0)</f>
        <v>43227</v>
      </c>
      <c r="E3364" s="2">
        <f>IFERROR(__xludf.DUMMYFUNCTION("""COMPUTED_VALUE"""),1096713.0)</f>
        <v>1096713</v>
      </c>
      <c r="F3364" s="2">
        <f>IFERROR(__xludf.DUMMYFUNCTION("""COMPUTED_VALUE"""),4445824.0)</f>
        <v>4445824</v>
      </c>
      <c r="G3364" s="2">
        <f>IFERROR(__xludf.DUMMYFUNCTION("""COMPUTED_VALUE"""),74.761)</f>
        <v>74.761</v>
      </c>
    </row>
    <row r="3365">
      <c r="A3365" s="1" t="s">
        <v>3364</v>
      </c>
      <c r="D3365" s="3">
        <f>IFERROR(__xludf.DUMMYFUNCTION("SPLIT(A3365, ""|"")"),43227.0)</f>
        <v>43227</v>
      </c>
      <c r="E3365" s="2">
        <f>IFERROR(__xludf.DUMMYFUNCTION("""COMPUTED_VALUE"""),1474893.0)</f>
        <v>1474893</v>
      </c>
      <c r="F3365" s="2">
        <f>IFERROR(__xludf.DUMMYFUNCTION("""COMPUTED_VALUE"""),4447597.0)</f>
        <v>4447597</v>
      </c>
      <c r="G3365" s="2">
        <f>IFERROR(__xludf.DUMMYFUNCTION("""COMPUTED_VALUE"""),68.4)</f>
        <v>68.4</v>
      </c>
    </row>
    <row r="3366">
      <c r="A3366" s="1" t="s">
        <v>3365</v>
      </c>
      <c r="D3366" s="3">
        <f>IFERROR(__xludf.DUMMYFUNCTION("SPLIT(A3366, ""|"")"),43227.0)</f>
        <v>43227</v>
      </c>
      <c r="E3366" s="2">
        <f>IFERROR(__xludf.DUMMYFUNCTION("""COMPUTED_VALUE"""),423153.0)</f>
        <v>423153</v>
      </c>
      <c r="F3366" s="2">
        <f>IFERROR(__xludf.DUMMYFUNCTION("""COMPUTED_VALUE"""),4445978.0)</f>
        <v>4445978</v>
      </c>
      <c r="G3366" s="2">
        <f>IFERROR(__xludf.DUMMYFUNCTION("""COMPUTED_VALUE"""),84.4195)</f>
        <v>84.4195</v>
      </c>
    </row>
    <row r="3367">
      <c r="A3367" s="1" t="s">
        <v>3366</v>
      </c>
      <c r="D3367" s="3">
        <f>IFERROR(__xludf.DUMMYFUNCTION("SPLIT(A3367, ""|"")"),42972.0)</f>
        <v>42972</v>
      </c>
      <c r="E3367" s="2">
        <f>IFERROR(__xludf.DUMMYFUNCTION("""COMPUTED_VALUE"""),1184643.0)</f>
        <v>1184643</v>
      </c>
      <c r="F3367" s="2">
        <f>IFERROR(__xludf.DUMMYFUNCTION("""COMPUTED_VALUE"""),3739537.0)</f>
        <v>3739537</v>
      </c>
      <c r="G3367" s="2">
        <f>IFERROR(__xludf.DUMMYFUNCTION("""COMPUTED_VALUE"""),92.9177999999999)</f>
        <v>92.9178</v>
      </c>
    </row>
    <row r="3368">
      <c r="A3368" s="1" t="s">
        <v>3367</v>
      </c>
      <c r="D3368" s="3">
        <f>IFERROR(__xludf.DUMMYFUNCTION("SPLIT(A3368, ""|"")"),42972.0)</f>
        <v>42972</v>
      </c>
      <c r="E3368" s="2">
        <f>IFERROR(__xludf.DUMMYFUNCTION("""COMPUTED_VALUE"""),1080153.0)</f>
        <v>1080153</v>
      </c>
      <c r="F3368" s="2">
        <f>IFERROR(__xludf.DUMMYFUNCTION("""COMPUTED_VALUE"""),3738832.0)</f>
        <v>3738832</v>
      </c>
      <c r="G3368" s="2">
        <f>IFERROR(__xludf.DUMMYFUNCTION("""COMPUTED_VALUE"""),123.2987)</f>
        <v>123.2987</v>
      </c>
    </row>
    <row r="3369">
      <c r="A3369" s="1" t="s">
        <v>3368</v>
      </c>
      <c r="D3369" s="3">
        <f>IFERROR(__xludf.DUMMYFUNCTION("SPLIT(A3369, ""|"")"),42972.0)</f>
        <v>42972</v>
      </c>
      <c r="E3369" s="2">
        <f>IFERROR(__xludf.DUMMYFUNCTION("""COMPUTED_VALUE"""),63963.0)</f>
        <v>63963</v>
      </c>
      <c r="F3369" s="2">
        <f>IFERROR(__xludf.DUMMYFUNCTION("""COMPUTED_VALUE"""),3738665.0)</f>
        <v>3738665</v>
      </c>
      <c r="G3369" s="2">
        <f>IFERROR(__xludf.DUMMYFUNCTION("""COMPUTED_VALUE"""),39.423)</f>
        <v>39.423</v>
      </c>
    </row>
    <row r="3370">
      <c r="A3370" s="1" t="s">
        <v>3369</v>
      </c>
      <c r="D3370" s="3">
        <f>IFERROR(__xludf.DUMMYFUNCTION("SPLIT(A3370, ""|"")"),42972.0)</f>
        <v>42972</v>
      </c>
      <c r="E3370" s="2">
        <f>IFERROR(__xludf.DUMMYFUNCTION("""COMPUTED_VALUE"""),1220073.0)</f>
        <v>1220073</v>
      </c>
      <c r="F3370" s="2">
        <f>IFERROR(__xludf.DUMMYFUNCTION("""COMPUTED_VALUE"""),3739520.0)</f>
        <v>3739520</v>
      </c>
      <c r="G3370" s="2">
        <f>IFERROR(__xludf.DUMMYFUNCTION("""COMPUTED_VALUE"""),88.234)</f>
        <v>88.234</v>
      </c>
    </row>
    <row r="3371">
      <c r="A3371" s="1" t="s">
        <v>3370</v>
      </c>
      <c r="D3371" s="3">
        <f>IFERROR(__xludf.DUMMYFUNCTION("SPLIT(A3371, ""|"")"),42972.0)</f>
        <v>42972</v>
      </c>
      <c r="E3371" s="2">
        <f>IFERROR(__xludf.DUMMYFUNCTION("""COMPUTED_VALUE"""),1259703.0)</f>
        <v>1259703</v>
      </c>
      <c r="F3371" s="2">
        <f>IFERROR(__xludf.DUMMYFUNCTION("""COMPUTED_VALUE"""),3739891.0)</f>
        <v>3739891</v>
      </c>
      <c r="G3371" s="2">
        <f>IFERROR(__xludf.DUMMYFUNCTION("""COMPUTED_VALUE"""),72.682)</f>
        <v>72.682</v>
      </c>
    </row>
    <row r="3372">
      <c r="A3372" s="1" t="s">
        <v>3371</v>
      </c>
      <c r="D3372" s="3">
        <f>IFERROR(__xludf.DUMMYFUNCTION("SPLIT(A3372, ""|"")"),43228.0)</f>
        <v>43228</v>
      </c>
      <c r="E3372" s="2">
        <f>IFERROR(__xludf.DUMMYFUNCTION("""COMPUTED_VALUE"""),1491033.0)</f>
        <v>1491033</v>
      </c>
      <c r="F3372" s="2">
        <f>IFERROR(__xludf.DUMMYFUNCTION("""COMPUTED_VALUE"""),4450594.0)</f>
        <v>4450594</v>
      </c>
      <c r="G3372" s="2">
        <f>IFERROR(__xludf.DUMMYFUNCTION("""COMPUTED_VALUE"""),37.2797999999999)</f>
        <v>37.2798</v>
      </c>
    </row>
    <row r="3373">
      <c r="A3373" s="1" t="s">
        <v>3372</v>
      </c>
      <c r="D3373" s="3">
        <f>IFERROR(__xludf.DUMMYFUNCTION("SPLIT(A3373, ""|"")"),43228.0)</f>
        <v>43228</v>
      </c>
      <c r="E3373" s="2">
        <f>IFERROR(__xludf.DUMMYFUNCTION("""COMPUTED_VALUE"""),1236333.0)</f>
        <v>1236333</v>
      </c>
      <c r="F3373" s="2">
        <f>IFERROR(__xludf.DUMMYFUNCTION("""COMPUTED_VALUE"""),4449882.0)</f>
        <v>4449882</v>
      </c>
      <c r="G3373" s="2">
        <f>IFERROR(__xludf.DUMMYFUNCTION("""COMPUTED_VALUE"""),128.1963)</f>
        <v>128.1963</v>
      </c>
    </row>
    <row r="3374">
      <c r="A3374" s="1" t="s">
        <v>3373</v>
      </c>
      <c r="D3374" s="3">
        <f>IFERROR(__xludf.DUMMYFUNCTION("SPLIT(A3374, ""|"")"),43228.0)</f>
        <v>43228</v>
      </c>
      <c r="E3374" s="2">
        <f>IFERROR(__xludf.DUMMYFUNCTION("""COMPUTED_VALUE"""),1528623.0)</f>
        <v>1528623</v>
      </c>
      <c r="F3374" s="2">
        <f>IFERROR(__xludf.DUMMYFUNCTION("""COMPUTED_VALUE"""),4449483.0)</f>
        <v>4449483</v>
      </c>
      <c r="G3374" s="2">
        <f>IFERROR(__xludf.DUMMYFUNCTION("""COMPUTED_VALUE"""),311.395199999999)</f>
        <v>311.3952</v>
      </c>
    </row>
    <row r="3375">
      <c r="A3375" s="1" t="s">
        <v>3374</v>
      </c>
      <c r="D3375" s="3">
        <f>IFERROR(__xludf.DUMMYFUNCTION("SPLIT(A3375, ""|"")"),43228.0)</f>
        <v>43228</v>
      </c>
      <c r="E3375" s="2">
        <f>IFERROR(__xludf.DUMMYFUNCTION("""COMPUTED_VALUE"""),1409553.0)</f>
        <v>1409553</v>
      </c>
      <c r="F3375" s="2">
        <f>IFERROR(__xludf.DUMMYFUNCTION("""COMPUTED_VALUE"""),4449755.0)</f>
        <v>4449755</v>
      </c>
      <c r="G3375" s="2">
        <f>IFERROR(__xludf.DUMMYFUNCTION("""COMPUTED_VALUE"""),43.1268999999999)</f>
        <v>43.1269</v>
      </c>
    </row>
    <row r="3376">
      <c r="A3376" s="1" t="s">
        <v>3375</v>
      </c>
      <c r="D3376" s="3">
        <f>IFERROR(__xludf.DUMMYFUNCTION("SPLIT(A3376, ""|"")"),43228.0)</f>
        <v>43228</v>
      </c>
      <c r="E3376" s="2">
        <f>IFERROR(__xludf.DUMMYFUNCTION("""COMPUTED_VALUE"""),1433613.0)</f>
        <v>1433613</v>
      </c>
      <c r="F3376" s="2">
        <f>IFERROR(__xludf.DUMMYFUNCTION("""COMPUTED_VALUE"""),4449853.0)</f>
        <v>4449853</v>
      </c>
      <c r="G3376" s="2">
        <f>IFERROR(__xludf.DUMMYFUNCTION("""COMPUTED_VALUE"""),69.5364999999999)</f>
        <v>69.5365</v>
      </c>
    </row>
    <row r="3377">
      <c r="A3377" s="1" t="s">
        <v>3376</v>
      </c>
      <c r="D3377" s="3">
        <f>IFERROR(__xludf.DUMMYFUNCTION("SPLIT(A3377, ""|"")"),43228.0)</f>
        <v>43228</v>
      </c>
      <c r="E3377" s="2">
        <f>IFERROR(__xludf.DUMMYFUNCTION("""COMPUTED_VALUE"""),1546173.0)</f>
        <v>1546173</v>
      </c>
      <c r="F3377" s="2">
        <f>IFERROR(__xludf.DUMMYFUNCTION("""COMPUTED_VALUE"""),4449917.0)</f>
        <v>4449917</v>
      </c>
      <c r="G3377" s="2">
        <f>IFERROR(__xludf.DUMMYFUNCTION("""COMPUTED_VALUE"""),72.6888)</f>
        <v>72.6888</v>
      </c>
    </row>
    <row r="3378">
      <c r="A3378" s="1" t="s">
        <v>3377</v>
      </c>
      <c r="D3378" s="3">
        <f>IFERROR(__xludf.DUMMYFUNCTION("SPLIT(A3378, ""|"")"),43228.0)</f>
        <v>43228</v>
      </c>
      <c r="E3378" s="2">
        <f>IFERROR(__xludf.DUMMYFUNCTION("""COMPUTED_VALUE"""),1589253.0)</f>
        <v>1589253</v>
      </c>
      <c r="F3378" s="2">
        <f>IFERROR(__xludf.DUMMYFUNCTION("""COMPUTED_VALUE"""),4449851.0)</f>
        <v>4449851</v>
      </c>
      <c r="G3378" s="2">
        <f>IFERROR(__xludf.DUMMYFUNCTION("""COMPUTED_VALUE"""),45.263)</f>
        <v>45.263</v>
      </c>
    </row>
    <row r="3379">
      <c r="A3379" s="1" t="s">
        <v>3378</v>
      </c>
      <c r="D3379" s="3">
        <f>IFERROR(__xludf.DUMMYFUNCTION("SPLIT(A3379, ""|"")"),43228.0)</f>
        <v>43228</v>
      </c>
      <c r="E3379" s="2">
        <f>IFERROR(__xludf.DUMMYFUNCTION("""COMPUTED_VALUE"""),1510953.0)</f>
        <v>1510953</v>
      </c>
      <c r="F3379" s="2">
        <f>IFERROR(__xludf.DUMMYFUNCTION("""COMPUTED_VALUE"""),4448316.0)</f>
        <v>4448316</v>
      </c>
      <c r="G3379" s="2">
        <f>IFERROR(__xludf.DUMMYFUNCTION("""COMPUTED_VALUE"""),55.8213)</f>
        <v>55.8213</v>
      </c>
    </row>
    <row r="3380">
      <c r="A3380" s="1" t="s">
        <v>3379</v>
      </c>
      <c r="D3380" s="3">
        <f>IFERROR(__xludf.DUMMYFUNCTION("SPLIT(A3380, ""|"")"),43228.0)</f>
        <v>43228</v>
      </c>
      <c r="E3380" s="2">
        <f>IFERROR(__xludf.DUMMYFUNCTION("""COMPUTED_VALUE"""),1019493.0)</f>
        <v>1019493</v>
      </c>
      <c r="F3380" s="2">
        <f>IFERROR(__xludf.DUMMYFUNCTION("""COMPUTED_VALUE"""),4448241.0)</f>
        <v>4448241</v>
      </c>
      <c r="G3380" s="2">
        <f>IFERROR(__xludf.DUMMYFUNCTION("""COMPUTED_VALUE"""),88.273)</f>
        <v>88.273</v>
      </c>
    </row>
    <row r="3381">
      <c r="A3381" s="1" t="s">
        <v>3380</v>
      </c>
      <c r="D3381" s="3">
        <f>IFERROR(__xludf.DUMMYFUNCTION("SPLIT(A3381, ""|"")"),43228.0)</f>
        <v>43228</v>
      </c>
      <c r="E3381" s="2">
        <f>IFERROR(__xludf.DUMMYFUNCTION("""COMPUTED_VALUE"""),1589163.0)</f>
        <v>1589163</v>
      </c>
      <c r="F3381" s="2">
        <f>IFERROR(__xludf.DUMMYFUNCTION("""COMPUTED_VALUE"""),4449536.0)</f>
        <v>4449536</v>
      </c>
      <c r="G3381" s="2">
        <f>IFERROR(__xludf.DUMMYFUNCTION("""COMPUTED_VALUE"""),65.3813)</f>
        <v>65.3813</v>
      </c>
    </row>
    <row r="3382">
      <c r="A3382" s="1" t="s">
        <v>3381</v>
      </c>
      <c r="D3382" s="3">
        <f>IFERROR(__xludf.DUMMYFUNCTION("SPLIT(A3382, ""|"")"),43228.0)</f>
        <v>43228</v>
      </c>
      <c r="E3382" s="2">
        <f>IFERROR(__xludf.DUMMYFUNCTION("""COMPUTED_VALUE"""),1239183.0)</f>
        <v>1239183</v>
      </c>
      <c r="F3382" s="2">
        <f>IFERROR(__xludf.DUMMYFUNCTION("""COMPUTED_VALUE"""),4449423.0)</f>
        <v>4449423</v>
      </c>
      <c r="G3382" s="2">
        <f>IFERROR(__xludf.DUMMYFUNCTION("""COMPUTED_VALUE"""),81.1458)</f>
        <v>81.1458</v>
      </c>
    </row>
    <row r="3383">
      <c r="A3383" s="1" t="s">
        <v>3382</v>
      </c>
      <c r="D3383" s="3">
        <f>IFERROR(__xludf.DUMMYFUNCTION("SPLIT(A3383, ""|"")"),43228.0)</f>
        <v>43228</v>
      </c>
      <c r="E3383" s="2">
        <f>IFERROR(__xludf.DUMMYFUNCTION("""COMPUTED_VALUE"""),1589013.0)</f>
        <v>1589013</v>
      </c>
      <c r="F3383" s="2">
        <f>IFERROR(__xludf.DUMMYFUNCTION("""COMPUTED_VALUE"""),4448751.0)</f>
        <v>4448751</v>
      </c>
      <c r="G3383" s="2">
        <f>IFERROR(__xludf.DUMMYFUNCTION("""COMPUTED_VALUE"""),23.7948)</f>
        <v>23.7948</v>
      </c>
    </row>
    <row r="3384">
      <c r="A3384" s="1" t="s">
        <v>3383</v>
      </c>
      <c r="D3384" s="3">
        <f>IFERROR(__xludf.DUMMYFUNCTION("SPLIT(A3384, ""|"")"),42973.0)</f>
        <v>42973</v>
      </c>
      <c r="E3384" s="2">
        <f>IFERROR(__xludf.DUMMYFUNCTION("""COMPUTED_VALUE"""),1165353.0)</f>
        <v>1165353</v>
      </c>
      <c r="F3384" s="2">
        <f>IFERROR(__xludf.DUMMYFUNCTION("""COMPUTED_VALUE"""),3741416.0)</f>
        <v>3741416</v>
      </c>
      <c r="G3384" s="2">
        <f>IFERROR(__xludf.DUMMYFUNCTION("""COMPUTED_VALUE"""),65.9281)</f>
        <v>65.9281</v>
      </c>
    </row>
    <row r="3385">
      <c r="A3385" s="1" t="s">
        <v>3384</v>
      </c>
      <c r="D3385" s="3">
        <f>IFERROR(__xludf.DUMMYFUNCTION("SPLIT(A3385, ""|"")"),43229.0)</f>
        <v>43229</v>
      </c>
      <c r="E3385" s="2">
        <f>IFERROR(__xludf.DUMMYFUNCTION("""COMPUTED_VALUE"""),848373.0)</f>
        <v>848373</v>
      </c>
      <c r="F3385" s="2">
        <f>IFERROR(__xludf.DUMMYFUNCTION("""COMPUTED_VALUE"""),4453208.0)</f>
        <v>4453208</v>
      </c>
      <c r="G3385" s="2">
        <f>IFERROR(__xludf.DUMMYFUNCTION("""COMPUTED_VALUE"""),74.0666)</f>
        <v>74.0666</v>
      </c>
    </row>
    <row r="3386">
      <c r="A3386" s="1" t="s">
        <v>3385</v>
      </c>
      <c r="D3386" s="3">
        <f>IFERROR(__xludf.DUMMYFUNCTION("SPLIT(A3386, ""|"")"),43229.0)</f>
        <v>43229</v>
      </c>
      <c r="E3386" s="2">
        <f>IFERROR(__xludf.DUMMYFUNCTION("""COMPUTED_VALUE"""),146733.0)</f>
        <v>146733</v>
      </c>
      <c r="F3386" s="2">
        <f>IFERROR(__xludf.DUMMYFUNCTION("""COMPUTED_VALUE"""),4452959.0)</f>
        <v>4452959</v>
      </c>
      <c r="G3386" s="2">
        <f>IFERROR(__xludf.DUMMYFUNCTION("""COMPUTED_VALUE"""),78.2227)</f>
        <v>78.2227</v>
      </c>
    </row>
    <row r="3387">
      <c r="A3387" s="1" t="s">
        <v>3386</v>
      </c>
      <c r="D3387" s="3">
        <f>IFERROR(__xludf.DUMMYFUNCTION("SPLIT(A3387, ""|"")"),42974.0)</f>
        <v>42974</v>
      </c>
      <c r="E3387" s="2">
        <f>IFERROR(__xludf.DUMMYFUNCTION("""COMPUTED_VALUE"""),1212753.0)</f>
        <v>1212753</v>
      </c>
      <c r="F3387" s="2">
        <f>IFERROR(__xludf.DUMMYFUNCTION("""COMPUTED_VALUE"""),3742656.0)</f>
        <v>3742656</v>
      </c>
      <c r="G3387" s="2">
        <f>IFERROR(__xludf.DUMMYFUNCTION("""COMPUTED_VALUE"""),39.9258)</f>
        <v>39.9258</v>
      </c>
    </row>
    <row r="3388">
      <c r="A3388" s="1" t="s">
        <v>3387</v>
      </c>
      <c r="D3388" s="3">
        <f>IFERROR(__xludf.DUMMYFUNCTION("SPLIT(A3388, ""|"")"),42974.0)</f>
        <v>42974</v>
      </c>
      <c r="E3388" s="2">
        <f>IFERROR(__xludf.DUMMYFUNCTION("""COMPUTED_VALUE"""),1401573.0)</f>
        <v>1401573</v>
      </c>
      <c r="F3388" s="2">
        <f>IFERROR(__xludf.DUMMYFUNCTION("""COMPUTED_VALUE"""),3745002.0)</f>
        <v>3745002</v>
      </c>
      <c r="G3388" s="2">
        <f>IFERROR(__xludf.DUMMYFUNCTION("""COMPUTED_VALUE"""),103.454)</f>
        <v>103.454</v>
      </c>
    </row>
    <row r="3389">
      <c r="A3389" s="1" t="s">
        <v>3388</v>
      </c>
      <c r="D3389" s="3">
        <f>IFERROR(__xludf.DUMMYFUNCTION("SPLIT(A3389, ""|"")"),42974.0)</f>
        <v>42974</v>
      </c>
      <c r="E3389" s="2">
        <f>IFERROR(__xludf.DUMMYFUNCTION("""COMPUTED_VALUE"""),1401483.0)</f>
        <v>1401483</v>
      </c>
      <c r="F3389" s="2">
        <f>IFERROR(__xludf.DUMMYFUNCTION("""COMPUTED_VALUE"""),3744570.0)</f>
        <v>3744570</v>
      </c>
      <c r="G3389" s="2">
        <f>IFERROR(__xludf.DUMMYFUNCTION("""COMPUTED_VALUE"""),40.7772)</f>
        <v>40.7772</v>
      </c>
    </row>
    <row r="3390">
      <c r="A3390" s="1" t="s">
        <v>3389</v>
      </c>
      <c r="D3390" s="3">
        <f>IFERROR(__xludf.DUMMYFUNCTION("SPLIT(A3390, ""|"")"),42974.0)</f>
        <v>42974</v>
      </c>
      <c r="E3390" s="2">
        <f>IFERROR(__xludf.DUMMYFUNCTION("""COMPUTED_VALUE"""),1156233.0)</f>
        <v>1156233</v>
      </c>
      <c r="F3390" s="2">
        <f>IFERROR(__xludf.DUMMYFUNCTION("""COMPUTED_VALUE"""),3742495.0)</f>
        <v>3742495</v>
      </c>
      <c r="G3390" s="2">
        <f>IFERROR(__xludf.DUMMYFUNCTION("""COMPUTED_VALUE"""),50.6163)</f>
        <v>50.6163</v>
      </c>
    </row>
    <row r="3391">
      <c r="A3391" s="1" t="s">
        <v>3390</v>
      </c>
      <c r="D3391" s="3">
        <f>IFERROR(__xludf.DUMMYFUNCTION("SPLIT(A3391, ""|"")"),42974.0)</f>
        <v>42974</v>
      </c>
      <c r="E3391" s="2">
        <f>IFERROR(__xludf.DUMMYFUNCTION("""COMPUTED_VALUE"""),1110273.0)</f>
        <v>1110273</v>
      </c>
      <c r="F3391" s="2">
        <f>IFERROR(__xludf.DUMMYFUNCTION("""COMPUTED_VALUE"""),3744803.0)</f>
        <v>3744803</v>
      </c>
      <c r="G3391" s="2">
        <f>IFERROR(__xludf.DUMMYFUNCTION("""COMPUTED_VALUE"""),112.1439)</f>
        <v>112.1439</v>
      </c>
    </row>
    <row r="3392">
      <c r="A3392" s="1" t="s">
        <v>3391</v>
      </c>
      <c r="D3392" s="3">
        <f>IFERROR(__xludf.DUMMYFUNCTION("SPLIT(A3392, ""|"")"),42974.0)</f>
        <v>42974</v>
      </c>
      <c r="E3392" s="2">
        <f>IFERROR(__xludf.DUMMYFUNCTION("""COMPUTED_VALUE"""),358443.0)</f>
        <v>358443</v>
      </c>
      <c r="F3392" s="2">
        <f>IFERROR(__xludf.DUMMYFUNCTION("""COMPUTED_VALUE"""),3744678.0)</f>
        <v>3744678</v>
      </c>
      <c r="G3392" s="2">
        <f>IFERROR(__xludf.DUMMYFUNCTION("""COMPUTED_VALUE"""),63.5459)</f>
        <v>63.5459</v>
      </c>
    </row>
    <row r="3393">
      <c r="A3393" s="1" t="s">
        <v>3392</v>
      </c>
      <c r="D3393" s="3">
        <f>IFERROR(__xludf.DUMMYFUNCTION("SPLIT(A3393, ""|"")"),42974.0)</f>
        <v>42974</v>
      </c>
      <c r="E3393" s="2">
        <f>IFERROR(__xludf.DUMMYFUNCTION("""COMPUTED_VALUE"""),1128693.0)</f>
        <v>1128693</v>
      </c>
      <c r="F3393" s="2">
        <f>IFERROR(__xludf.DUMMYFUNCTION("""COMPUTED_VALUE"""),3744633.0)</f>
        <v>3744633</v>
      </c>
      <c r="G3393" s="2">
        <f>IFERROR(__xludf.DUMMYFUNCTION("""COMPUTED_VALUE"""),43.8565)</f>
        <v>43.8565</v>
      </c>
    </row>
    <row r="3394">
      <c r="A3394" s="1" t="s">
        <v>3393</v>
      </c>
      <c r="D3394" s="3">
        <f>IFERROR(__xludf.DUMMYFUNCTION("SPLIT(A3394, ""|"")"),42974.0)</f>
        <v>42974</v>
      </c>
      <c r="E3394" s="2">
        <f>IFERROR(__xludf.DUMMYFUNCTION("""COMPUTED_VALUE"""),1273263.0)</f>
        <v>1273263</v>
      </c>
      <c r="F3394" s="2">
        <f>IFERROR(__xludf.DUMMYFUNCTION("""COMPUTED_VALUE"""),3743425.0)</f>
        <v>3743425</v>
      </c>
      <c r="G3394" s="2">
        <f>IFERROR(__xludf.DUMMYFUNCTION("""COMPUTED_VALUE"""),14.7822)</f>
        <v>14.7822</v>
      </c>
    </row>
    <row r="3395">
      <c r="A3395" s="1" t="s">
        <v>3394</v>
      </c>
      <c r="D3395" s="3">
        <f>IFERROR(__xludf.DUMMYFUNCTION("SPLIT(A3395, ""|"")"),42974.0)</f>
        <v>42974</v>
      </c>
      <c r="E3395" s="2">
        <f>IFERROR(__xludf.DUMMYFUNCTION("""COMPUTED_VALUE"""),1307673.0)</f>
        <v>1307673</v>
      </c>
      <c r="F3395" s="2">
        <f>IFERROR(__xludf.DUMMYFUNCTION("""COMPUTED_VALUE"""),3744622.0)</f>
        <v>3744622</v>
      </c>
      <c r="G3395" s="2">
        <f>IFERROR(__xludf.DUMMYFUNCTION("""COMPUTED_VALUE"""),41.67)</f>
        <v>41.67</v>
      </c>
    </row>
    <row r="3396">
      <c r="A3396" s="1" t="s">
        <v>3395</v>
      </c>
      <c r="D3396" s="3">
        <f>IFERROR(__xludf.DUMMYFUNCTION("SPLIT(A3396, ""|"")"),43230.0)</f>
        <v>43230</v>
      </c>
      <c r="E3396" s="2">
        <f>IFERROR(__xludf.DUMMYFUNCTION("""COMPUTED_VALUE"""),1328943.0)</f>
        <v>1328943</v>
      </c>
      <c r="F3396" s="2">
        <f>IFERROR(__xludf.DUMMYFUNCTION("""COMPUTED_VALUE"""),4454831.0)</f>
        <v>4454831</v>
      </c>
      <c r="G3396" s="2">
        <f>IFERROR(__xludf.DUMMYFUNCTION("""COMPUTED_VALUE"""),66.7342999999999)</f>
        <v>66.7343</v>
      </c>
    </row>
    <row r="3397">
      <c r="A3397" s="1" t="s">
        <v>3396</v>
      </c>
      <c r="D3397" s="3">
        <f>IFERROR(__xludf.DUMMYFUNCTION("SPLIT(A3397, ""|"")"),43230.0)</f>
        <v>43230</v>
      </c>
      <c r="E3397" s="2">
        <f>IFERROR(__xludf.DUMMYFUNCTION("""COMPUTED_VALUE"""),367683.0)</f>
        <v>367683</v>
      </c>
      <c r="F3397" s="2">
        <f>IFERROR(__xludf.DUMMYFUNCTION("""COMPUTED_VALUE"""),4454697.0)</f>
        <v>4454697</v>
      </c>
      <c r="G3397" s="2">
        <f>IFERROR(__xludf.DUMMYFUNCTION("""COMPUTED_VALUE"""),75.7323)</f>
        <v>75.7323</v>
      </c>
    </row>
    <row r="3398">
      <c r="A3398" s="1" t="s">
        <v>3397</v>
      </c>
      <c r="D3398" s="3">
        <f>IFERROR(__xludf.DUMMYFUNCTION("SPLIT(A3398, ""|"")"),43230.0)</f>
        <v>43230</v>
      </c>
      <c r="E3398" s="2">
        <f>IFERROR(__xludf.DUMMYFUNCTION("""COMPUTED_VALUE"""),1590693.0)</f>
        <v>1590693</v>
      </c>
      <c r="F3398" s="2">
        <f>IFERROR(__xludf.DUMMYFUNCTION("""COMPUTED_VALUE"""),4455772.0)</f>
        <v>4455772</v>
      </c>
      <c r="G3398" s="2">
        <f>IFERROR(__xludf.DUMMYFUNCTION("""COMPUTED_VALUE"""),78.7933999999999)</f>
        <v>78.7934</v>
      </c>
    </row>
    <row r="3399">
      <c r="A3399" s="1" t="s">
        <v>3398</v>
      </c>
      <c r="D3399" s="3">
        <f>IFERROR(__xludf.DUMMYFUNCTION("SPLIT(A3399, ""|"")"),42975.0)</f>
        <v>42975</v>
      </c>
      <c r="E3399" s="2">
        <f>IFERROR(__xludf.DUMMYFUNCTION("""COMPUTED_VALUE"""),186663.0)</f>
        <v>186663</v>
      </c>
      <c r="F3399" s="2">
        <f>IFERROR(__xludf.DUMMYFUNCTION("""COMPUTED_VALUE"""),3746518.0)</f>
        <v>3746518</v>
      </c>
      <c r="G3399" s="2">
        <f>IFERROR(__xludf.DUMMYFUNCTION("""COMPUTED_VALUE"""),171.0676)</f>
        <v>171.0676</v>
      </c>
    </row>
    <row r="3400">
      <c r="A3400" s="1" t="s">
        <v>3399</v>
      </c>
      <c r="D3400" s="3">
        <f>IFERROR(__xludf.DUMMYFUNCTION("SPLIT(A3400, ""|"")"),42975.0)</f>
        <v>42975</v>
      </c>
      <c r="E3400" s="2">
        <f>IFERROR(__xludf.DUMMYFUNCTION("""COMPUTED_VALUE"""),1341843.0)</f>
        <v>1341843</v>
      </c>
      <c r="F3400" s="2">
        <f>IFERROR(__xludf.DUMMYFUNCTION("""COMPUTED_VALUE"""),3745480.0)</f>
        <v>3745480</v>
      </c>
      <c r="G3400" s="2">
        <f>IFERROR(__xludf.DUMMYFUNCTION("""COMPUTED_VALUE"""),175.5266)</f>
        <v>175.5266</v>
      </c>
    </row>
    <row r="3401">
      <c r="A3401" s="1" t="s">
        <v>3400</v>
      </c>
      <c r="D3401" s="3">
        <f>IFERROR(__xludf.DUMMYFUNCTION("SPLIT(A3401, ""|"")"),42975.0)</f>
        <v>42975</v>
      </c>
      <c r="E3401" s="2">
        <f>IFERROR(__xludf.DUMMYFUNCTION("""COMPUTED_VALUE"""),235143.0)</f>
        <v>235143</v>
      </c>
      <c r="F3401" s="2">
        <f>IFERROR(__xludf.DUMMYFUNCTION("""COMPUTED_VALUE"""),3747755.0)</f>
        <v>3747755</v>
      </c>
      <c r="G3401" s="2">
        <f>IFERROR(__xludf.DUMMYFUNCTION("""COMPUTED_VALUE"""),38.4737)</f>
        <v>38.4737</v>
      </c>
    </row>
    <row r="3402">
      <c r="A3402" s="1" t="s">
        <v>3401</v>
      </c>
      <c r="D3402" s="3">
        <f>IFERROR(__xludf.DUMMYFUNCTION("SPLIT(A3402, ""|"")"),42975.0)</f>
        <v>42975</v>
      </c>
      <c r="E3402" s="2">
        <f>IFERROR(__xludf.DUMMYFUNCTION("""COMPUTED_VALUE"""),1318413.0)</f>
        <v>1318413</v>
      </c>
      <c r="F3402" s="2">
        <f>IFERROR(__xludf.DUMMYFUNCTION("""COMPUTED_VALUE"""),3748102.0)</f>
        <v>3748102</v>
      </c>
      <c r="G3402" s="2">
        <f>IFERROR(__xludf.DUMMYFUNCTION("""COMPUTED_VALUE"""),66.9055)</f>
        <v>66.9055</v>
      </c>
    </row>
    <row r="3403">
      <c r="A3403" s="1" t="s">
        <v>3402</v>
      </c>
      <c r="D3403" s="3">
        <f>IFERROR(__xludf.DUMMYFUNCTION("SPLIT(A3403, ""|"")"),42975.0)</f>
        <v>42975</v>
      </c>
      <c r="E3403" s="2">
        <f>IFERROR(__xludf.DUMMYFUNCTION("""COMPUTED_VALUE"""),1401903.0)</f>
        <v>1401903</v>
      </c>
      <c r="F3403" s="2">
        <f>IFERROR(__xludf.DUMMYFUNCTION("""COMPUTED_VALUE"""),3746606.0)</f>
        <v>3746606</v>
      </c>
      <c r="G3403" s="2">
        <f>IFERROR(__xludf.DUMMYFUNCTION("""COMPUTED_VALUE"""),35.7583)</f>
        <v>35.7583</v>
      </c>
    </row>
    <row r="3404">
      <c r="A3404" s="1" t="s">
        <v>3403</v>
      </c>
      <c r="D3404" s="3">
        <f>IFERROR(__xludf.DUMMYFUNCTION("SPLIT(A3404, ""|"")"),42975.0)</f>
        <v>42975</v>
      </c>
      <c r="E3404" s="2">
        <f>IFERROR(__xludf.DUMMYFUNCTION("""COMPUTED_VALUE"""),415473.0)</f>
        <v>415473</v>
      </c>
      <c r="F3404" s="2">
        <f>IFERROR(__xludf.DUMMYFUNCTION("""COMPUTED_VALUE"""),3748302.0)</f>
        <v>3748302</v>
      </c>
      <c r="G3404" s="2">
        <f>IFERROR(__xludf.DUMMYFUNCTION("""COMPUTED_VALUE"""),81.2581)</f>
        <v>81.2581</v>
      </c>
    </row>
    <row r="3405">
      <c r="A3405" s="1" t="s">
        <v>3404</v>
      </c>
      <c r="D3405" s="3">
        <f>IFERROR(__xludf.DUMMYFUNCTION("SPLIT(A3405, ""|"")"),43231.0)</f>
        <v>43231</v>
      </c>
      <c r="E3405" s="2">
        <f>IFERROR(__xludf.DUMMYFUNCTION("""COMPUTED_VALUE"""),1344573.0)</f>
        <v>1344573</v>
      </c>
      <c r="F3405" s="2">
        <f>IFERROR(__xludf.DUMMYFUNCTION("""COMPUTED_VALUE"""),4457951.0)</f>
        <v>4457951</v>
      </c>
      <c r="G3405" s="2">
        <f>IFERROR(__xludf.DUMMYFUNCTION("""COMPUTED_VALUE"""),76.4555)</f>
        <v>76.4555</v>
      </c>
    </row>
    <row r="3406">
      <c r="A3406" s="1" t="s">
        <v>3405</v>
      </c>
      <c r="D3406" s="3">
        <f>IFERROR(__xludf.DUMMYFUNCTION("SPLIT(A3406, ""|"")"),43231.0)</f>
        <v>43231</v>
      </c>
      <c r="E3406" s="2">
        <f>IFERROR(__xludf.DUMMYFUNCTION("""COMPUTED_VALUE"""),1544253.0)</f>
        <v>1544253</v>
      </c>
      <c r="F3406" s="2">
        <f>IFERROR(__xludf.DUMMYFUNCTION("""COMPUTED_VALUE"""),4458788.0)</f>
        <v>4458788</v>
      </c>
      <c r="G3406" s="2">
        <f>IFERROR(__xludf.DUMMYFUNCTION("""COMPUTED_VALUE"""),55.2492)</f>
        <v>55.2492</v>
      </c>
    </row>
    <row r="3407">
      <c r="A3407" s="1" t="s">
        <v>3406</v>
      </c>
      <c r="D3407" s="3">
        <f>IFERROR(__xludf.DUMMYFUNCTION("SPLIT(A3407, ""|"")"),42976.0)</f>
        <v>42976</v>
      </c>
      <c r="E3407" s="2">
        <f>IFERROR(__xludf.DUMMYFUNCTION("""COMPUTED_VALUE"""),1402323.0)</f>
        <v>1402323</v>
      </c>
      <c r="F3407" s="2">
        <f>IFERROR(__xludf.DUMMYFUNCTION("""COMPUTED_VALUE"""),3748434.0)</f>
        <v>3748434</v>
      </c>
      <c r="G3407" s="2">
        <f>IFERROR(__xludf.DUMMYFUNCTION("""COMPUTED_VALUE"""),16.9104)</f>
        <v>16.9104</v>
      </c>
    </row>
    <row r="3408">
      <c r="A3408" s="1" t="s">
        <v>3407</v>
      </c>
      <c r="D3408" s="3">
        <f>IFERROR(__xludf.DUMMYFUNCTION("SPLIT(A3408, ""|"")"),42976.0)</f>
        <v>42976</v>
      </c>
      <c r="E3408" s="2">
        <f>IFERROR(__xludf.DUMMYFUNCTION("""COMPUTED_VALUE"""),1223523.0)</f>
        <v>1223523</v>
      </c>
      <c r="F3408" s="2">
        <f>IFERROR(__xludf.DUMMYFUNCTION("""COMPUTED_VALUE"""),3749878.0)</f>
        <v>3749878</v>
      </c>
      <c r="G3408" s="2">
        <f>IFERROR(__xludf.DUMMYFUNCTION("""COMPUTED_VALUE"""),129.3408)</f>
        <v>129.3408</v>
      </c>
    </row>
    <row r="3409">
      <c r="A3409" s="1" t="s">
        <v>3408</v>
      </c>
      <c r="D3409" s="3">
        <f>IFERROR(__xludf.DUMMYFUNCTION("SPLIT(A3409, ""|"")"),42976.0)</f>
        <v>42976</v>
      </c>
      <c r="E3409" s="2">
        <f>IFERROR(__xludf.DUMMYFUNCTION("""COMPUTED_VALUE"""),217743.0)</f>
        <v>217743</v>
      </c>
      <c r="F3409" s="2">
        <f>IFERROR(__xludf.DUMMYFUNCTION("""COMPUTED_VALUE"""),3749354.0)</f>
        <v>3749354</v>
      </c>
      <c r="G3409" s="2">
        <f>IFERROR(__xludf.DUMMYFUNCTION("""COMPUTED_VALUE"""),71.7835999999999)</f>
        <v>71.7836</v>
      </c>
    </row>
    <row r="3410">
      <c r="A3410" s="1" t="s">
        <v>3409</v>
      </c>
      <c r="D3410" s="3">
        <f>IFERROR(__xludf.DUMMYFUNCTION("SPLIT(A3410, ""|"")"),42976.0)</f>
        <v>42976</v>
      </c>
      <c r="E3410" s="2">
        <f>IFERROR(__xludf.DUMMYFUNCTION("""COMPUTED_VALUE"""),312783.0)</f>
        <v>312783</v>
      </c>
      <c r="F3410" s="2">
        <f>IFERROR(__xludf.DUMMYFUNCTION("""COMPUTED_VALUE"""),3750813.0)</f>
        <v>3750813</v>
      </c>
      <c r="G3410" s="2">
        <f>IFERROR(__xludf.DUMMYFUNCTION("""COMPUTED_VALUE"""),47.4471999999999)</f>
        <v>47.4472</v>
      </c>
    </row>
    <row r="3411">
      <c r="A3411" s="1" t="s">
        <v>3410</v>
      </c>
      <c r="D3411" s="3">
        <f>IFERROR(__xludf.DUMMYFUNCTION("SPLIT(A3411, ""|"")"),43232.0)</f>
        <v>43232</v>
      </c>
      <c r="E3411" s="2">
        <f>IFERROR(__xludf.DUMMYFUNCTION("""COMPUTED_VALUE"""),1334313.0)</f>
        <v>1334313</v>
      </c>
      <c r="F3411" s="2">
        <f>IFERROR(__xludf.DUMMYFUNCTION("""COMPUTED_VALUE"""),4461012.0)</f>
        <v>4461012</v>
      </c>
      <c r="G3411" s="2">
        <f>IFERROR(__xludf.DUMMYFUNCTION("""COMPUTED_VALUE"""),36.671)</f>
        <v>36.671</v>
      </c>
    </row>
    <row r="3412">
      <c r="A3412" s="1" t="s">
        <v>3411</v>
      </c>
      <c r="D3412" s="3">
        <f>IFERROR(__xludf.DUMMYFUNCTION("SPLIT(A3412, ""|"")"),43232.0)</f>
        <v>43232</v>
      </c>
      <c r="E3412" s="2">
        <f>IFERROR(__xludf.DUMMYFUNCTION("""COMPUTED_VALUE"""),1578753.0)</f>
        <v>1578753</v>
      </c>
      <c r="F3412" s="2">
        <f>IFERROR(__xludf.DUMMYFUNCTION("""COMPUTED_VALUE"""),4460636.0)</f>
        <v>4460636</v>
      </c>
      <c r="G3412" s="2">
        <f>IFERROR(__xludf.DUMMYFUNCTION("""COMPUTED_VALUE"""),285.3634)</f>
        <v>285.3634</v>
      </c>
    </row>
    <row r="3413">
      <c r="A3413" s="1" t="s">
        <v>3412</v>
      </c>
      <c r="D3413" s="3">
        <f>IFERROR(__xludf.DUMMYFUNCTION("SPLIT(A3413, ""|"")"),43232.0)</f>
        <v>43232</v>
      </c>
      <c r="E3413" s="2">
        <f>IFERROR(__xludf.DUMMYFUNCTION("""COMPUTED_VALUE"""),1168623.0)</f>
        <v>1168623</v>
      </c>
      <c r="F3413" s="2">
        <f>IFERROR(__xludf.DUMMYFUNCTION("""COMPUTED_VALUE"""),4460170.0)</f>
        <v>4460170</v>
      </c>
      <c r="G3413" s="2">
        <f>IFERROR(__xludf.DUMMYFUNCTION("""COMPUTED_VALUE"""),66.3667)</f>
        <v>66.3667</v>
      </c>
    </row>
    <row r="3414">
      <c r="A3414" s="1" t="s">
        <v>3413</v>
      </c>
      <c r="D3414" s="3">
        <f>IFERROR(__xludf.DUMMYFUNCTION("SPLIT(A3414, ""|"")"),42991.0)</f>
        <v>42991</v>
      </c>
      <c r="E3414" s="2">
        <f>IFERROR(__xludf.DUMMYFUNCTION("""COMPUTED_VALUE"""),215313.0)</f>
        <v>215313</v>
      </c>
      <c r="F3414" s="2">
        <f>IFERROR(__xludf.DUMMYFUNCTION("""COMPUTED_VALUE"""),3791115.0)</f>
        <v>3791115</v>
      </c>
      <c r="G3414" s="2">
        <f>IFERROR(__xludf.DUMMYFUNCTION("""COMPUTED_VALUE"""),70.2867)</f>
        <v>70.2867</v>
      </c>
    </row>
    <row r="3415">
      <c r="A3415" s="1" t="s">
        <v>3414</v>
      </c>
      <c r="D3415" s="3">
        <f>IFERROR(__xludf.DUMMYFUNCTION("SPLIT(A3415, ""|"")"),42991.0)</f>
        <v>42991</v>
      </c>
      <c r="E3415" s="2">
        <f>IFERROR(__xludf.DUMMYFUNCTION("""COMPUTED_VALUE"""),215313.0)</f>
        <v>215313</v>
      </c>
      <c r="F3415" s="2">
        <f>IFERROR(__xludf.DUMMYFUNCTION("""COMPUTED_VALUE"""),3791059.0)</f>
        <v>3791059</v>
      </c>
      <c r="G3415" s="2">
        <f>IFERROR(__xludf.DUMMYFUNCTION("""COMPUTED_VALUE"""),8.25)</f>
        <v>8.25</v>
      </c>
    </row>
    <row r="3416">
      <c r="A3416" s="1" t="s">
        <v>3415</v>
      </c>
      <c r="D3416" s="3">
        <f>IFERROR(__xludf.DUMMYFUNCTION("SPLIT(A3416, ""|"")"),43259.0)</f>
        <v>43259</v>
      </c>
      <c r="E3416" s="2">
        <f>IFERROR(__xludf.DUMMYFUNCTION("""COMPUTED_VALUE"""),215313.0)</f>
        <v>215313</v>
      </c>
      <c r="F3416" s="2">
        <f>IFERROR(__xludf.DUMMYFUNCTION("""COMPUTED_VALUE"""),4528625.0)</f>
        <v>4528625</v>
      </c>
      <c r="G3416" s="2">
        <f>IFERROR(__xludf.DUMMYFUNCTION("""COMPUTED_VALUE"""),94.4457)</f>
        <v>94.4457</v>
      </c>
    </row>
    <row r="3417">
      <c r="A3417" s="1" t="s">
        <v>3416</v>
      </c>
      <c r="D3417" s="3">
        <f>IFERROR(__xludf.DUMMYFUNCTION("SPLIT(A3417, ""|"")"),43025.0)</f>
        <v>43025</v>
      </c>
      <c r="E3417" s="2">
        <f>IFERROR(__xludf.DUMMYFUNCTION("""COMPUTED_VALUE"""),215313.0)</f>
        <v>215313</v>
      </c>
      <c r="F3417" s="2">
        <f>IFERROR(__xludf.DUMMYFUNCTION("""COMPUTED_VALUE"""),3872251.0)</f>
        <v>3872251</v>
      </c>
      <c r="G3417" s="2">
        <f>IFERROR(__xludf.DUMMYFUNCTION("""COMPUTED_VALUE"""),111.810099999999)</f>
        <v>111.8101</v>
      </c>
    </row>
    <row r="3418">
      <c r="A3418" s="1" t="s">
        <v>3417</v>
      </c>
      <c r="D3418" s="3">
        <f>IFERROR(__xludf.DUMMYFUNCTION("SPLIT(A3418, ""|"")"),43306.0)</f>
        <v>43306</v>
      </c>
      <c r="E3418" s="2">
        <f>IFERROR(__xludf.DUMMYFUNCTION("""COMPUTED_VALUE"""),215313.0)</f>
        <v>215313</v>
      </c>
      <c r="F3418" s="2">
        <f>IFERROR(__xludf.DUMMYFUNCTION("""COMPUTED_VALUE"""),4634589.0)</f>
        <v>4634589</v>
      </c>
      <c r="G3418" s="2">
        <f>IFERROR(__xludf.DUMMYFUNCTION("""COMPUTED_VALUE"""),83.15)</f>
        <v>83.15</v>
      </c>
    </row>
    <row r="3419">
      <c r="A3419" s="1" t="s">
        <v>3418</v>
      </c>
      <c r="D3419" s="3">
        <f>IFERROR(__xludf.DUMMYFUNCTION("SPLIT(A3419, ""|"")"),43062.0)</f>
        <v>43062</v>
      </c>
      <c r="E3419" s="2">
        <f>IFERROR(__xludf.DUMMYFUNCTION("""COMPUTED_VALUE"""),215313.0)</f>
        <v>215313</v>
      </c>
      <c r="F3419" s="2">
        <f>IFERROR(__xludf.DUMMYFUNCTION("""COMPUTED_VALUE"""),3969252.0)</f>
        <v>3969252</v>
      </c>
      <c r="G3419" s="2">
        <f>IFERROR(__xludf.DUMMYFUNCTION("""COMPUTED_VALUE"""),66.1693)</f>
        <v>66.1693</v>
      </c>
    </row>
    <row r="3420">
      <c r="A3420" s="1" t="s">
        <v>3419</v>
      </c>
      <c r="D3420" s="3">
        <f>IFERROR(__xludf.DUMMYFUNCTION("SPLIT(A3420, ""|"")"),43065.0)</f>
        <v>43065</v>
      </c>
      <c r="E3420" s="2">
        <f>IFERROR(__xludf.DUMMYFUNCTION("""COMPUTED_VALUE"""),215313.0)</f>
        <v>215313</v>
      </c>
      <c r="F3420" s="2">
        <f>IFERROR(__xludf.DUMMYFUNCTION("""COMPUTED_VALUE"""),3980299.0)</f>
        <v>3980299</v>
      </c>
      <c r="G3420" s="2">
        <f>IFERROR(__xludf.DUMMYFUNCTION("""COMPUTED_VALUE"""),71.5217)</f>
        <v>71.5217</v>
      </c>
    </row>
    <row r="3421">
      <c r="A3421" s="1" t="s">
        <v>3420</v>
      </c>
      <c r="D3421" s="3">
        <f>IFERROR(__xludf.DUMMYFUNCTION("SPLIT(A3421, ""|"")"),43089.0)</f>
        <v>43089</v>
      </c>
      <c r="E3421" s="2">
        <f>IFERROR(__xludf.DUMMYFUNCTION("""COMPUTED_VALUE"""),215313.0)</f>
        <v>215313</v>
      </c>
      <c r="F3421" s="2">
        <f>IFERROR(__xludf.DUMMYFUNCTION("""COMPUTED_VALUE"""),4060158.0)</f>
        <v>4060158</v>
      </c>
      <c r="G3421" s="2">
        <f>IFERROR(__xludf.DUMMYFUNCTION("""COMPUTED_VALUE"""),110.758099999999)</f>
        <v>110.7581</v>
      </c>
    </row>
    <row r="3422">
      <c r="A3422" s="1" t="s">
        <v>3421</v>
      </c>
      <c r="D3422" s="3">
        <f>IFERROR(__xludf.DUMMYFUNCTION("SPLIT(A3422, ""|"")"),43118.0)</f>
        <v>43118</v>
      </c>
      <c r="E3422" s="2">
        <f>IFERROR(__xludf.DUMMYFUNCTION("""COMPUTED_VALUE"""),215313.0)</f>
        <v>215313</v>
      </c>
      <c r="F3422" s="2">
        <f>IFERROR(__xludf.DUMMYFUNCTION("""COMPUTED_VALUE"""),4141462.0)</f>
        <v>4141462</v>
      </c>
      <c r="G3422" s="2">
        <f>IFERROR(__xludf.DUMMYFUNCTION("""COMPUTED_VALUE"""),107.850599999999)</f>
        <v>107.8506</v>
      </c>
    </row>
    <row r="3423">
      <c r="A3423" s="1" t="s">
        <v>3422</v>
      </c>
      <c r="D3423" s="3">
        <f>IFERROR(__xludf.DUMMYFUNCTION("SPLIT(A3423, ""|"")"),43378.0)</f>
        <v>43378</v>
      </c>
      <c r="E3423" s="2">
        <f>IFERROR(__xludf.DUMMYFUNCTION("""COMPUTED_VALUE"""),215313.0)</f>
        <v>215313</v>
      </c>
      <c r="F3423" s="2">
        <f>IFERROR(__xludf.DUMMYFUNCTION("""COMPUTED_VALUE"""),4819579.0)</f>
        <v>4819579</v>
      </c>
      <c r="G3423" s="2">
        <f>IFERROR(__xludf.DUMMYFUNCTION("""COMPUTED_VALUE"""),14.0833)</f>
        <v>14.0833</v>
      </c>
    </row>
    <row r="3424">
      <c r="A3424" s="1" t="s">
        <v>3423</v>
      </c>
      <c r="D3424" s="3">
        <f>IFERROR(__xludf.DUMMYFUNCTION("SPLIT(A3424, ""|"")"),43378.0)</f>
        <v>43378</v>
      </c>
      <c r="E3424" s="2">
        <f>IFERROR(__xludf.DUMMYFUNCTION("""COMPUTED_VALUE"""),215313.0)</f>
        <v>215313</v>
      </c>
      <c r="F3424" s="2">
        <f>IFERROR(__xludf.DUMMYFUNCTION("""COMPUTED_VALUE"""),4819621.0)</f>
        <v>4819621</v>
      </c>
      <c r="G3424" s="2">
        <f>IFERROR(__xludf.DUMMYFUNCTION("""COMPUTED_VALUE"""),87.2058)</f>
        <v>87.2058</v>
      </c>
    </row>
    <row r="3425">
      <c r="A3425" s="1" t="s">
        <v>3424</v>
      </c>
      <c r="D3425" s="3">
        <f>IFERROR(__xludf.DUMMYFUNCTION("SPLIT(A3425, ""|"")"),43143.0)</f>
        <v>43143</v>
      </c>
      <c r="E3425" s="2">
        <f>IFERROR(__xludf.DUMMYFUNCTION("""COMPUTED_VALUE"""),215313.0)</f>
        <v>215313</v>
      </c>
      <c r="F3425" s="2">
        <f>IFERROR(__xludf.DUMMYFUNCTION("""COMPUTED_VALUE"""),4212193.0)</f>
        <v>4212193</v>
      </c>
      <c r="G3425" s="2">
        <f>IFERROR(__xludf.DUMMYFUNCTION("""COMPUTED_VALUE"""),75.3638999999999)</f>
        <v>75.3639</v>
      </c>
    </row>
    <row r="3426">
      <c r="A3426" s="1" t="s">
        <v>3425</v>
      </c>
      <c r="D3426" s="3">
        <f>IFERROR(__xludf.DUMMYFUNCTION("SPLIT(A3426, ""|"")"),43160.0)</f>
        <v>43160</v>
      </c>
      <c r="E3426" s="2">
        <f>IFERROR(__xludf.DUMMYFUNCTION("""COMPUTED_VALUE"""),215313.0)</f>
        <v>215313</v>
      </c>
      <c r="F3426" s="2">
        <f>IFERROR(__xludf.DUMMYFUNCTION("""COMPUTED_VALUE"""),4258496.0)</f>
        <v>4258496</v>
      </c>
      <c r="G3426" s="2">
        <f>IFERROR(__xludf.DUMMYFUNCTION("""COMPUTED_VALUE"""),105.644)</f>
        <v>105.644</v>
      </c>
    </row>
    <row r="3427">
      <c r="A3427" s="1" t="s">
        <v>3426</v>
      </c>
      <c r="D3427" s="3">
        <f>IFERROR(__xludf.DUMMYFUNCTION("SPLIT(A3427, ""|"")"),42932.0)</f>
        <v>42932</v>
      </c>
      <c r="E3427" s="2">
        <f>IFERROR(__xludf.DUMMYFUNCTION("""COMPUTED_VALUE"""),215313.0)</f>
        <v>215313</v>
      </c>
      <c r="F3427" s="2">
        <f>IFERROR(__xludf.DUMMYFUNCTION("""COMPUTED_VALUE"""),3649497.0)</f>
        <v>3649497</v>
      </c>
      <c r="G3427" s="2">
        <f>IFERROR(__xludf.DUMMYFUNCTION("""COMPUTED_VALUE"""),129.918499999999)</f>
        <v>129.9185</v>
      </c>
    </row>
    <row r="3428">
      <c r="A3428" s="1" t="s">
        <v>3427</v>
      </c>
      <c r="D3428" s="3">
        <f>IFERROR(__xludf.DUMMYFUNCTION("SPLIT(A3428, ""|"")"),43201.0)</f>
        <v>43201</v>
      </c>
      <c r="E3428" s="2">
        <f>IFERROR(__xludf.DUMMYFUNCTION("""COMPUTED_VALUE"""),215313.0)</f>
        <v>215313</v>
      </c>
      <c r="F3428" s="2">
        <f>IFERROR(__xludf.DUMMYFUNCTION("""COMPUTED_VALUE"""),4379518.0)</f>
        <v>4379518</v>
      </c>
      <c r="G3428" s="2">
        <f>IFERROR(__xludf.DUMMYFUNCTION("""COMPUTED_VALUE"""),70.7641)</f>
        <v>70.7641</v>
      </c>
    </row>
    <row r="3429">
      <c r="A3429" s="1" t="s">
        <v>3428</v>
      </c>
      <c r="D3429" s="3">
        <f>IFERROR(__xludf.DUMMYFUNCTION("SPLIT(A3429, ""|"")"),42955.0)</f>
        <v>42955</v>
      </c>
      <c r="E3429" s="2">
        <f>IFERROR(__xludf.DUMMYFUNCTION("""COMPUTED_VALUE"""),215313.0)</f>
        <v>215313</v>
      </c>
      <c r="F3429" s="2">
        <f>IFERROR(__xludf.DUMMYFUNCTION("""COMPUTED_VALUE"""),3702840.0)</f>
        <v>3702840</v>
      </c>
      <c r="G3429" s="2">
        <f>IFERROR(__xludf.DUMMYFUNCTION("""COMPUTED_VALUE"""),123.9767)</f>
        <v>123.9767</v>
      </c>
    </row>
    <row r="3430">
      <c r="A3430" s="1" t="s">
        <v>3429</v>
      </c>
      <c r="D3430" s="3">
        <f>IFERROR(__xludf.DUMMYFUNCTION("SPLIT(A3430, ""|"")"),43223.0)</f>
        <v>43223</v>
      </c>
      <c r="E3430" s="2">
        <f>IFERROR(__xludf.DUMMYFUNCTION("""COMPUTED_VALUE"""),215313.0)</f>
        <v>215313</v>
      </c>
      <c r="F3430" s="2">
        <f>IFERROR(__xludf.DUMMYFUNCTION("""COMPUTED_VALUE"""),4437650.0)</f>
        <v>4437650</v>
      </c>
      <c r="G3430" s="2">
        <f>IFERROR(__xludf.DUMMYFUNCTION("""COMPUTED_VALUE"""),73.4557)</f>
        <v>73.4557</v>
      </c>
    </row>
    <row r="3431">
      <c r="A3431" s="1" t="s">
        <v>3430</v>
      </c>
      <c r="D3431" s="3">
        <f>IFERROR(__xludf.DUMMYFUNCTION("SPLIT(A3431, ""|"")"),43229.0)</f>
        <v>43229</v>
      </c>
      <c r="E3431" s="2">
        <f>IFERROR(__xludf.DUMMYFUNCTION("""COMPUTED_VALUE"""),215313.0)</f>
        <v>215313</v>
      </c>
      <c r="F3431" s="2">
        <f>IFERROR(__xludf.DUMMYFUNCTION("""COMPUTED_VALUE"""),4452701.0)</f>
        <v>4452701</v>
      </c>
      <c r="G3431" s="2">
        <f>IFERROR(__xludf.DUMMYFUNCTION("""COMPUTED_VALUE"""),70.3701)</f>
        <v>70.3701</v>
      </c>
    </row>
    <row r="3432">
      <c r="A3432" s="1" t="s">
        <v>3431</v>
      </c>
      <c r="D3432" s="3">
        <f>IFERROR(__xludf.DUMMYFUNCTION("SPLIT(A3432, ""|"")"),42981.0)</f>
        <v>42981</v>
      </c>
      <c r="E3432" s="2">
        <f>IFERROR(__xludf.DUMMYFUNCTION("""COMPUTED_VALUE"""),61983.0)</f>
        <v>61983</v>
      </c>
      <c r="F3432" s="2">
        <f>IFERROR(__xludf.DUMMYFUNCTION("""COMPUTED_VALUE"""),3761879.0)</f>
        <v>3761879</v>
      </c>
      <c r="G3432" s="2">
        <f>IFERROR(__xludf.DUMMYFUNCTION("""COMPUTED_VALUE"""),73.6699)</f>
        <v>73.6699</v>
      </c>
    </row>
    <row r="3433">
      <c r="A3433" s="1" t="s">
        <v>3432</v>
      </c>
      <c r="D3433" s="3">
        <f>IFERROR(__xludf.DUMMYFUNCTION("SPLIT(A3433, ""|"")"),43251.0)</f>
        <v>43251</v>
      </c>
      <c r="E3433" s="2">
        <f>IFERROR(__xludf.DUMMYFUNCTION("""COMPUTED_VALUE"""),61983.0)</f>
        <v>61983</v>
      </c>
      <c r="F3433" s="2">
        <f>IFERROR(__xludf.DUMMYFUNCTION("""COMPUTED_VALUE"""),4508811.0)</f>
        <v>4508811</v>
      </c>
      <c r="G3433" s="2">
        <f>IFERROR(__xludf.DUMMYFUNCTION("""COMPUTED_VALUE"""),73.3579)</f>
        <v>73.3579</v>
      </c>
    </row>
    <row r="3434">
      <c r="A3434" s="1" t="s">
        <v>3433</v>
      </c>
      <c r="D3434" s="3">
        <f>IFERROR(__xludf.DUMMYFUNCTION("SPLIT(A3434, ""|"")"),43004.0)</f>
        <v>43004</v>
      </c>
      <c r="E3434" s="2">
        <f>IFERROR(__xludf.DUMMYFUNCTION("""COMPUTED_VALUE"""),61983.0)</f>
        <v>61983</v>
      </c>
      <c r="F3434" s="2">
        <f>IFERROR(__xludf.DUMMYFUNCTION("""COMPUTED_VALUE"""),3819265.0)</f>
        <v>3819265</v>
      </c>
      <c r="G3434" s="2">
        <f>IFERROR(__xludf.DUMMYFUNCTION("""COMPUTED_VALUE"""),89.7862)</f>
        <v>89.7862</v>
      </c>
    </row>
    <row r="3435">
      <c r="A3435" s="1" t="s">
        <v>3434</v>
      </c>
      <c r="D3435" s="3">
        <f>IFERROR(__xludf.DUMMYFUNCTION("SPLIT(A3435, ""|"")"),43282.0)</f>
        <v>43282</v>
      </c>
      <c r="E3435" s="2">
        <f>IFERROR(__xludf.DUMMYFUNCTION("""COMPUTED_VALUE"""),61983.0)</f>
        <v>61983</v>
      </c>
      <c r="F3435" s="2">
        <f>IFERROR(__xludf.DUMMYFUNCTION("""COMPUTED_VALUE"""),4580801.0)</f>
        <v>4580801</v>
      </c>
      <c r="G3435" s="2">
        <f>IFERROR(__xludf.DUMMYFUNCTION("""COMPUTED_VALUE"""),88.6087)</f>
        <v>88.6087</v>
      </c>
    </row>
    <row r="3436">
      <c r="A3436" s="1" t="s">
        <v>3435</v>
      </c>
      <c r="D3436" s="3">
        <f>IFERROR(__xludf.DUMMYFUNCTION("SPLIT(A3436, ""|"")"),43027.0)</f>
        <v>43027</v>
      </c>
      <c r="E3436" s="2">
        <f>IFERROR(__xludf.DUMMYFUNCTION("""COMPUTED_VALUE"""),61983.0)</f>
        <v>61983</v>
      </c>
      <c r="F3436" s="2">
        <f>IFERROR(__xludf.DUMMYFUNCTION("""COMPUTED_VALUE"""),3878560.0)</f>
        <v>3878560</v>
      </c>
      <c r="G3436" s="2">
        <f>IFERROR(__xludf.DUMMYFUNCTION("""COMPUTED_VALUE"""),97.1699)</f>
        <v>97.1699</v>
      </c>
    </row>
    <row r="3437">
      <c r="A3437" s="1" t="s">
        <v>3436</v>
      </c>
      <c r="D3437" s="3">
        <f>IFERROR(__xludf.DUMMYFUNCTION("SPLIT(A3437, ""|"")"),43289.0)</f>
        <v>43289</v>
      </c>
      <c r="E3437" s="2">
        <f>IFERROR(__xludf.DUMMYFUNCTION("""COMPUTED_VALUE"""),61983.0)</f>
        <v>61983</v>
      </c>
      <c r="F3437" s="2">
        <f>IFERROR(__xludf.DUMMYFUNCTION("""COMPUTED_VALUE"""),4598908.0)</f>
        <v>4598908</v>
      </c>
      <c r="G3437" s="2">
        <f>IFERROR(__xludf.DUMMYFUNCTION("""COMPUTED_VALUE"""),87.9301)</f>
        <v>87.9301</v>
      </c>
    </row>
    <row r="3438">
      <c r="A3438" s="1" t="s">
        <v>3437</v>
      </c>
      <c r="D3438" s="3">
        <f>IFERROR(__xludf.DUMMYFUNCTION("SPLIT(A3438, ""|"")"),43050.0)</f>
        <v>43050</v>
      </c>
      <c r="E3438" s="2">
        <f>IFERROR(__xludf.DUMMYFUNCTION("""COMPUTED_VALUE"""),61983.0)</f>
        <v>61983</v>
      </c>
      <c r="F3438" s="2">
        <f>IFERROR(__xludf.DUMMYFUNCTION("""COMPUTED_VALUE"""),3934374.0)</f>
        <v>3934374</v>
      </c>
      <c r="G3438" s="2">
        <f>IFERROR(__xludf.DUMMYFUNCTION("""COMPUTED_VALUE"""),68.6394)</f>
        <v>68.6394</v>
      </c>
    </row>
    <row r="3439">
      <c r="A3439" s="1" t="s">
        <v>3438</v>
      </c>
      <c r="D3439" s="3">
        <f>IFERROR(__xludf.DUMMYFUNCTION("SPLIT(A3439, ""|"")"),43317.0)</f>
        <v>43317</v>
      </c>
      <c r="E3439" s="2">
        <f>IFERROR(__xludf.DUMMYFUNCTION("""COMPUTED_VALUE"""),61983.0)</f>
        <v>61983</v>
      </c>
      <c r="F3439" s="2">
        <f>IFERROR(__xludf.DUMMYFUNCTION("""COMPUTED_VALUE"""),4663389.0)</f>
        <v>4663389</v>
      </c>
      <c r="G3439" s="2">
        <f>IFERROR(__xludf.DUMMYFUNCTION("""COMPUTED_VALUE"""),65.7317)</f>
        <v>65.7317</v>
      </c>
    </row>
    <row r="3440">
      <c r="A3440" s="1" t="s">
        <v>3439</v>
      </c>
      <c r="D3440" s="3">
        <f>IFERROR(__xludf.DUMMYFUNCTION("SPLIT(A3440, ""|"")"),43073.0)</f>
        <v>43073</v>
      </c>
      <c r="E3440" s="2">
        <f>IFERROR(__xludf.DUMMYFUNCTION("""COMPUTED_VALUE"""),61983.0)</f>
        <v>61983</v>
      </c>
      <c r="F3440" s="2">
        <f>IFERROR(__xludf.DUMMYFUNCTION("""COMPUTED_VALUE"""),4008664.0)</f>
        <v>4008664</v>
      </c>
      <c r="G3440" s="2">
        <f>IFERROR(__xludf.DUMMYFUNCTION("""COMPUTED_VALUE"""),72.8647)</f>
        <v>72.8647</v>
      </c>
    </row>
    <row r="3441">
      <c r="A3441" s="1" t="s">
        <v>3440</v>
      </c>
      <c r="D3441" s="3">
        <f>IFERROR(__xludf.DUMMYFUNCTION("SPLIT(A3441, ""|"")"),43087.0)</f>
        <v>43087</v>
      </c>
      <c r="E3441" s="2">
        <f>IFERROR(__xludf.DUMMYFUNCTION("""COMPUTED_VALUE"""),61983.0)</f>
        <v>61983</v>
      </c>
      <c r="F3441" s="2">
        <f>IFERROR(__xludf.DUMMYFUNCTION("""COMPUTED_VALUE"""),4056543.0)</f>
        <v>4056543</v>
      </c>
      <c r="G3441" s="2">
        <f>IFERROR(__xludf.DUMMYFUNCTION("""COMPUTED_VALUE"""),84.3206)</f>
        <v>84.3206</v>
      </c>
    </row>
    <row r="3442">
      <c r="A3442" s="1" t="s">
        <v>3441</v>
      </c>
      <c r="D3442" s="3">
        <f>IFERROR(__xludf.DUMMYFUNCTION("SPLIT(A3442, ""|"")"),43367.0)</f>
        <v>43367</v>
      </c>
      <c r="E3442" s="2">
        <f>IFERROR(__xludf.DUMMYFUNCTION("""COMPUTED_VALUE"""),61983.0)</f>
        <v>61983</v>
      </c>
      <c r="F3442" s="2">
        <f>IFERROR(__xludf.DUMMYFUNCTION("""COMPUTED_VALUE"""),4788319.0)</f>
        <v>4788319</v>
      </c>
      <c r="G3442" s="2">
        <f>IFERROR(__xludf.DUMMYFUNCTION("""COMPUTED_VALUE"""),90.3105999999999)</f>
        <v>90.3106</v>
      </c>
    </row>
    <row r="3443">
      <c r="A3443" s="1" t="s">
        <v>3442</v>
      </c>
      <c r="D3443" s="3">
        <f>IFERROR(__xludf.DUMMYFUNCTION("SPLIT(A3443, ""|"")"),43127.0)</f>
        <v>43127</v>
      </c>
      <c r="E3443" s="2">
        <f>IFERROR(__xludf.DUMMYFUNCTION("""COMPUTED_VALUE"""),61983.0)</f>
        <v>61983</v>
      </c>
      <c r="F3443" s="2">
        <f>IFERROR(__xludf.DUMMYFUNCTION("""COMPUTED_VALUE"""),4167535.0)</f>
        <v>4167535</v>
      </c>
      <c r="G3443" s="2">
        <f>IFERROR(__xludf.DUMMYFUNCTION("""COMPUTED_VALUE"""),71.5069999999999)</f>
        <v>71.507</v>
      </c>
    </row>
    <row r="3444">
      <c r="A3444" s="1" t="s">
        <v>3443</v>
      </c>
      <c r="D3444" s="3">
        <f>IFERROR(__xludf.DUMMYFUNCTION("SPLIT(A3444, ""|"")"),43401.0)</f>
        <v>43401</v>
      </c>
      <c r="E3444" s="2">
        <f>IFERROR(__xludf.DUMMYFUNCTION("""COMPUTED_VALUE"""),61983.0)</f>
        <v>61983</v>
      </c>
      <c r="F3444" s="2">
        <f>IFERROR(__xludf.DUMMYFUNCTION("""COMPUTED_VALUE"""),4912153.0)</f>
        <v>4912153</v>
      </c>
      <c r="G3444" s="2">
        <f>IFERROR(__xludf.DUMMYFUNCTION("""COMPUTED_VALUE"""),88.2979)</f>
        <v>88.2979</v>
      </c>
    </row>
    <row r="3445">
      <c r="A3445" s="1" t="s">
        <v>3444</v>
      </c>
      <c r="D3445" s="3">
        <f>IFERROR(__xludf.DUMMYFUNCTION("SPLIT(A3445, ""|"")"),43158.0)</f>
        <v>43158</v>
      </c>
      <c r="E3445" s="2">
        <f>IFERROR(__xludf.DUMMYFUNCTION("""COMPUTED_VALUE"""),61983.0)</f>
        <v>61983</v>
      </c>
      <c r="F3445" s="2">
        <f>IFERROR(__xludf.DUMMYFUNCTION("""COMPUTED_VALUE"""),4253258.0)</f>
        <v>4253258</v>
      </c>
      <c r="G3445" s="2">
        <f>IFERROR(__xludf.DUMMYFUNCTION("""COMPUTED_VALUE"""),75.7196)</f>
        <v>75.7196</v>
      </c>
    </row>
    <row r="3446">
      <c r="A3446" s="1" t="s">
        <v>3445</v>
      </c>
      <c r="D3446" s="3">
        <f>IFERROR(__xludf.DUMMYFUNCTION("SPLIT(A3446, ""|"")"),43441.0)</f>
        <v>43441</v>
      </c>
      <c r="E3446" s="2">
        <f>IFERROR(__xludf.DUMMYFUNCTION("""COMPUTED_VALUE"""),61983.0)</f>
        <v>61983</v>
      </c>
      <c r="F3446" s="2">
        <f>IFERROR(__xludf.DUMMYFUNCTION("""COMPUTED_VALUE"""),5286956.0)</f>
        <v>5286956</v>
      </c>
      <c r="G3446" s="2">
        <f>IFERROR(__xludf.DUMMYFUNCTION("""COMPUTED_VALUE"""),92.0937999999999)</f>
        <v>92.0938</v>
      </c>
    </row>
    <row r="3447">
      <c r="A3447" s="1" t="s">
        <v>3446</v>
      </c>
      <c r="D3447" s="3">
        <f>IFERROR(__xludf.DUMMYFUNCTION("SPLIT(A3447, ""|"")"),43186.0)</f>
        <v>43186</v>
      </c>
      <c r="E3447" s="2">
        <f>IFERROR(__xludf.DUMMYFUNCTION("""COMPUTED_VALUE"""),61983.0)</f>
        <v>61983</v>
      </c>
      <c r="F3447" s="2">
        <f>IFERROR(__xludf.DUMMYFUNCTION("""COMPUTED_VALUE"""),4333506.0)</f>
        <v>4333506</v>
      </c>
      <c r="G3447" s="2">
        <f>IFERROR(__xludf.DUMMYFUNCTION("""COMPUTED_VALUE"""),68.6782)</f>
        <v>68.6782</v>
      </c>
    </row>
    <row r="3448">
      <c r="A3448" s="1" t="s">
        <v>3447</v>
      </c>
      <c r="D3448" s="3">
        <f>IFERROR(__xludf.DUMMYFUNCTION("SPLIT(A3448, ""|"")"),42941.0)</f>
        <v>42941</v>
      </c>
      <c r="E3448" s="2">
        <f>IFERROR(__xludf.DUMMYFUNCTION("""COMPUTED_VALUE"""),61983.0)</f>
        <v>61983</v>
      </c>
      <c r="F3448" s="2">
        <f>IFERROR(__xludf.DUMMYFUNCTION("""COMPUTED_VALUE"""),3672487.0)</f>
        <v>3672487</v>
      </c>
      <c r="G3448" s="2">
        <f>IFERROR(__xludf.DUMMYFUNCTION("""COMPUTED_VALUE"""),83.3479)</f>
        <v>83.3479</v>
      </c>
    </row>
    <row r="3449">
      <c r="A3449" s="1" t="s">
        <v>3448</v>
      </c>
      <c r="D3449" s="3">
        <f>IFERROR(__xludf.DUMMYFUNCTION("SPLIT(A3449, ""|"")"),43213.0)</f>
        <v>43213</v>
      </c>
      <c r="E3449" s="2">
        <f>IFERROR(__xludf.DUMMYFUNCTION("""COMPUTED_VALUE"""),61983.0)</f>
        <v>61983</v>
      </c>
      <c r="F3449" s="2">
        <f>IFERROR(__xludf.DUMMYFUNCTION("""COMPUTED_VALUE"""),4408621.0)</f>
        <v>4408621</v>
      </c>
      <c r="G3449" s="2">
        <f>IFERROR(__xludf.DUMMYFUNCTION("""COMPUTED_VALUE"""),69.5745)</f>
        <v>69.5745</v>
      </c>
    </row>
    <row r="3450">
      <c r="A3450" s="1" t="s">
        <v>3449</v>
      </c>
      <c r="D3450" s="3">
        <f>IFERROR(__xludf.DUMMYFUNCTION("SPLIT(A3450, ""|"")"),42978.0)</f>
        <v>42978</v>
      </c>
      <c r="E3450" s="2">
        <f>IFERROR(__xludf.DUMMYFUNCTION("""COMPUTED_VALUE"""),420663.0)</f>
        <v>420663</v>
      </c>
      <c r="F3450" s="2">
        <f>IFERROR(__xludf.DUMMYFUNCTION("""COMPUTED_VALUE"""),3754215.0)</f>
        <v>3754215</v>
      </c>
      <c r="G3450" s="2">
        <f>IFERROR(__xludf.DUMMYFUNCTION("""COMPUTED_VALUE"""),82.4988999999999)</f>
        <v>82.4989</v>
      </c>
    </row>
    <row r="3451">
      <c r="A3451" s="1" t="s">
        <v>3450</v>
      </c>
      <c r="D3451" s="3">
        <f>IFERROR(__xludf.DUMMYFUNCTION("SPLIT(A3451, ""|"")"),43004.0)</f>
        <v>43004</v>
      </c>
      <c r="E3451" s="2">
        <f>IFERROR(__xludf.DUMMYFUNCTION("""COMPUTED_VALUE"""),420663.0)</f>
        <v>420663</v>
      </c>
      <c r="F3451" s="2">
        <f>IFERROR(__xludf.DUMMYFUNCTION("""COMPUTED_VALUE"""),3820330.0)</f>
        <v>3820330</v>
      </c>
      <c r="G3451" s="2">
        <f>IFERROR(__xludf.DUMMYFUNCTION("""COMPUTED_VALUE"""),113.7578)</f>
        <v>113.7578</v>
      </c>
    </row>
    <row r="3452">
      <c r="A3452" s="1" t="s">
        <v>3451</v>
      </c>
      <c r="D3452" s="3">
        <f>IFERROR(__xludf.DUMMYFUNCTION("SPLIT(A3452, ""|"")"),43004.0)</f>
        <v>43004</v>
      </c>
      <c r="E3452" s="2">
        <f>IFERROR(__xludf.DUMMYFUNCTION("""COMPUTED_VALUE"""),420663.0)</f>
        <v>420663</v>
      </c>
      <c r="F3452" s="2">
        <f>IFERROR(__xludf.DUMMYFUNCTION("""COMPUTED_VALUE"""),3820289.0)</f>
        <v>3820289</v>
      </c>
      <c r="G3452" s="2">
        <f>IFERROR(__xludf.DUMMYFUNCTION("""COMPUTED_VALUE"""),8.25)</f>
        <v>8.25</v>
      </c>
    </row>
    <row r="3453">
      <c r="A3453" s="1" t="s">
        <v>3452</v>
      </c>
      <c r="D3453" s="3">
        <f>IFERROR(__xludf.DUMMYFUNCTION("SPLIT(A3453, ""|"")"),43269.0)</f>
        <v>43269</v>
      </c>
      <c r="E3453" s="2">
        <f>IFERROR(__xludf.DUMMYFUNCTION("""COMPUTED_VALUE"""),420663.0)</f>
        <v>420663</v>
      </c>
      <c r="F3453" s="2">
        <f>IFERROR(__xludf.DUMMYFUNCTION("""COMPUTED_VALUE"""),4547203.0)</f>
        <v>4547203</v>
      </c>
      <c r="G3453" s="2">
        <f>IFERROR(__xludf.DUMMYFUNCTION("""COMPUTED_VALUE"""),72.3205)</f>
        <v>72.3205</v>
      </c>
    </row>
    <row r="3454">
      <c r="A3454" s="1" t="s">
        <v>3453</v>
      </c>
      <c r="D3454" s="3">
        <f>IFERROR(__xludf.DUMMYFUNCTION("SPLIT(A3454, ""|"")"),43286.0)</f>
        <v>43286</v>
      </c>
      <c r="E3454" s="2">
        <f>IFERROR(__xludf.DUMMYFUNCTION("""COMPUTED_VALUE"""),420663.0)</f>
        <v>420663</v>
      </c>
      <c r="F3454" s="2">
        <f>IFERROR(__xludf.DUMMYFUNCTION("""COMPUTED_VALUE"""),4592512.0)</f>
        <v>4592512</v>
      </c>
      <c r="G3454" s="2">
        <f>IFERROR(__xludf.DUMMYFUNCTION("""COMPUTED_VALUE"""),80.4085)</f>
        <v>80.4085</v>
      </c>
    </row>
    <row r="3455">
      <c r="A3455" s="1" t="s">
        <v>3454</v>
      </c>
      <c r="D3455" s="3">
        <f>IFERROR(__xludf.DUMMYFUNCTION("SPLIT(A3455, ""|"")"),43039.0)</f>
        <v>43039</v>
      </c>
      <c r="E3455" s="2">
        <f>IFERROR(__xludf.DUMMYFUNCTION("""COMPUTED_VALUE"""),420663.0)</f>
        <v>420663</v>
      </c>
      <c r="F3455" s="2">
        <f>IFERROR(__xludf.DUMMYFUNCTION("""COMPUTED_VALUE"""),3906399.0)</f>
        <v>3906399</v>
      </c>
      <c r="G3455" s="2">
        <f>IFERROR(__xludf.DUMMYFUNCTION("""COMPUTED_VALUE"""),167.7271)</f>
        <v>167.7271</v>
      </c>
    </row>
    <row r="3456">
      <c r="A3456" s="1" t="s">
        <v>3455</v>
      </c>
      <c r="D3456" s="3">
        <f>IFERROR(__xludf.DUMMYFUNCTION("SPLIT(A3456, ""|"")"),43317.0)</f>
        <v>43317</v>
      </c>
      <c r="E3456" s="2">
        <f>IFERROR(__xludf.DUMMYFUNCTION("""COMPUTED_VALUE"""),420663.0)</f>
        <v>420663</v>
      </c>
      <c r="F3456" s="2">
        <f>IFERROR(__xludf.DUMMYFUNCTION("""COMPUTED_VALUE"""),4661259.0)</f>
        <v>4661259</v>
      </c>
      <c r="G3456" s="2">
        <f>IFERROR(__xludf.DUMMYFUNCTION("""COMPUTED_VALUE"""),72.8950999999999)</f>
        <v>72.8951</v>
      </c>
    </row>
    <row r="3457">
      <c r="A3457" s="1" t="s">
        <v>3456</v>
      </c>
      <c r="D3457" s="3">
        <f>IFERROR(__xludf.DUMMYFUNCTION("SPLIT(A3457, ""|"")"),43073.0)</f>
        <v>43073</v>
      </c>
      <c r="E3457" s="2">
        <f>IFERROR(__xludf.DUMMYFUNCTION("""COMPUTED_VALUE"""),420663.0)</f>
        <v>420663</v>
      </c>
      <c r="F3457" s="2">
        <f>IFERROR(__xludf.DUMMYFUNCTION("""COMPUTED_VALUE"""),4007467.0)</f>
        <v>4007467</v>
      </c>
      <c r="G3457" s="2">
        <f>IFERROR(__xludf.DUMMYFUNCTION("""COMPUTED_VALUE"""),181.3616)</f>
        <v>181.3616</v>
      </c>
    </row>
    <row r="3458">
      <c r="A3458" s="1" t="s">
        <v>3457</v>
      </c>
      <c r="D3458" s="3">
        <f>IFERROR(__xludf.DUMMYFUNCTION("SPLIT(A3458, ""|"")"),43090.0)</f>
        <v>43090</v>
      </c>
      <c r="E3458" s="2">
        <f>IFERROR(__xludf.DUMMYFUNCTION("""COMPUTED_VALUE"""),420663.0)</f>
        <v>420663</v>
      </c>
      <c r="F3458" s="2">
        <f>IFERROR(__xludf.DUMMYFUNCTION("""COMPUTED_VALUE"""),4062317.0)</f>
        <v>4062317</v>
      </c>
      <c r="G3458" s="2">
        <f>IFERROR(__xludf.DUMMYFUNCTION("""COMPUTED_VALUE"""),46.4172)</f>
        <v>46.4172</v>
      </c>
    </row>
    <row r="3459">
      <c r="A3459" s="1" t="s">
        <v>3458</v>
      </c>
      <c r="D3459" s="3">
        <f>IFERROR(__xludf.DUMMYFUNCTION("SPLIT(A3459, ""|"")"),43099.0)</f>
        <v>43099</v>
      </c>
      <c r="E3459" s="2">
        <f>IFERROR(__xludf.DUMMYFUNCTION("""COMPUTED_VALUE"""),420663.0)</f>
        <v>420663</v>
      </c>
      <c r="F3459" s="2">
        <f>IFERROR(__xludf.DUMMYFUNCTION("""COMPUTED_VALUE"""),4080003.0)</f>
        <v>4080003</v>
      </c>
      <c r="G3459" s="2">
        <f>IFERROR(__xludf.DUMMYFUNCTION("""COMPUTED_VALUE"""),69.6383)</f>
        <v>69.6383</v>
      </c>
    </row>
    <row r="3460">
      <c r="A3460" s="1" t="s">
        <v>3459</v>
      </c>
      <c r="D3460" s="3">
        <f>IFERROR(__xludf.DUMMYFUNCTION("SPLIT(A3460, ""|"")"),43120.0)</f>
        <v>43120</v>
      </c>
      <c r="E3460" s="2">
        <f>IFERROR(__xludf.DUMMYFUNCTION("""COMPUTED_VALUE"""),420663.0)</f>
        <v>420663</v>
      </c>
      <c r="F3460" s="2">
        <f>IFERROR(__xludf.DUMMYFUNCTION("""COMPUTED_VALUE"""),4146081.0)</f>
        <v>4146081</v>
      </c>
      <c r="G3460" s="2">
        <f>IFERROR(__xludf.DUMMYFUNCTION("""COMPUTED_VALUE"""),66.4686)</f>
        <v>66.4686</v>
      </c>
    </row>
    <row r="3461">
      <c r="A3461" s="1" t="s">
        <v>3460</v>
      </c>
      <c r="D3461" s="3">
        <f>IFERROR(__xludf.DUMMYFUNCTION("SPLIT(A3461, ""|"")"),43120.0)</f>
        <v>43120</v>
      </c>
      <c r="E3461" s="2">
        <f>IFERROR(__xludf.DUMMYFUNCTION("""COMPUTED_VALUE"""),420663.0)</f>
        <v>420663</v>
      </c>
      <c r="F3461" s="2">
        <f>IFERROR(__xludf.DUMMYFUNCTION("""COMPUTED_VALUE"""),4146149.0)</f>
        <v>4146149</v>
      </c>
      <c r="G3461" s="2">
        <f>IFERROR(__xludf.DUMMYFUNCTION("""COMPUTED_VALUE"""),43.3797999999999)</f>
        <v>43.3798</v>
      </c>
    </row>
    <row r="3462">
      <c r="A3462" s="1" t="s">
        <v>3461</v>
      </c>
      <c r="D3462" s="3">
        <f>IFERROR(__xludf.DUMMYFUNCTION("SPLIT(A3462, ""|"")"),43138.0)</f>
        <v>43138</v>
      </c>
      <c r="E3462" s="2">
        <f>IFERROR(__xludf.DUMMYFUNCTION("""COMPUTED_VALUE"""),420663.0)</f>
        <v>420663</v>
      </c>
      <c r="F3462" s="2">
        <f>IFERROR(__xludf.DUMMYFUNCTION("""COMPUTED_VALUE"""),4198283.0)</f>
        <v>4198283</v>
      </c>
      <c r="G3462" s="2">
        <f>IFERROR(__xludf.DUMMYFUNCTION("""COMPUTED_VALUE"""),75.0904999999999)</f>
        <v>75.0905</v>
      </c>
    </row>
    <row r="3463">
      <c r="A3463" s="1" t="s">
        <v>3462</v>
      </c>
      <c r="D3463" s="3">
        <f>IFERROR(__xludf.DUMMYFUNCTION("SPLIT(A3463, ""|"")"),43398.0)</f>
        <v>43398</v>
      </c>
      <c r="E3463" s="2">
        <f>IFERROR(__xludf.DUMMYFUNCTION("""COMPUTED_VALUE"""),420663.0)</f>
        <v>420663</v>
      </c>
      <c r="F3463" s="2">
        <f>IFERROR(__xludf.DUMMYFUNCTION("""COMPUTED_VALUE"""),4891170.0)</f>
        <v>4891170</v>
      </c>
      <c r="G3463" s="2">
        <f>IFERROR(__xludf.DUMMYFUNCTION("""COMPUTED_VALUE"""),56.972)</f>
        <v>56.972</v>
      </c>
    </row>
    <row r="3464">
      <c r="A3464" s="1" t="s">
        <v>3463</v>
      </c>
      <c r="D3464" s="3">
        <f>IFERROR(__xludf.DUMMYFUNCTION("SPLIT(A3464, ""|"")"),43153.0)</f>
        <v>43153</v>
      </c>
      <c r="E3464" s="2">
        <f>IFERROR(__xludf.DUMMYFUNCTION("""COMPUTED_VALUE"""),420663.0)</f>
        <v>420663</v>
      </c>
      <c r="F3464" s="2">
        <f>IFERROR(__xludf.DUMMYFUNCTION("""COMPUTED_VALUE"""),4236657.0)</f>
        <v>4236657</v>
      </c>
      <c r="G3464" s="2">
        <f>IFERROR(__xludf.DUMMYFUNCTION("""COMPUTED_VALUE"""),100.1934)</f>
        <v>100.1934</v>
      </c>
    </row>
    <row r="3465">
      <c r="A3465" s="1" t="s">
        <v>3464</v>
      </c>
      <c r="D3465" s="3">
        <f>IFERROR(__xludf.DUMMYFUNCTION("SPLIT(A3465, ""|"")"),43173.0)</f>
        <v>43173</v>
      </c>
      <c r="E3465" s="2">
        <f>IFERROR(__xludf.DUMMYFUNCTION("""COMPUTED_VALUE"""),420663.0)</f>
        <v>420663</v>
      </c>
      <c r="F3465" s="2">
        <f>IFERROR(__xludf.DUMMYFUNCTION("""COMPUTED_VALUE"""),4299904.0)</f>
        <v>4299904</v>
      </c>
      <c r="G3465" s="2">
        <f>IFERROR(__xludf.DUMMYFUNCTION("""COMPUTED_VALUE"""),92.5793999999999)</f>
        <v>92.5794</v>
      </c>
    </row>
    <row r="3466">
      <c r="A3466" s="1" t="s">
        <v>3465</v>
      </c>
      <c r="D3466" s="3">
        <f>IFERROR(__xludf.DUMMYFUNCTION("SPLIT(A3466, ""|"")"),43193.0)</f>
        <v>43193</v>
      </c>
      <c r="E3466" s="2">
        <f>IFERROR(__xludf.DUMMYFUNCTION("""COMPUTED_VALUE"""),420663.0)</f>
        <v>420663</v>
      </c>
      <c r="F3466" s="2">
        <f>IFERROR(__xludf.DUMMYFUNCTION("""COMPUTED_VALUE"""),4356049.0)</f>
        <v>4356049</v>
      </c>
      <c r="G3466" s="2">
        <f>IFERROR(__xludf.DUMMYFUNCTION("""COMPUTED_VALUE"""),154.521399999999)</f>
        <v>154.5214</v>
      </c>
    </row>
    <row r="3467">
      <c r="A3467" s="1" t="s">
        <v>3466</v>
      </c>
      <c r="D3467" s="3">
        <f>IFERROR(__xludf.DUMMYFUNCTION("SPLIT(A3467, ""|"")"),42943.0)</f>
        <v>42943</v>
      </c>
      <c r="E3467" s="2">
        <f>IFERROR(__xludf.DUMMYFUNCTION("""COMPUTED_VALUE"""),420663.0)</f>
        <v>420663</v>
      </c>
      <c r="F3467" s="2">
        <f>IFERROR(__xludf.DUMMYFUNCTION("""COMPUTED_VALUE"""),3676825.0)</f>
        <v>3676825</v>
      </c>
      <c r="G3467" s="2">
        <f>IFERROR(__xludf.DUMMYFUNCTION("""COMPUTED_VALUE"""),198.742899999999)</f>
        <v>198.7429</v>
      </c>
    </row>
    <row r="3468">
      <c r="A3468" s="1" t="s">
        <v>3467</v>
      </c>
      <c r="D3468" s="3">
        <f>IFERROR(__xludf.DUMMYFUNCTION("SPLIT(A3468, ""|"")"),43232.0)</f>
        <v>43232</v>
      </c>
      <c r="E3468" s="2">
        <f>IFERROR(__xludf.DUMMYFUNCTION("""COMPUTED_VALUE"""),420663.0)</f>
        <v>420663</v>
      </c>
      <c r="F3468" s="2">
        <f>IFERROR(__xludf.DUMMYFUNCTION("""COMPUTED_VALUE"""),4459813.0)</f>
        <v>4459813</v>
      </c>
      <c r="G3468" s="2">
        <f>IFERROR(__xludf.DUMMYFUNCTION("""COMPUTED_VALUE"""),196.9888)</f>
        <v>196.9888</v>
      </c>
    </row>
    <row r="3469">
      <c r="A3469" s="1" t="s">
        <v>3468</v>
      </c>
      <c r="D3469" s="3">
        <f>IFERROR(__xludf.DUMMYFUNCTION("SPLIT(A3469, ""|"")"),42984.0)</f>
        <v>42984</v>
      </c>
      <c r="E3469" s="2">
        <f>IFERROR(__xludf.DUMMYFUNCTION("""COMPUTED_VALUE"""),1175373.0)</f>
        <v>1175373</v>
      </c>
      <c r="F3469" s="2">
        <f>IFERROR(__xludf.DUMMYFUNCTION("""COMPUTED_VALUE"""),3772241.0)</f>
        <v>3772241</v>
      </c>
      <c r="G3469" s="2">
        <f>IFERROR(__xludf.DUMMYFUNCTION("""COMPUTED_VALUE"""),115.4754)</f>
        <v>115.4754</v>
      </c>
    </row>
    <row r="3470">
      <c r="A3470" s="1" t="s">
        <v>3469</v>
      </c>
      <c r="D3470" s="3">
        <f>IFERROR(__xludf.DUMMYFUNCTION("SPLIT(A3470, ""|"")"),42998.0)</f>
        <v>42998</v>
      </c>
      <c r="E3470" s="2">
        <f>IFERROR(__xludf.DUMMYFUNCTION("""COMPUTED_VALUE"""),1175373.0)</f>
        <v>1175373</v>
      </c>
      <c r="F3470" s="2">
        <f>IFERROR(__xludf.DUMMYFUNCTION("""COMPUTED_VALUE"""),3805520.0)</f>
        <v>3805520</v>
      </c>
      <c r="G3470" s="2">
        <f>IFERROR(__xludf.DUMMYFUNCTION("""COMPUTED_VALUE"""),147.552399999999)</f>
        <v>147.5524</v>
      </c>
    </row>
    <row r="3471">
      <c r="A3471" s="1" t="s">
        <v>3470</v>
      </c>
      <c r="D3471" s="3">
        <f>IFERROR(__xludf.DUMMYFUNCTION("SPLIT(A3471, ""|"")"),43017.0)</f>
        <v>43017</v>
      </c>
      <c r="E3471" s="2">
        <f>IFERROR(__xludf.DUMMYFUNCTION("""COMPUTED_VALUE"""),1175373.0)</f>
        <v>1175373</v>
      </c>
      <c r="F3471" s="2">
        <f>IFERROR(__xludf.DUMMYFUNCTION("""COMPUTED_VALUE"""),3854198.0)</f>
        <v>3854198</v>
      </c>
      <c r="G3471" s="2">
        <f>IFERROR(__xludf.DUMMYFUNCTION("""COMPUTED_VALUE"""),151.512599999999)</f>
        <v>151.5126</v>
      </c>
    </row>
    <row r="3472">
      <c r="A3472" s="1" t="s">
        <v>3471</v>
      </c>
      <c r="D3472" s="3">
        <f>IFERROR(__xludf.DUMMYFUNCTION("SPLIT(A3472, ""|"")"),43025.0)</f>
        <v>43025</v>
      </c>
      <c r="E3472" s="2">
        <f>IFERROR(__xludf.DUMMYFUNCTION("""COMPUTED_VALUE"""),1175373.0)</f>
        <v>1175373</v>
      </c>
      <c r="F3472" s="2">
        <f>IFERROR(__xludf.DUMMYFUNCTION("""COMPUTED_VALUE"""),3872862.0)</f>
        <v>3872862</v>
      </c>
      <c r="G3472" s="2">
        <f>IFERROR(__xludf.DUMMYFUNCTION("""COMPUTED_VALUE"""),111.1253)</f>
        <v>111.1253</v>
      </c>
    </row>
    <row r="3473">
      <c r="A3473" s="1" t="s">
        <v>3472</v>
      </c>
      <c r="D3473" s="3">
        <f>IFERROR(__xludf.DUMMYFUNCTION("SPLIT(A3473, ""|"")"),43028.0)</f>
        <v>43028</v>
      </c>
      <c r="E3473" s="2">
        <f>IFERROR(__xludf.DUMMYFUNCTION("""COMPUTED_VALUE"""),1175373.0)</f>
        <v>1175373</v>
      </c>
      <c r="F3473" s="2">
        <f>IFERROR(__xludf.DUMMYFUNCTION("""COMPUTED_VALUE"""),3879224.0)</f>
        <v>3879224</v>
      </c>
      <c r="G3473" s="2">
        <f>IFERROR(__xludf.DUMMYFUNCTION("""COMPUTED_VALUE"""),109.4778)</f>
        <v>109.4778</v>
      </c>
    </row>
    <row r="3474">
      <c r="A3474" s="1" t="s">
        <v>3473</v>
      </c>
      <c r="D3474" s="3">
        <f>IFERROR(__xludf.DUMMYFUNCTION("SPLIT(A3474, ""|"")"),43032.0)</f>
        <v>43032</v>
      </c>
      <c r="E3474" s="2">
        <f>IFERROR(__xludf.DUMMYFUNCTION("""COMPUTED_VALUE"""),1175373.0)</f>
        <v>1175373</v>
      </c>
      <c r="F3474" s="2">
        <f>IFERROR(__xludf.DUMMYFUNCTION("""COMPUTED_VALUE"""),3887992.0)</f>
        <v>3887992</v>
      </c>
      <c r="G3474" s="2">
        <f>IFERROR(__xludf.DUMMYFUNCTION("""COMPUTED_VALUE"""),80.17)</f>
        <v>80.17</v>
      </c>
    </row>
    <row r="3475">
      <c r="A3475" s="1" t="s">
        <v>3474</v>
      </c>
      <c r="D3475" s="3">
        <f>IFERROR(__xludf.DUMMYFUNCTION("SPLIT(A3475, ""|"")"),43035.0)</f>
        <v>43035</v>
      </c>
      <c r="E3475" s="2">
        <f>IFERROR(__xludf.DUMMYFUNCTION("""COMPUTED_VALUE"""),1175373.0)</f>
        <v>1175373</v>
      </c>
      <c r="F3475" s="2">
        <f>IFERROR(__xludf.DUMMYFUNCTION("""COMPUTED_VALUE"""),3895976.0)</f>
        <v>3895976</v>
      </c>
      <c r="G3475" s="2">
        <f>IFERROR(__xludf.DUMMYFUNCTION("""COMPUTED_VALUE"""),83.2350999999999)</f>
        <v>83.2351</v>
      </c>
    </row>
    <row r="3476">
      <c r="A3476" s="1" t="s">
        <v>3475</v>
      </c>
      <c r="D3476" s="3">
        <f>IFERROR(__xludf.DUMMYFUNCTION("SPLIT(A3476, ""|"")"),43046.0)</f>
        <v>43046</v>
      </c>
      <c r="E3476" s="2">
        <f>IFERROR(__xludf.DUMMYFUNCTION("""COMPUTED_VALUE"""),1175373.0)</f>
        <v>1175373</v>
      </c>
      <c r="F3476" s="2">
        <f>IFERROR(__xludf.DUMMYFUNCTION("""COMPUTED_VALUE"""),3924803.0)</f>
        <v>3924803</v>
      </c>
      <c r="G3476" s="2">
        <f>IFERROR(__xludf.DUMMYFUNCTION("""COMPUTED_VALUE"""),119.2607)</f>
        <v>119.2607</v>
      </c>
    </row>
    <row r="3477">
      <c r="A3477" s="1" t="s">
        <v>3476</v>
      </c>
      <c r="D3477" s="3">
        <f>IFERROR(__xludf.DUMMYFUNCTION("SPLIT(A3477, ""|"")"),43053.0)</f>
        <v>43053</v>
      </c>
      <c r="E3477" s="2">
        <f>IFERROR(__xludf.DUMMYFUNCTION("""COMPUTED_VALUE"""),1175373.0)</f>
        <v>1175373</v>
      </c>
      <c r="F3477" s="2">
        <f>IFERROR(__xludf.DUMMYFUNCTION("""COMPUTED_VALUE"""),3944236.0)</f>
        <v>3944236</v>
      </c>
      <c r="G3477" s="2">
        <f>IFERROR(__xludf.DUMMYFUNCTION("""COMPUTED_VALUE"""),100.7936)</f>
        <v>100.7936</v>
      </c>
    </row>
    <row r="3478">
      <c r="A3478" s="1" t="s">
        <v>3477</v>
      </c>
      <c r="D3478" s="3">
        <f>IFERROR(__xludf.DUMMYFUNCTION("SPLIT(A3478, ""|"")"),43055.0)</f>
        <v>43055</v>
      </c>
      <c r="E3478" s="2">
        <f>IFERROR(__xludf.DUMMYFUNCTION("""COMPUTED_VALUE"""),1175373.0)</f>
        <v>1175373</v>
      </c>
      <c r="F3478" s="2">
        <f>IFERROR(__xludf.DUMMYFUNCTION("""COMPUTED_VALUE"""),3950017.0)</f>
        <v>3950017</v>
      </c>
      <c r="G3478" s="2">
        <f>IFERROR(__xludf.DUMMYFUNCTION("""COMPUTED_VALUE"""),82.727)</f>
        <v>82.727</v>
      </c>
    </row>
    <row r="3479">
      <c r="A3479" s="1" t="s">
        <v>3478</v>
      </c>
      <c r="D3479" s="3">
        <f>IFERROR(__xludf.DUMMYFUNCTION("SPLIT(A3479, ""|"")"),43066.0)</f>
        <v>43066</v>
      </c>
      <c r="E3479" s="2">
        <f>IFERROR(__xludf.DUMMYFUNCTION("""COMPUTED_VALUE"""),1175373.0)</f>
        <v>1175373</v>
      </c>
      <c r="F3479" s="2">
        <f>IFERROR(__xludf.DUMMYFUNCTION("""COMPUTED_VALUE"""),3985402.0)</f>
        <v>3985402</v>
      </c>
      <c r="G3479" s="2">
        <f>IFERROR(__xludf.DUMMYFUNCTION("""COMPUTED_VALUE"""),173.7796)</f>
        <v>173.7796</v>
      </c>
    </row>
    <row r="3480">
      <c r="A3480" s="1" t="s">
        <v>3479</v>
      </c>
      <c r="D3480" s="3">
        <f>IFERROR(__xludf.DUMMYFUNCTION("SPLIT(A3480, ""|"")"),43075.0)</f>
        <v>43075</v>
      </c>
      <c r="E3480" s="2">
        <f>IFERROR(__xludf.DUMMYFUNCTION("""COMPUTED_VALUE"""),1175373.0)</f>
        <v>1175373</v>
      </c>
      <c r="F3480" s="2">
        <f>IFERROR(__xludf.DUMMYFUNCTION("""COMPUTED_VALUE"""),4016138.0)</f>
        <v>4016138</v>
      </c>
      <c r="G3480" s="2">
        <f>IFERROR(__xludf.DUMMYFUNCTION("""COMPUTED_VALUE"""),99.4999)</f>
        <v>99.4999</v>
      </c>
    </row>
    <row r="3481">
      <c r="A3481" s="1" t="s">
        <v>3480</v>
      </c>
      <c r="D3481" s="3">
        <f>IFERROR(__xludf.DUMMYFUNCTION("SPLIT(A3481, ""|"")"),43077.0)</f>
        <v>43077</v>
      </c>
      <c r="E3481" s="2">
        <f>IFERROR(__xludf.DUMMYFUNCTION("""COMPUTED_VALUE"""),1175373.0)</f>
        <v>1175373</v>
      </c>
      <c r="F3481" s="2">
        <f>IFERROR(__xludf.DUMMYFUNCTION("""COMPUTED_VALUE"""),4021571.0)</f>
        <v>4021571</v>
      </c>
      <c r="G3481" s="2">
        <f>IFERROR(__xludf.DUMMYFUNCTION("""COMPUTED_VALUE"""),71.486)</f>
        <v>71.486</v>
      </c>
    </row>
    <row r="3482">
      <c r="A3482" s="1" t="s">
        <v>3481</v>
      </c>
      <c r="D3482" s="3">
        <f>IFERROR(__xludf.DUMMYFUNCTION("SPLIT(A3482, ""|"")"),43083.0)</f>
        <v>43083</v>
      </c>
      <c r="E3482" s="2">
        <f>IFERROR(__xludf.DUMMYFUNCTION("""COMPUTED_VALUE"""),1175373.0)</f>
        <v>1175373</v>
      </c>
      <c r="F3482" s="2">
        <f>IFERROR(__xludf.DUMMYFUNCTION("""COMPUTED_VALUE"""),4040917.0)</f>
        <v>4040917</v>
      </c>
      <c r="G3482" s="2">
        <f>IFERROR(__xludf.DUMMYFUNCTION("""COMPUTED_VALUE"""),167.8524)</f>
        <v>167.8524</v>
      </c>
    </row>
    <row r="3483">
      <c r="A3483" s="1" t="s">
        <v>3482</v>
      </c>
      <c r="D3483" s="3">
        <f>IFERROR(__xludf.DUMMYFUNCTION("SPLIT(A3483, ""|"")"),43087.0)</f>
        <v>43087</v>
      </c>
      <c r="E3483" s="2">
        <f>IFERROR(__xludf.DUMMYFUNCTION("""COMPUTED_VALUE"""),1175373.0)</f>
        <v>1175373</v>
      </c>
      <c r="F3483" s="2">
        <f>IFERROR(__xludf.DUMMYFUNCTION("""COMPUTED_VALUE"""),4054631.0)</f>
        <v>4054631</v>
      </c>
      <c r="G3483" s="2">
        <f>IFERROR(__xludf.DUMMYFUNCTION("""COMPUTED_VALUE"""),87.1691)</f>
        <v>87.1691</v>
      </c>
    </row>
    <row r="3484">
      <c r="A3484" s="1" t="s">
        <v>3483</v>
      </c>
      <c r="D3484" s="3">
        <f>IFERROR(__xludf.DUMMYFUNCTION("SPLIT(A3484, ""|"")"),43107.0)</f>
        <v>43107</v>
      </c>
      <c r="E3484" s="2">
        <f>IFERROR(__xludf.DUMMYFUNCTION("""COMPUTED_VALUE"""),1175373.0)</f>
        <v>1175373</v>
      </c>
      <c r="F3484" s="2">
        <f>IFERROR(__xludf.DUMMYFUNCTION("""COMPUTED_VALUE"""),4103014.0)</f>
        <v>4103014</v>
      </c>
      <c r="G3484" s="2">
        <f>IFERROR(__xludf.DUMMYFUNCTION("""COMPUTED_VALUE"""),96.2587999999999)</f>
        <v>96.2588</v>
      </c>
    </row>
    <row r="3485">
      <c r="A3485" s="1" t="s">
        <v>3484</v>
      </c>
      <c r="D3485" s="3">
        <f>IFERROR(__xludf.DUMMYFUNCTION("SPLIT(A3485, ""|"")"),43117.0)</f>
        <v>43117</v>
      </c>
      <c r="E3485" s="2">
        <f>IFERROR(__xludf.DUMMYFUNCTION("""COMPUTED_VALUE"""),1175373.0)</f>
        <v>1175373</v>
      </c>
      <c r="F3485" s="2">
        <f>IFERROR(__xludf.DUMMYFUNCTION("""COMPUTED_VALUE"""),4138052.0)</f>
        <v>4138052</v>
      </c>
      <c r="G3485" s="2">
        <f>IFERROR(__xludf.DUMMYFUNCTION("""COMPUTED_VALUE"""),80.1515)</f>
        <v>80.1515</v>
      </c>
    </row>
    <row r="3486">
      <c r="A3486" s="1" t="s">
        <v>3485</v>
      </c>
      <c r="D3486" s="3">
        <f>IFERROR(__xludf.DUMMYFUNCTION("SPLIT(A3486, ""|"")"),42939.0)</f>
        <v>42939</v>
      </c>
      <c r="E3486" s="2">
        <f>IFERROR(__xludf.DUMMYFUNCTION("""COMPUTED_VALUE"""),1175373.0)</f>
        <v>1175373</v>
      </c>
      <c r="F3486" s="2">
        <f>IFERROR(__xludf.DUMMYFUNCTION("""COMPUTED_VALUE"""),3665430.0)</f>
        <v>3665430</v>
      </c>
      <c r="G3486" s="2">
        <f>IFERROR(__xludf.DUMMYFUNCTION("""COMPUTED_VALUE"""),173.446599999999)</f>
        <v>173.4466</v>
      </c>
    </row>
    <row r="3487">
      <c r="A3487" s="1" t="s">
        <v>3486</v>
      </c>
      <c r="D3487" s="3">
        <f>IFERROR(__xludf.DUMMYFUNCTION("SPLIT(A3487, ""|"")"),42942.0)</f>
        <v>42942</v>
      </c>
      <c r="E3487" s="2">
        <f>IFERROR(__xludf.DUMMYFUNCTION("""COMPUTED_VALUE"""),1175373.0)</f>
        <v>1175373</v>
      </c>
      <c r="F3487" s="2">
        <f>IFERROR(__xludf.DUMMYFUNCTION("""COMPUTED_VALUE"""),3673217.0)</f>
        <v>3673217</v>
      </c>
      <c r="G3487" s="2">
        <f>IFERROR(__xludf.DUMMYFUNCTION("""COMPUTED_VALUE"""),143.683299999999)</f>
        <v>143.6833</v>
      </c>
    </row>
    <row r="3488">
      <c r="A3488" s="1" t="s">
        <v>3487</v>
      </c>
      <c r="D3488" s="3">
        <f>IFERROR(__xludf.DUMMYFUNCTION("SPLIT(A3488, ""|"")"),42949.0)</f>
        <v>42949</v>
      </c>
      <c r="E3488" s="2">
        <f>IFERROR(__xludf.DUMMYFUNCTION("""COMPUTED_VALUE"""),1175373.0)</f>
        <v>1175373</v>
      </c>
      <c r="F3488" s="2">
        <f>IFERROR(__xludf.DUMMYFUNCTION("""COMPUTED_VALUE"""),3689369.0)</f>
        <v>3689369</v>
      </c>
      <c r="G3488" s="2">
        <f>IFERROR(__xludf.DUMMYFUNCTION("""COMPUTED_VALUE"""),83.861)</f>
        <v>83.861</v>
      </c>
    </row>
    <row r="3489">
      <c r="A3489" s="1" t="s">
        <v>3488</v>
      </c>
      <c r="D3489" s="3">
        <f>IFERROR(__xludf.DUMMYFUNCTION("SPLIT(A3489, ""|"")"),42985.0)</f>
        <v>42985</v>
      </c>
      <c r="E3489" s="2">
        <f>IFERROR(__xludf.DUMMYFUNCTION("""COMPUTED_VALUE"""),417363.0)</f>
        <v>417363</v>
      </c>
      <c r="F3489" s="2">
        <f>IFERROR(__xludf.DUMMYFUNCTION("""COMPUTED_VALUE"""),3774745.0)</f>
        <v>3774745</v>
      </c>
      <c r="G3489" s="2">
        <f>IFERROR(__xludf.DUMMYFUNCTION("""COMPUTED_VALUE"""),70.7465)</f>
        <v>70.7465</v>
      </c>
    </row>
    <row r="3490">
      <c r="A3490" s="1" t="s">
        <v>3489</v>
      </c>
      <c r="D3490" s="3">
        <f>IFERROR(__xludf.DUMMYFUNCTION("SPLIT(A3490, ""|"")"),43241.0)</f>
        <v>43241</v>
      </c>
      <c r="E3490" s="2">
        <f>IFERROR(__xludf.DUMMYFUNCTION("""COMPUTED_VALUE"""),417363.0)</f>
        <v>417363</v>
      </c>
      <c r="F3490" s="2">
        <f>IFERROR(__xludf.DUMMYFUNCTION("""COMPUTED_VALUE"""),4484403.0)</f>
        <v>4484403</v>
      </c>
      <c r="G3490" s="2">
        <f>IFERROR(__xludf.DUMMYFUNCTION("""COMPUTED_VALUE"""),69.1297)</f>
        <v>69.1297</v>
      </c>
    </row>
    <row r="3491">
      <c r="A3491" s="1" t="s">
        <v>3490</v>
      </c>
      <c r="D3491" s="3">
        <f>IFERROR(__xludf.DUMMYFUNCTION("SPLIT(A3491, ""|"")"),43247.0)</f>
        <v>43247</v>
      </c>
      <c r="E3491" s="2">
        <f>IFERROR(__xludf.DUMMYFUNCTION("""COMPUTED_VALUE"""),417363.0)</f>
        <v>417363</v>
      </c>
      <c r="F3491" s="2">
        <f>IFERROR(__xludf.DUMMYFUNCTION("""COMPUTED_VALUE"""),4497369.0)</f>
        <v>4497369</v>
      </c>
      <c r="G3491" s="2">
        <f>IFERROR(__xludf.DUMMYFUNCTION("""COMPUTED_VALUE"""),71.296)</f>
        <v>71.296</v>
      </c>
    </row>
    <row r="3492">
      <c r="A3492" s="1" t="s">
        <v>3491</v>
      </c>
      <c r="D3492" s="3">
        <f>IFERROR(__xludf.DUMMYFUNCTION("SPLIT(A3492, ""|"")"),42994.0)</f>
        <v>42994</v>
      </c>
      <c r="E3492" s="2">
        <f>IFERROR(__xludf.DUMMYFUNCTION("""COMPUTED_VALUE"""),417363.0)</f>
        <v>417363</v>
      </c>
      <c r="F3492" s="2">
        <f>IFERROR(__xludf.DUMMYFUNCTION("""COMPUTED_VALUE"""),3796257.0)</f>
        <v>3796257</v>
      </c>
      <c r="G3492" s="2">
        <f>IFERROR(__xludf.DUMMYFUNCTION("""COMPUTED_VALUE"""),72.5172999999999)</f>
        <v>72.5173</v>
      </c>
    </row>
    <row r="3493">
      <c r="A3493" s="1" t="s">
        <v>3492</v>
      </c>
      <c r="D3493" s="3">
        <f>IFERROR(__xludf.DUMMYFUNCTION("SPLIT(A3493, ""|"")"),43006.0)</f>
        <v>43006</v>
      </c>
      <c r="E3493" s="2">
        <f>IFERROR(__xludf.DUMMYFUNCTION("""COMPUTED_VALUE"""),417363.0)</f>
        <v>417363</v>
      </c>
      <c r="F3493" s="2">
        <f>IFERROR(__xludf.DUMMYFUNCTION("""COMPUTED_VALUE"""),3824969.0)</f>
        <v>3824969</v>
      </c>
      <c r="G3493" s="2">
        <f>IFERROR(__xludf.DUMMYFUNCTION("""COMPUTED_VALUE"""),57.0291)</f>
        <v>57.0291</v>
      </c>
    </row>
    <row r="3494">
      <c r="A3494" s="1" t="s">
        <v>3493</v>
      </c>
      <c r="D3494" s="3">
        <f>IFERROR(__xludf.DUMMYFUNCTION("SPLIT(A3494, ""|"")"),43008.0)</f>
        <v>43008</v>
      </c>
      <c r="E3494" s="2">
        <f>IFERROR(__xludf.DUMMYFUNCTION("""COMPUTED_VALUE"""),417363.0)</f>
        <v>417363</v>
      </c>
      <c r="F3494" s="2">
        <f>IFERROR(__xludf.DUMMYFUNCTION("""COMPUTED_VALUE"""),3828355.0)</f>
        <v>3828355</v>
      </c>
      <c r="G3494" s="2">
        <f>IFERROR(__xludf.DUMMYFUNCTION("""COMPUTED_VALUE"""),71.2307999999999)</f>
        <v>71.2308</v>
      </c>
    </row>
    <row r="3495">
      <c r="A3495" s="1" t="s">
        <v>3494</v>
      </c>
      <c r="D3495" s="3">
        <f>IFERROR(__xludf.DUMMYFUNCTION("SPLIT(A3495, ""|"")"),43269.0)</f>
        <v>43269</v>
      </c>
      <c r="E3495" s="2">
        <f>IFERROR(__xludf.DUMMYFUNCTION("""COMPUTED_VALUE"""),417363.0)</f>
        <v>417363</v>
      </c>
      <c r="F3495" s="2">
        <f>IFERROR(__xludf.DUMMYFUNCTION("""COMPUTED_VALUE"""),4547619.0)</f>
        <v>4547619</v>
      </c>
      <c r="G3495" s="2">
        <f>IFERROR(__xludf.DUMMYFUNCTION("""COMPUTED_VALUE"""),94.4086)</f>
        <v>94.4086</v>
      </c>
    </row>
    <row r="3496">
      <c r="A3496" s="1" t="s">
        <v>3495</v>
      </c>
      <c r="D3496" s="3">
        <f>IFERROR(__xludf.DUMMYFUNCTION("SPLIT(A3496, ""|"")"),43271.0)</f>
        <v>43271</v>
      </c>
      <c r="E3496" s="2">
        <f>IFERROR(__xludf.DUMMYFUNCTION("""COMPUTED_VALUE"""),417363.0)</f>
        <v>417363</v>
      </c>
      <c r="F3496" s="2">
        <f>IFERROR(__xludf.DUMMYFUNCTION("""COMPUTED_VALUE"""),4552203.0)</f>
        <v>4552203</v>
      </c>
      <c r="G3496" s="2">
        <f>IFERROR(__xludf.DUMMYFUNCTION("""COMPUTED_VALUE"""),63.8643999999999)</f>
        <v>63.8644</v>
      </c>
    </row>
    <row r="3497">
      <c r="A3497" s="1" t="s">
        <v>3496</v>
      </c>
      <c r="D3497" s="3">
        <f>IFERROR(__xludf.DUMMYFUNCTION("SPLIT(A3497, ""|"")"),43016.0)</f>
        <v>43016</v>
      </c>
      <c r="E3497" s="2">
        <f>IFERROR(__xludf.DUMMYFUNCTION("""COMPUTED_VALUE"""),417363.0)</f>
        <v>417363</v>
      </c>
      <c r="F3497" s="2">
        <f>IFERROR(__xludf.DUMMYFUNCTION("""COMPUTED_VALUE"""),3851144.0)</f>
        <v>3851144</v>
      </c>
      <c r="G3497" s="2">
        <f>IFERROR(__xludf.DUMMYFUNCTION("""COMPUTED_VALUE"""),73.9998999999999)</f>
        <v>73.9999</v>
      </c>
    </row>
    <row r="3498">
      <c r="A3498" s="1" t="s">
        <v>3497</v>
      </c>
      <c r="D3498" s="3">
        <f>IFERROR(__xludf.DUMMYFUNCTION("SPLIT(A3498, ""|"")"),43028.0)</f>
        <v>43028</v>
      </c>
      <c r="E3498" s="2">
        <f>IFERROR(__xludf.DUMMYFUNCTION("""COMPUTED_VALUE"""),417363.0)</f>
        <v>417363</v>
      </c>
      <c r="F3498" s="2">
        <f>IFERROR(__xludf.DUMMYFUNCTION("""COMPUTED_VALUE"""),3879235.0)</f>
        <v>3879235</v>
      </c>
      <c r="G3498" s="2">
        <f>IFERROR(__xludf.DUMMYFUNCTION("""COMPUTED_VALUE"""),69.94)</f>
        <v>69.94</v>
      </c>
    </row>
    <row r="3499">
      <c r="A3499" s="1" t="s">
        <v>3498</v>
      </c>
      <c r="D3499" s="3">
        <f>IFERROR(__xludf.DUMMYFUNCTION("SPLIT(A3499, ""|"")"),43036.0)</f>
        <v>43036</v>
      </c>
      <c r="E3499" s="2">
        <f>IFERROR(__xludf.DUMMYFUNCTION("""COMPUTED_VALUE"""),417363.0)</f>
        <v>417363</v>
      </c>
      <c r="F3499" s="2">
        <f>IFERROR(__xludf.DUMMYFUNCTION("""COMPUTED_VALUE"""),3898680.0)</f>
        <v>3898680</v>
      </c>
      <c r="G3499" s="2">
        <f>IFERROR(__xludf.DUMMYFUNCTION("""COMPUTED_VALUE"""),73.126)</f>
        <v>73.126</v>
      </c>
    </row>
    <row r="3500">
      <c r="A3500" s="1" t="s">
        <v>3499</v>
      </c>
      <c r="D3500" s="3">
        <f>IFERROR(__xludf.DUMMYFUNCTION("SPLIT(A3500, ""|"")"),43292.0)</f>
        <v>43292</v>
      </c>
      <c r="E3500" s="2">
        <f>IFERROR(__xludf.DUMMYFUNCTION("""COMPUTED_VALUE"""),417363.0)</f>
        <v>417363</v>
      </c>
      <c r="F3500" s="2">
        <f>IFERROR(__xludf.DUMMYFUNCTION("""COMPUTED_VALUE"""),4604703.0)</f>
        <v>4604703</v>
      </c>
      <c r="G3500" s="2">
        <f>IFERROR(__xludf.DUMMYFUNCTION("""COMPUTED_VALUE"""),67.581)</f>
        <v>67.581</v>
      </c>
    </row>
    <row r="3501">
      <c r="A3501" s="1" t="s">
        <v>3500</v>
      </c>
      <c r="D3501" s="3">
        <f>IFERROR(__xludf.DUMMYFUNCTION("SPLIT(A3501, ""|"")"),43302.0)</f>
        <v>43302</v>
      </c>
      <c r="E3501" s="2">
        <f>IFERROR(__xludf.DUMMYFUNCTION("""COMPUTED_VALUE"""),417363.0)</f>
        <v>417363</v>
      </c>
      <c r="F3501" s="2">
        <f>IFERROR(__xludf.DUMMYFUNCTION("""COMPUTED_VALUE"""),4624210.0)</f>
        <v>4624210</v>
      </c>
      <c r="G3501" s="2">
        <f>IFERROR(__xludf.DUMMYFUNCTION("""COMPUTED_VALUE"""),65.3117)</f>
        <v>65.3117</v>
      </c>
    </row>
    <row r="3502">
      <c r="A3502" s="1" t="s">
        <v>3501</v>
      </c>
      <c r="D3502" s="3">
        <f>IFERROR(__xludf.DUMMYFUNCTION("SPLIT(A3502, ""|"")"),43305.0)</f>
        <v>43305</v>
      </c>
      <c r="E3502" s="2">
        <f>IFERROR(__xludf.DUMMYFUNCTION("""COMPUTED_VALUE"""),417363.0)</f>
        <v>417363</v>
      </c>
      <c r="F3502" s="2">
        <f>IFERROR(__xludf.DUMMYFUNCTION("""COMPUTED_VALUE"""),4632685.0)</f>
        <v>4632685</v>
      </c>
      <c r="G3502" s="2">
        <f>IFERROR(__xludf.DUMMYFUNCTION("""COMPUTED_VALUE"""),71.9111)</f>
        <v>71.9111</v>
      </c>
    </row>
    <row r="3503">
      <c r="A3503" s="1" t="s">
        <v>3502</v>
      </c>
      <c r="D3503" s="3">
        <f>IFERROR(__xludf.DUMMYFUNCTION("SPLIT(A3503, ""|"")"),43051.0)</f>
        <v>43051</v>
      </c>
      <c r="E3503" s="2">
        <f>IFERROR(__xludf.DUMMYFUNCTION("""COMPUTED_VALUE"""),417363.0)</f>
        <v>417363</v>
      </c>
      <c r="F3503" s="2">
        <f>IFERROR(__xludf.DUMMYFUNCTION("""COMPUTED_VALUE"""),3936874.0)</f>
        <v>3936874</v>
      </c>
      <c r="G3503" s="2">
        <f>IFERROR(__xludf.DUMMYFUNCTION("""COMPUTED_VALUE"""),68.8265)</f>
        <v>68.8265</v>
      </c>
    </row>
    <row r="3504">
      <c r="A3504" s="1" t="s">
        <v>3503</v>
      </c>
      <c r="D3504" s="3">
        <f>IFERROR(__xludf.DUMMYFUNCTION("SPLIT(A3504, ""|"")"),43052.0)</f>
        <v>43052</v>
      </c>
      <c r="E3504" s="2">
        <f>IFERROR(__xludf.DUMMYFUNCTION("""COMPUTED_VALUE"""),417363.0)</f>
        <v>417363</v>
      </c>
      <c r="F3504" s="2">
        <f>IFERROR(__xludf.DUMMYFUNCTION("""COMPUTED_VALUE"""),3939910.0)</f>
        <v>3939910</v>
      </c>
      <c r="G3504" s="2">
        <f>IFERROR(__xludf.DUMMYFUNCTION("""COMPUTED_VALUE"""),50.8135999999999)</f>
        <v>50.8136</v>
      </c>
    </row>
    <row r="3505">
      <c r="A3505" s="1" t="s">
        <v>3504</v>
      </c>
      <c r="D3505" s="3">
        <f>IFERROR(__xludf.DUMMYFUNCTION("SPLIT(A3505, ""|"")"),43058.0)</f>
        <v>43058</v>
      </c>
      <c r="E3505" s="2">
        <f>IFERROR(__xludf.DUMMYFUNCTION("""COMPUTED_VALUE"""),417363.0)</f>
        <v>417363</v>
      </c>
      <c r="F3505" s="2">
        <f>IFERROR(__xludf.DUMMYFUNCTION("""COMPUTED_VALUE"""),3956029.0)</f>
        <v>3956029</v>
      </c>
      <c r="G3505" s="2">
        <f>IFERROR(__xludf.DUMMYFUNCTION("""COMPUTED_VALUE"""),71.3318)</f>
        <v>71.3318</v>
      </c>
    </row>
    <row r="3506">
      <c r="A3506" s="1" t="s">
        <v>3505</v>
      </c>
      <c r="D3506" s="3">
        <f>IFERROR(__xludf.DUMMYFUNCTION("SPLIT(A3506, ""|"")"),43320.0)</f>
        <v>43320</v>
      </c>
      <c r="E3506" s="2">
        <f>IFERROR(__xludf.DUMMYFUNCTION("""COMPUTED_VALUE"""),417363.0)</f>
        <v>417363</v>
      </c>
      <c r="F3506" s="2">
        <f>IFERROR(__xludf.DUMMYFUNCTION("""COMPUTED_VALUE"""),4670665.0)</f>
        <v>4670665</v>
      </c>
      <c r="G3506" s="2">
        <f>IFERROR(__xludf.DUMMYFUNCTION("""COMPUTED_VALUE"""),67.6104999999999)</f>
        <v>67.6105</v>
      </c>
    </row>
    <row r="3507">
      <c r="A3507" s="1" t="s">
        <v>3506</v>
      </c>
      <c r="D3507" s="3">
        <f>IFERROR(__xludf.DUMMYFUNCTION("SPLIT(A3507, ""|"")"),43086.0)</f>
        <v>43086</v>
      </c>
      <c r="E3507" s="2">
        <f>IFERROR(__xludf.DUMMYFUNCTION("""COMPUTED_VALUE"""),417363.0)</f>
        <v>417363</v>
      </c>
      <c r="F3507" s="2">
        <f>IFERROR(__xludf.DUMMYFUNCTION("""COMPUTED_VALUE"""),4051694.0)</f>
        <v>4051694</v>
      </c>
      <c r="G3507" s="2">
        <f>IFERROR(__xludf.DUMMYFUNCTION("""COMPUTED_VALUE"""),72.9901)</f>
        <v>72.9901</v>
      </c>
    </row>
    <row r="3508">
      <c r="A3508" s="1" t="s">
        <v>3507</v>
      </c>
      <c r="D3508" s="3">
        <f>IFERROR(__xludf.DUMMYFUNCTION("SPLIT(A3508, ""|"")"),43349.0)</f>
        <v>43349</v>
      </c>
      <c r="E3508" s="2">
        <f>IFERROR(__xludf.DUMMYFUNCTION("""COMPUTED_VALUE"""),417363.0)</f>
        <v>417363</v>
      </c>
      <c r="F3508" s="2">
        <f>IFERROR(__xludf.DUMMYFUNCTION("""COMPUTED_VALUE"""),4738832.0)</f>
        <v>4738832</v>
      </c>
      <c r="G3508" s="2">
        <f>IFERROR(__xludf.DUMMYFUNCTION("""COMPUTED_VALUE"""),70.7565999999999)</f>
        <v>70.7566</v>
      </c>
    </row>
    <row r="3509">
      <c r="A3509" s="1" t="s">
        <v>3508</v>
      </c>
      <c r="D3509" s="3">
        <f>IFERROR(__xludf.DUMMYFUNCTION("SPLIT(A3509, ""|"")"),43353.0)</f>
        <v>43353</v>
      </c>
      <c r="E3509" s="2">
        <f>IFERROR(__xludf.DUMMYFUNCTION("""COMPUTED_VALUE"""),417363.0)</f>
        <v>417363</v>
      </c>
      <c r="F3509" s="2">
        <f>IFERROR(__xludf.DUMMYFUNCTION("""COMPUTED_VALUE"""),4748500.0)</f>
        <v>4748500</v>
      </c>
      <c r="G3509" s="2">
        <f>IFERROR(__xludf.DUMMYFUNCTION("""COMPUTED_VALUE"""),70.4609)</f>
        <v>70.4609</v>
      </c>
    </row>
    <row r="3510">
      <c r="A3510" s="1" t="s">
        <v>3509</v>
      </c>
      <c r="D3510" s="3">
        <f>IFERROR(__xludf.DUMMYFUNCTION("SPLIT(A3510, ""|"")"),43105.0)</f>
        <v>43105</v>
      </c>
      <c r="E3510" s="2">
        <f>IFERROR(__xludf.DUMMYFUNCTION("""COMPUTED_VALUE"""),417363.0)</f>
        <v>417363</v>
      </c>
      <c r="F3510" s="2">
        <f>IFERROR(__xludf.DUMMYFUNCTION("""COMPUTED_VALUE"""),4097192.0)</f>
        <v>4097192</v>
      </c>
      <c r="G3510" s="2">
        <f>IFERROR(__xludf.DUMMYFUNCTION("""COMPUTED_VALUE"""),73.0399)</f>
        <v>73.0399</v>
      </c>
    </row>
    <row r="3511">
      <c r="A3511" s="1" t="s">
        <v>3510</v>
      </c>
      <c r="D3511" s="3">
        <f>IFERROR(__xludf.DUMMYFUNCTION("SPLIT(A3511, ""|"")"),43118.0)</f>
        <v>43118</v>
      </c>
      <c r="E3511" s="2">
        <f>IFERROR(__xludf.DUMMYFUNCTION("""COMPUTED_VALUE"""),417363.0)</f>
        <v>417363</v>
      </c>
      <c r="F3511" s="2">
        <f>IFERROR(__xludf.DUMMYFUNCTION("""COMPUTED_VALUE"""),4140565.0)</f>
        <v>4140565</v>
      </c>
      <c r="G3511" s="2">
        <f>IFERROR(__xludf.DUMMYFUNCTION("""COMPUTED_VALUE"""),121.275999999999)</f>
        <v>121.276</v>
      </c>
    </row>
    <row r="3512">
      <c r="A3512" s="1" t="s">
        <v>3511</v>
      </c>
      <c r="D3512" s="3">
        <f>IFERROR(__xludf.DUMMYFUNCTION("SPLIT(A3512, ""|"")"),43382.0)</f>
        <v>43382</v>
      </c>
      <c r="E3512" s="2">
        <f>IFERROR(__xludf.DUMMYFUNCTION("""COMPUTED_VALUE"""),417363.0)</f>
        <v>417363</v>
      </c>
      <c r="F3512" s="2">
        <f>IFERROR(__xludf.DUMMYFUNCTION("""COMPUTED_VALUE"""),4831213.0)</f>
        <v>4831213</v>
      </c>
      <c r="G3512" s="2">
        <f>IFERROR(__xludf.DUMMYFUNCTION("""COMPUTED_VALUE"""),65.938)</f>
        <v>65.938</v>
      </c>
    </row>
    <row r="3513">
      <c r="A3513" s="1" t="s">
        <v>3512</v>
      </c>
      <c r="D3513" s="3">
        <f>IFERROR(__xludf.DUMMYFUNCTION("SPLIT(A3513, ""|"")"),43137.0)</f>
        <v>43137</v>
      </c>
      <c r="E3513" s="2">
        <f>IFERROR(__xludf.DUMMYFUNCTION("""COMPUTED_VALUE"""),417363.0)</f>
        <v>417363</v>
      </c>
      <c r="F3513" s="2">
        <f>IFERROR(__xludf.DUMMYFUNCTION("""COMPUTED_VALUE"""),4196582.0)</f>
        <v>4196582</v>
      </c>
      <c r="G3513" s="2">
        <f>IFERROR(__xludf.DUMMYFUNCTION("""COMPUTED_VALUE"""),67.7359)</f>
        <v>67.7359</v>
      </c>
    </row>
    <row r="3514">
      <c r="A3514" s="1" t="s">
        <v>3513</v>
      </c>
      <c r="D3514" s="3">
        <f>IFERROR(__xludf.DUMMYFUNCTION("SPLIT(A3514, ""|"")"),43394.0)</f>
        <v>43394</v>
      </c>
      <c r="E3514" s="2">
        <f>IFERROR(__xludf.DUMMYFUNCTION("""COMPUTED_VALUE"""),417363.0)</f>
        <v>417363</v>
      </c>
      <c r="F3514" s="2">
        <f>IFERROR(__xludf.DUMMYFUNCTION("""COMPUTED_VALUE"""),4864437.0)</f>
        <v>4864437</v>
      </c>
      <c r="G3514" s="2">
        <f>IFERROR(__xludf.DUMMYFUNCTION("""COMPUTED_VALUE"""),69.3319999999999)</f>
        <v>69.332</v>
      </c>
    </row>
    <row r="3515">
      <c r="A3515" s="1" t="s">
        <v>3514</v>
      </c>
      <c r="D3515" s="3">
        <f>IFERROR(__xludf.DUMMYFUNCTION("SPLIT(A3515, ""|"")"),43407.0)</f>
        <v>43407</v>
      </c>
      <c r="E3515" s="2">
        <f>IFERROR(__xludf.DUMMYFUNCTION("""COMPUTED_VALUE"""),417363.0)</f>
        <v>417363</v>
      </c>
      <c r="F3515" s="2">
        <f>IFERROR(__xludf.DUMMYFUNCTION("""COMPUTED_VALUE"""),4972833.0)</f>
        <v>4972833</v>
      </c>
      <c r="G3515" s="2">
        <f>IFERROR(__xludf.DUMMYFUNCTION("""COMPUTED_VALUE"""),65.7184)</f>
        <v>65.7184</v>
      </c>
    </row>
    <row r="3516">
      <c r="A3516" s="1" t="s">
        <v>3515</v>
      </c>
      <c r="D3516" s="3">
        <f>IFERROR(__xludf.DUMMYFUNCTION("SPLIT(A3516, ""|"")"),43409.0)</f>
        <v>43409</v>
      </c>
      <c r="E3516" s="2">
        <f>IFERROR(__xludf.DUMMYFUNCTION("""COMPUTED_VALUE"""),417363.0)</f>
        <v>417363</v>
      </c>
      <c r="F3516" s="2">
        <f>IFERROR(__xludf.DUMMYFUNCTION("""COMPUTED_VALUE"""),5006517.0)</f>
        <v>5006517</v>
      </c>
      <c r="G3516" s="2">
        <f>IFERROR(__xludf.DUMMYFUNCTION("""COMPUTED_VALUE"""),64.2804)</f>
        <v>64.2804</v>
      </c>
    </row>
    <row r="3517">
      <c r="A3517" s="1" t="s">
        <v>3516</v>
      </c>
      <c r="D3517" s="3">
        <f>IFERROR(__xludf.DUMMYFUNCTION("SPLIT(A3517, ""|"")"),43154.0)</f>
        <v>43154</v>
      </c>
      <c r="E3517" s="2">
        <f>IFERROR(__xludf.DUMMYFUNCTION("""COMPUTED_VALUE"""),417363.0)</f>
        <v>417363</v>
      </c>
      <c r="F3517" s="2">
        <f>IFERROR(__xludf.DUMMYFUNCTION("""COMPUTED_VALUE"""),4240277.0)</f>
        <v>4240277</v>
      </c>
      <c r="G3517" s="2">
        <f>IFERROR(__xludf.DUMMYFUNCTION("""COMPUTED_VALUE"""),66.9947)</f>
        <v>66.9947</v>
      </c>
    </row>
    <row r="3518">
      <c r="A3518" s="1" t="s">
        <v>3517</v>
      </c>
      <c r="D3518" s="3">
        <f>IFERROR(__xludf.DUMMYFUNCTION("SPLIT(A3518, ""|"")"),43155.0)</f>
        <v>43155</v>
      </c>
      <c r="E3518" s="2">
        <f>IFERROR(__xludf.DUMMYFUNCTION("""COMPUTED_VALUE"""),417363.0)</f>
        <v>417363</v>
      </c>
      <c r="F3518" s="2">
        <f>IFERROR(__xludf.DUMMYFUNCTION("""COMPUTED_VALUE"""),4243265.0)</f>
        <v>4243265</v>
      </c>
      <c r="G3518" s="2">
        <f>IFERROR(__xludf.DUMMYFUNCTION("""COMPUTED_VALUE"""),74.9134)</f>
        <v>74.9134</v>
      </c>
    </row>
    <row r="3519">
      <c r="A3519" s="1" t="s">
        <v>3518</v>
      </c>
      <c r="D3519" s="3">
        <f>IFERROR(__xludf.DUMMYFUNCTION("SPLIT(A3519, ""|"")"),43411.0)</f>
        <v>43411</v>
      </c>
      <c r="E3519" s="2">
        <f>IFERROR(__xludf.DUMMYFUNCTION("""COMPUTED_VALUE"""),417363.0)</f>
        <v>417363</v>
      </c>
      <c r="F3519" s="2">
        <f>IFERROR(__xludf.DUMMYFUNCTION("""COMPUTED_VALUE"""),5024655.0)</f>
        <v>5024655</v>
      </c>
      <c r="G3519" s="2">
        <f>IFERROR(__xludf.DUMMYFUNCTION("""COMPUTED_VALUE"""),73.1394)</f>
        <v>73.1394</v>
      </c>
    </row>
    <row r="3520">
      <c r="A3520" s="1" t="s">
        <v>3519</v>
      </c>
      <c r="D3520" s="3">
        <f>IFERROR(__xludf.DUMMYFUNCTION("SPLIT(A3520, ""|"")"),43419.0)</f>
        <v>43419</v>
      </c>
      <c r="E3520" s="2">
        <f>IFERROR(__xludf.DUMMYFUNCTION("""COMPUTED_VALUE"""),417363.0)</f>
        <v>417363</v>
      </c>
      <c r="F3520" s="2">
        <f>IFERROR(__xludf.DUMMYFUNCTION("""COMPUTED_VALUE"""),5104788.0)</f>
        <v>5104788</v>
      </c>
      <c r="G3520" s="2">
        <f>IFERROR(__xludf.DUMMYFUNCTION("""COMPUTED_VALUE"""),69.3839)</f>
        <v>69.3839</v>
      </c>
    </row>
    <row r="3521">
      <c r="A3521" s="1" t="s">
        <v>3520</v>
      </c>
      <c r="D3521" s="3">
        <f>IFERROR(__xludf.DUMMYFUNCTION("SPLIT(A3521, ""|"")"),43425.0)</f>
        <v>43425</v>
      </c>
      <c r="E3521" s="2">
        <f>IFERROR(__xludf.DUMMYFUNCTION("""COMPUTED_VALUE"""),417363.0)</f>
        <v>417363</v>
      </c>
      <c r="F3521" s="2">
        <f>IFERROR(__xludf.DUMMYFUNCTION("""COMPUTED_VALUE"""),5170956.0)</f>
        <v>5170956</v>
      </c>
      <c r="G3521" s="2">
        <f>IFERROR(__xludf.DUMMYFUNCTION("""COMPUTED_VALUE"""),70.2244)</f>
        <v>70.2244</v>
      </c>
    </row>
    <row r="3522">
      <c r="A3522" s="1" t="s">
        <v>3521</v>
      </c>
      <c r="D3522" s="3">
        <f>IFERROR(__xludf.DUMMYFUNCTION("SPLIT(A3522, ""|"")"),43426.0)</f>
        <v>43426</v>
      </c>
      <c r="E3522" s="2">
        <f>IFERROR(__xludf.DUMMYFUNCTION("""COMPUTED_VALUE"""),417363.0)</f>
        <v>417363</v>
      </c>
      <c r="F3522" s="2">
        <f>IFERROR(__xludf.DUMMYFUNCTION("""COMPUTED_VALUE"""),5180319.0)</f>
        <v>5180319</v>
      </c>
      <c r="G3522" s="2">
        <f>IFERROR(__xludf.DUMMYFUNCTION("""COMPUTED_VALUE"""),67.8438)</f>
        <v>67.8438</v>
      </c>
    </row>
    <row r="3523">
      <c r="A3523" s="1" t="s">
        <v>3522</v>
      </c>
      <c r="D3523" s="3">
        <f>IFERROR(__xludf.DUMMYFUNCTION("SPLIT(A3523, ""|"")"),43174.0)</f>
        <v>43174</v>
      </c>
      <c r="E3523" s="2">
        <f>IFERROR(__xludf.DUMMYFUNCTION("""COMPUTED_VALUE"""),417363.0)</f>
        <v>417363</v>
      </c>
      <c r="F3523" s="2">
        <f>IFERROR(__xludf.DUMMYFUNCTION("""COMPUTED_VALUE"""),4301393.0)</f>
        <v>4301393</v>
      </c>
      <c r="G3523" s="2">
        <f>IFERROR(__xludf.DUMMYFUNCTION("""COMPUTED_VALUE"""),103.89)</f>
        <v>103.89</v>
      </c>
    </row>
    <row r="3524">
      <c r="A3524" s="1" t="s">
        <v>3523</v>
      </c>
      <c r="D3524" s="3">
        <f>IFERROR(__xludf.DUMMYFUNCTION("SPLIT(A3524, ""|"")"),43178.0)</f>
        <v>43178</v>
      </c>
      <c r="E3524" s="2">
        <f>IFERROR(__xludf.DUMMYFUNCTION("""COMPUTED_VALUE"""),417363.0)</f>
        <v>417363</v>
      </c>
      <c r="F3524" s="2">
        <f>IFERROR(__xludf.DUMMYFUNCTION("""COMPUTED_VALUE"""),4313694.0)</f>
        <v>4313694</v>
      </c>
      <c r="G3524" s="2">
        <f>IFERROR(__xludf.DUMMYFUNCTION("""COMPUTED_VALUE"""),76.5332999999999)</f>
        <v>76.5333</v>
      </c>
    </row>
    <row r="3525">
      <c r="A3525" s="1" t="s">
        <v>3524</v>
      </c>
      <c r="D3525" s="3">
        <f>IFERROR(__xludf.DUMMYFUNCTION("SPLIT(A3525, ""|"")"),43441.0)</f>
        <v>43441</v>
      </c>
      <c r="E3525" s="2">
        <f>IFERROR(__xludf.DUMMYFUNCTION("""COMPUTED_VALUE"""),417363.0)</f>
        <v>417363</v>
      </c>
      <c r="F3525" s="2">
        <f>IFERROR(__xludf.DUMMYFUNCTION("""COMPUTED_VALUE"""),5288973.0)</f>
        <v>5288973</v>
      </c>
      <c r="G3525" s="2">
        <f>IFERROR(__xludf.DUMMYFUNCTION("""COMPUTED_VALUE"""),71.8682)</f>
        <v>71.8682</v>
      </c>
    </row>
    <row r="3526">
      <c r="A3526" s="1" t="s">
        <v>3525</v>
      </c>
      <c r="D3526" s="3">
        <f>IFERROR(__xludf.DUMMYFUNCTION("SPLIT(A3526, ""|"")"),43442.0)</f>
        <v>43442</v>
      </c>
      <c r="E3526" s="2">
        <f>IFERROR(__xludf.DUMMYFUNCTION("""COMPUTED_VALUE"""),417363.0)</f>
        <v>417363</v>
      </c>
      <c r="F3526" s="2">
        <f>IFERROR(__xludf.DUMMYFUNCTION("""COMPUTED_VALUE"""),5291885.0)</f>
        <v>5291885</v>
      </c>
      <c r="G3526" s="2">
        <f>IFERROR(__xludf.DUMMYFUNCTION("""COMPUTED_VALUE"""),67.8769)</f>
        <v>67.8769</v>
      </c>
    </row>
    <row r="3527">
      <c r="A3527" s="1" t="s">
        <v>3526</v>
      </c>
      <c r="D3527" s="3">
        <f>IFERROR(__xludf.DUMMYFUNCTION("SPLIT(A3527, ""|"")"),43443.0)</f>
        <v>43443</v>
      </c>
      <c r="E3527" s="2">
        <f>IFERROR(__xludf.DUMMYFUNCTION("""COMPUTED_VALUE"""),417363.0)</f>
        <v>417363</v>
      </c>
      <c r="F3527" s="2">
        <f>IFERROR(__xludf.DUMMYFUNCTION("""COMPUTED_VALUE"""),5294840.0)</f>
        <v>5294840</v>
      </c>
      <c r="G3527" s="2">
        <f>IFERROR(__xludf.DUMMYFUNCTION("""COMPUTED_VALUE"""),67.2851)</f>
        <v>67.2851</v>
      </c>
    </row>
    <row r="3528">
      <c r="A3528" s="1" t="s">
        <v>3527</v>
      </c>
      <c r="D3528" s="3">
        <f>IFERROR(__xludf.DUMMYFUNCTION("SPLIT(A3528, ""|"")"),43189.0)</f>
        <v>43189</v>
      </c>
      <c r="E3528" s="2">
        <f>IFERROR(__xludf.DUMMYFUNCTION("""COMPUTED_VALUE"""),417363.0)</f>
        <v>417363</v>
      </c>
      <c r="F3528" s="2">
        <f>IFERROR(__xludf.DUMMYFUNCTION("""COMPUTED_VALUE"""),4342660.0)</f>
        <v>4342660</v>
      </c>
      <c r="G3528" s="2">
        <f>IFERROR(__xludf.DUMMYFUNCTION("""COMPUTED_VALUE"""),75.8679999999999)</f>
        <v>75.868</v>
      </c>
    </row>
    <row r="3529">
      <c r="A3529" s="1" t="s">
        <v>3528</v>
      </c>
      <c r="D3529" s="3">
        <f>IFERROR(__xludf.DUMMYFUNCTION("SPLIT(A3529, ""|"")"),42937.0)</f>
        <v>42937</v>
      </c>
      <c r="E3529" s="2">
        <f>IFERROR(__xludf.DUMMYFUNCTION("""COMPUTED_VALUE"""),417363.0)</f>
        <v>417363</v>
      </c>
      <c r="F3529" s="2">
        <f>IFERROR(__xludf.DUMMYFUNCTION("""COMPUTED_VALUE"""),3661709.0)</f>
        <v>3661709</v>
      </c>
      <c r="G3529" s="2">
        <f>IFERROR(__xludf.DUMMYFUNCTION("""COMPUTED_VALUE"""),69.2727999999999)</f>
        <v>69.2728</v>
      </c>
    </row>
    <row r="3530">
      <c r="A3530" s="1" t="s">
        <v>3529</v>
      </c>
      <c r="D3530" s="3">
        <f>IFERROR(__xludf.DUMMYFUNCTION("SPLIT(A3530, ""|"")"),43450.0)</f>
        <v>43450</v>
      </c>
      <c r="E3530" s="2">
        <f>IFERROR(__xludf.DUMMYFUNCTION("""COMPUTED_VALUE"""),417363.0)</f>
        <v>417363</v>
      </c>
      <c r="F3530" s="2">
        <f>IFERROR(__xludf.DUMMYFUNCTION("""COMPUTED_VALUE"""),5324312.0)</f>
        <v>5324312</v>
      </c>
      <c r="G3530" s="2">
        <f>IFERROR(__xludf.DUMMYFUNCTION("""COMPUTED_VALUE"""),65.6477)</f>
        <v>65.6477</v>
      </c>
    </row>
    <row r="3531">
      <c r="A3531" s="1" t="s">
        <v>3530</v>
      </c>
      <c r="D3531" s="3">
        <f>IFERROR(__xludf.DUMMYFUNCTION("SPLIT(A3531, ""|"")"),43201.0)</f>
        <v>43201</v>
      </c>
      <c r="E3531" s="2">
        <f>IFERROR(__xludf.DUMMYFUNCTION("""COMPUTED_VALUE"""),417363.0)</f>
        <v>417363</v>
      </c>
      <c r="F3531" s="2">
        <f>IFERROR(__xludf.DUMMYFUNCTION("""COMPUTED_VALUE"""),4379532.0)</f>
        <v>4379532</v>
      </c>
      <c r="G3531" s="2">
        <f>IFERROR(__xludf.DUMMYFUNCTION("""COMPUTED_VALUE"""),72.4387)</f>
        <v>72.4387</v>
      </c>
    </row>
    <row r="3532">
      <c r="A3532" s="1" t="s">
        <v>3531</v>
      </c>
      <c r="D3532" s="3">
        <f>IFERROR(__xludf.DUMMYFUNCTION("SPLIT(A3532, ""|"")"),43211.0)</f>
        <v>43211</v>
      </c>
      <c r="E3532" s="2">
        <f>IFERROR(__xludf.DUMMYFUNCTION("""COMPUTED_VALUE"""),417363.0)</f>
        <v>417363</v>
      </c>
      <c r="F3532" s="2">
        <f>IFERROR(__xludf.DUMMYFUNCTION("""COMPUTED_VALUE"""),4404400.0)</f>
        <v>4404400</v>
      </c>
      <c r="G3532" s="2">
        <f>IFERROR(__xludf.DUMMYFUNCTION("""COMPUTED_VALUE"""),63.6502)</f>
        <v>63.6502</v>
      </c>
    </row>
    <row r="3533">
      <c r="A3533" s="1" t="s">
        <v>3532</v>
      </c>
      <c r="D3533" s="3">
        <f>IFERROR(__xludf.DUMMYFUNCTION("SPLIT(A3533, ""|"")"),43211.0)</f>
        <v>43211</v>
      </c>
      <c r="E3533" s="2">
        <f>IFERROR(__xludf.DUMMYFUNCTION("""COMPUTED_VALUE"""),417363.0)</f>
        <v>417363</v>
      </c>
      <c r="F3533" s="2">
        <f>IFERROR(__xludf.DUMMYFUNCTION("""COMPUTED_VALUE"""),4404707.0)</f>
        <v>4404707</v>
      </c>
      <c r="G3533" s="2">
        <f>IFERROR(__xludf.DUMMYFUNCTION("""COMPUTED_VALUE"""),67.6328999999999)</f>
        <v>67.6329</v>
      </c>
    </row>
    <row r="3534">
      <c r="A3534" s="1" t="s">
        <v>3533</v>
      </c>
      <c r="D3534" s="3">
        <f>IFERROR(__xludf.DUMMYFUNCTION("SPLIT(A3534, ""|"")"),42959.0)</f>
        <v>42959</v>
      </c>
      <c r="E3534" s="2">
        <f>IFERROR(__xludf.DUMMYFUNCTION("""COMPUTED_VALUE"""),417363.0)</f>
        <v>417363</v>
      </c>
      <c r="F3534" s="2">
        <f>IFERROR(__xludf.DUMMYFUNCTION("""COMPUTED_VALUE"""),3710906.0)</f>
        <v>3710906</v>
      </c>
      <c r="G3534" s="2">
        <f>IFERROR(__xludf.DUMMYFUNCTION("""COMPUTED_VALUE"""),73.7431)</f>
        <v>73.7431</v>
      </c>
    </row>
    <row r="3535">
      <c r="A3535" s="1" t="s">
        <v>3534</v>
      </c>
      <c r="D3535" s="3">
        <f>IFERROR(__xludf.DUMMYFUNCTION("SPLIT(A3535, ""|"")"),43217.0)</f>
        <v>43217</v>
      </c>
      <c r="E3535" s="2">
        <f>IFERROR(__xludf.DUMMYFUNCTION("""COMPUTED_VALUE"""),417363.0)</f>
        <v>417363</v>
      </c>
      <c r="F3535" s="2">
        <f>IFERROR(__xludf.DUMMYFUNCTION("""COMPUTED_VALUE"""),4419805.0)</f>
        <v>4419805</v>
      </c>
      <c r="G3535" s="2">
        <f>IFERROR(__xludf.DUMMYFUNCTION("""COMPUTED_VALUE"""),72.9523999999999)</f>
        <v>72.9524</v>
      </c>
    </row>
    <row r="3536">
      <c r="A3536" s="1" t="s">
        <v>3535</v>
      </c>
      <c r="D3536" s="3">
        <f>IFERROR(__xludf.DUMMYFUNCTION("SPLIT(A3536, ""|"")"),42964.0)</f>
        <v>42964</v>
      </c>
      <c r="E3536" s="2">
        <f>IFERROR(__xludf.DUMMYFUNCTION("""COMPUTED_VALUE"""),417363.0)</f>
        <v>417363</v>
      </c>
      <c r="F3536" s="2">
        <f>IFERROR(__xludf.DUMMYFUNCTION("""COMPUTED_VALUE"""),3720817.0)</f>
        <v>3720817</v>
      </c>
      <c r="G3536" s="2">
        <f>IFERROR(__xludf.DUMMYFUNCTION("""COMPUTED_VALUE"""),68.3326)</f>
        <v>68.3326</v>
      </c>
    </row>
    <row r="3537">
      <c r="A3537" s="1" t="s">
        <v>3536</v>
      </c>
      <c r="D3537" s="3">
        <f>IFERROR(__xludf.DUMMYFUNCTION("SPLIT(A3537, ""|"")"),42969.0)</f>
        <v>42969</v>
      </c>
      <c r="E3537" s="2">
        <f>IFERROR(__xludf.DUMMYFUNCTION("""COMPUTED_VALUE"""),417363.0)</f>
        <v>417363</v>
      </c>
      <c r="F3537" s="2">
        <f>IFERROR(__xludf.DUMMYFUNCTION("""COMPUTED_VALUE"""),3731471.0)</f>
        <v>3731471</v>
      </c>
      <c r="G3537" s="2">
        <f>IFERROR(__xludf.DUMMYFUNCTION("""COMPUTED_VALUE"""),71.2641)</f>
        <v>71.2641</v>
      </c>
    </row>
    <row r="3538">
      <c r="A3538" s="1" t="s">
        <v>3537</v>
      </c>
      <c r="D3538" s="3">
        <f>IFERROR(__xludf.DUMMYFUNCTION("SPLIT(A3538, ""|"")"),42971.0)</f>
        <v>42971</v>
      </c>
      <c r="E3538" s="2">
        <f>IFERROR(__xludf.DUMMYFUNCTION("""COMPUTED_VALUE"""),417363.0)</f>
        <v>417363</v>
      </c>
      <c r="F3538" s="2">
        <f>IFERROR(__xludf.DUMMYFUNCTION("""COMPUTED_VALUE"""),3736468.0)</f>
        <v>3736468</v>
      </c>
      <c r="G3538" s="2">
        <f>IFERROR(__xludf.DUMMYFUNCTION("""COMPUTED_VALUE"""),70.1422999999999)</f>
        <v>70.1423</v>
      </c>
    </row>
    <row r="3539">
      <c r="A3539" s="1" t="s">
        <v>3538</v>
      </c>
      <c r="D3539" s="3">
        <f>IFERROR(__xludf.DUMMYFUNCTION("SPLIT(A3539, ""|"")"),42973.0)</f>
        <v>42973</v>
      </c>
      <c r="E3539" s="2">
        <f>IFERROR(__xludf.DUMMYFUNCTION("""COMPUTED_VALUE"""),417363.0)</f>
        <v>417363</v>
      </c>
      <c r="F3539" s="2">
        <f>IFERROR(__xludf.DUMMYFUNCTION("""COMPUTED_VALUE"""),3741089.0)</f>
        <v>3741089</v>
      </c>
      <c r="G3539" s="2">
        <f>IFERROR(__xludf.DUMMYFUNCTION("""COMPUTED_VALUE"""),236.6944)</f>
        <v>236.6944</v>
      </c>
    </row>
    <row r="3540">
      <c r="A3540" s="1" t="s">
        <v>3539</v>
      </c>
      <c r="D3540" s="3">
        <f>IFERROR(__xludf.DUMMYFUNCTION("SPLIT(A3540, ""|"")"),43230.0)</f>
        <v>43230</v>
      </c>
      <c r="E3540" s="2">
        <f>IFERROR(__xludf.DUMMYFUNCTION("""COMPUTED_VALUE"""),417363.0)</f>
        <v>417363</v>
      </c>
      <c r="F3540" s="2">
        <f>IFERROR(__xludf.DUMMYFUNCTION("""COMPUTED_VALUE"""),4455910.0)</f>
        <v>4455910</v>
      </c>
      <c r="G3540" s="2">
        <f>IFERROR(__xludf.DUMMYFUNCTION("""COMPUTED_VALUE"""),79.5905999999999)</f>
        <v>79.5906</v>
      </c>
    </row>
    <row r="3541">
      <c r="A3541" s="1" t="s">
        <v>3540</v>
      </c>
      <c r="D3541" s="3">
        <f>IFERROR(__xludf.DUMMYFUNCTION("SPLIT(A3541, ""|"")"),43230.0)</f>
        <v>43230</v>
      </c>
      <c r="E3541" s="2">
        <f>IFERROR(__xludf.DUMMYFUNCTION("""COMPUTED_VALUE"""),417363.0)</f>
        <v>417363</v>
      </c>
      <c r="F3541" s="2">
        <f>IFERROR(__xludf.DUMMYFUNCTION("""COMPUTED_VALUE"""),4456550.0)</f>
        <v>4456550</v>
      </c>
      <c r="G3541" s="2">
        <f>IFERROR(__xludf.DUMMYFUNCTION("""COMPUTED_VALUE"""),74.6467)</f>
        <v>74.6467</v>
      </c>
    </row>
    <row r="3542">
      <c r="A3542" s="1" t="s">
        <v>3541</v>
      </c>
      <c r="D3542" s="3">
        <f>IFERROR(__xludf.DUMMYFUNCTION("SPLIT(A3542, ""|"")"),42981.0)</f>
        <v>42981</v>
      </c>
      <c r="E3542" s="2">
        <f>IFERROR(__xludf.DUMMYFUNCTION("""COMPUTED_VALUE"""),1186413.0)</f>
        <v>1186413</v>
      </c>
      <c r="F3542" s="2">
        <f>IFERROR(__xludf.DUMMYFUNCTION("""COMPUTED_VALUE"""),3762313.0)</f>
        <v>3762313</v>
      </c>
      <c r="G3542" s="2">
        <f>IFERROR(__xludf.DUMMYFUNCTION("""COMPUTED_VALUE"""),91.2766999999999)</f>
        <v>91.2767</v>
      </c>
    </row>
    <row r="3543">
      <c r="A3543" s="1" t="s">
        <v>3542</v>
      </c>
      <c r="D3543" s="3">
        <f>IFERROR(__xludf.DUMMYFUNCTION("SPLIT(A3543, ""|"")"),43242.0)</f>
        <v>43242</v>
      </c>
      <c r="E3543" s="2">
        <f>IFERROR(__xludf.DUMMYFUNCTION("""COMPUTED_VALUE"""),1186413.0)</f>
        <v>1186413</v>
      </c>
      <c r="F3543" s="2">
        <f>IFERROR(__xludf.DUMMYFUNCTION("""COMPUTED_VALUE"""),4486739.0)</f>
        <v>4486739</v>
      </c>
      <c r="G3543" s="2">
        <f>IFERROR(__xludf.DUMMYFUNCTION("""COMPUTED_VALUE"""),82.5162)</f>
        <v>82.5162</v>
      </c>
    </row>
    <row r="3544">
      <c r="A3544" s="1" t="s">
        <v>3543</v>
      </c>
      <c r="D3544" s="3">
        <f>IFERROR(__xludf.DUMMYFUNCTION("SPLIT(A3544, ""|"")"),43002.0)</f>
        <v>43002</v>
      </c>
      <c r="E3544" s="2">
        <f>IFERROR(__xludf.DUMMYFUNCTION("""COMPUTED_VALUE"""),1186413.0)</f>
        <v>1186413</v>
      </c>
      <c r="F3544" s="2">
        <f>IFERROR(__xludf.DUMMYFUNCTION("""COMPUTED_VALUE"""),3814672.0)</f>
        <v>3814672</v>
      </c>
      <c r="G3544" s="2">
        <f>IFERROR(__xludf.DUMMYFUNCTION("""COMPUTED_VALUE"""),68.9217)</f>
        <v>68.9217</v>
      </c>
    </row>
    <row r="3545">
      <c r="A3545" s="1" t="s">
        <v>3544</v>
      </c>
      <c r="D3545" s="3">
        <f>IFERROR(__xludf.DUMMYFUNCTION("SPLIT(A3545, ""|"")"),43018.0)</f>
        <v>43018</v>
      </c>
      <c r="E3545" s="2">
        <f>IFERROR(__xludf.DUMMYFUNCTION("""COMPUTED_VALUE"""),1186413.0)</f>
        <v>1186413</v>
      </c>
      <c r="F3545" s="2">
        <f>IFERROR(__xludf.DUMMYFUNCTION("""COMPUTED_VALUE"""),3856838.0)</f>
        <v>3856838</v>
      </c>
      <c r="G3545" s="2">
        <f>IFERROR(__xludf.DUMMYFUNCTION("""COMPUTED_VALUE"""),216.6261)</f>
        <v>216.6261</v>
      </c>
    </row>
    <row r="3546">
      <c r="A3546" s="1" t="s">
        <v>3545</v>
      </c>
      <c r="D3546" s="3">
        <f>IFERROR(__xludf.DUMMYFUNCTION("SPLIT(A3546, ""|"")"),43041.0)</f>
        <v>43041</v>
      </c>
      <c r="E3546" s="2">
        <f>IFERROR(__xludf.DUMMYFUNCTION("""COMPUTED_VALUE"""),1186413.0)</f>
        <v>1186413</v>
      </c>
      <c r="F3546" s="2">
        <f>IFERROR(__xludf.DUMMYFUNCTION("""COMPUTED_VALUE"""),3911326.0)</f>
        <v>3911326</v>
      </c>
      <c r="G3546" s="2">
        <f>IFERROR(__xludf.DUMMYFUNCTION("""COMPUTED_VALUE"""),106.8102)</f>
        <v>106.8102</v>
      </c>
    </row>
    <row r="3547">
      <c r="A3547" s="1" t="s">
        <v>3546</v>
      </c>
      <c r="D3547" s="3">
        <f>IFERROR(__xludf.DUMMYFUNCTION("SPLIT(A3547, ""|"")"),43051.0)</f>
        <v>43051</v>
      </c>
      <c r="E3547" s="2">
        <f>IFERROR(__xludf.DUMMYFUNCTION("""COMPUTED_VALUE"""),1186413.0)</f>
        <v>1186413</v>
      </c>
      <c r="F3547" s="2">
        <f>IFERROR(__xludf.DUMMYFUNCTION("""COMPUTED_VALUE"""),3937283.0)</f>
        <v>3937283</v>
      </c>
      <c r="G3547" s="2">
        <f>IFERROR(__xludf.DUMMYFUNCTION("""COMPUTED_VALUE"""),87.6198)</f>
        <v>87.6198</v>
      </c>
    </row>
    <row r="3548">
      <c r="A3548" s="1" t="s">
        <v>3547</v>
      </c>
      <c r="D3548" s="3">
        <f>IFERROR(__xludf.DUMMYFUNCTION("SPLIT(A3548, ""|"")"),43067.0)</f>
        <v>43067</v>
      </c>
      <c r="E3548" s="2">
        <f>IFERROR(__xludf.DUMMYFUNCTION("""COMPUTED_VALUE"""),1186413.0)</f>
        <v>1186413</v>
      </c>
      <c r="F3548" s="2">
        <f>IFERROR(__xludf.DUMMYFUNCTION("""COMPUTED_VALUE"""),3988853.0)</f>
        <v>3988853</v>
      </c>
      <c r="G3548" s="2">
        <f>IFERROR(__xludf.DUMMYFUNCTION("""COMPUTED_VALUE"""),82.5588)</f>
        <v>82.5588</v>
      </c>
    </row>
    <row r="3549">
      <c r="A3549" s="1" t="s">
        <v>3548</v>
      </c>
      <c r="D3549" s="3">
        <f>IFERROR(__xludf.DUMMYFUNCTION("SPLIT(A3549, ""|"")"),43082.0)</f>
        <v>43082</v>
      </c>
      <c r="E3549" s="2">
        <f>IFERROR(__xludf.DUMMYFUNCTION("""COMPUTED_VALUE"""),1186413.0)</f>
        <v>1186413</v>
      </c>
      <c r="F3549" s="2">
        <f>IFERROR(__xludf.DUMMYFUNCTION("""COMPUTED_VALUE"""),4040350.0)</f>
        <v>4040350</v>
      </c>
      <c r="G3549" s="2">
        <f>IFERROR(__xludf.DUMMYFUNCTION("""COMPUTED_VALUE"""),103.8015)</f>
        <v>103.8015</v>
      </c>
    </row>
    <row r="3550">
      <c r="A3550" s="1" t="s">
        <v>3549</v>
      </c>
      <c r="D3550" s="3">
        <f>IFERROR(__xludf.DUMMYFUNCTION("SPLIT(A3550, ""|"")"),43083.0)</f>
        <v>43083</v>
      </c>
      <c r="E3550" s="2">
        <f>IFERROR(__xludf.DUMMYFUNCTION("""COMPUTED_VALUE"""),1186413.0)</f>
        <v>1186413</v>
      </c>
      <c r="F3550" s="2">
        <f>IFERROR(__xludf.DUMMYFUNCTION("""COMPUTED_VALUE"""),4042556.0)</f>
        <v>4042556</v>
      </c>
      <c r="G3550" s="2">
        <f>IFERROR(__xludf.DUMMYFUNCTION("""COMPUTED_VALUE"""),75.8300999999999)</f>
        <v>75.8301</v>
      </c>
    </row>
    <row r="3551">
      <c r="A3551" s="1" t="s">
        <v>3550</v>
      </c>
      <c r="D3551" s="3">
        <f>IFERROR(__xludf.DUMMYFUNCTION("SPLIT(A3551, ""|"")"),43112.0)</f>
        <v>43112</v>
      </c>
      <c r="E3551" s="2">
        <f>IFERROR(__xludf.DUMMYFUNCTION("""COMPUTED_VALUE"""),1186413.0)</f>
        <v>1186413</v>
      </c>
      <c r="F3551" s="2">
        <f>IFERROR(__xludf.DUMMYFUNCTION("""COMPUTED_VALUE"""),4120155.0)</f>
        <v>4120155</v>
      </c>
      <c r="G3551" s="2">
        <f>IFERROR(__xludf.DUMMYFUNCTION("""COMPUTED_VALUE"""),67.9087)</f>
        <v>67.9087</v>
      </c>
    </row>
    <row r="3552">
      <c r="A3552" s="1" t="s">
        <v>3551</v>
      </c>
      <c r="D3552" s="3">
        <f>IFERROR(__xludf.DUMMYFUNCTION("SPLIT(A3552, ""|"")"),43389.0)</f>
        <v>43389</v>
      </c>
      <c r="E3552" s="2">
        <f>IFERROR(__xludf.DUMMYFUNCTION("""COMPUTED_VALUE"""),1186413.0)</f>
        <v>1186413</v>
      </c>
      <c r="F3552" s="2">
        <f>IFERROR(__xludf.DUMMYFUNCTION("""COMPUTED_VALUE"""),4852458.0)</f>
        <v>4852458</v>
      </c>
      <c r="G3552" s="2">
        <f>IFERROR(__xludf.DUMMYFUNCTION("""COMPUTED_VALUE"""),159.8816)</f>
        <v>159.8816</v>
      </c>
    </row>
    <row r="3553">
      <c r="A3553" s="1" t="s">
        <v>3552</v>
      </c>
      <c r="D3553" s="3">
        <f>IFERROR(__xludf.DUMMYFUNCTION("SPLIT(A3553, ""|"")"),43137.0)</f>
        <v>43137</v>
      </c>
      <c r="E3553" s="2">
        <f>IFERROR(__xludf.DUMMYFUNCTION("""COMPUTED_VALUE"""),1186413.0)</f>
        <v>1186413</v>
      </c>
      <c r="F3553" s="2">
        <f>IFERROR(__xludf.DUMMYFUNCTION("""COMPUTED_VALUE"""),4197675.0)</f>
        <v>4197675</v>
      </c>
      <c r="G3553" s="2">
        <f>IFERROR(__xludf.DUMMYFUNCTION("""COMPUTED_VALUE"""),99.0256)</f>
        <v>99.0256</v>
      </c>
    </row>
    <row r="3554">
      <c r="A3554" s="1" t="s">
        <v>3553</v>
      </c>
      <c r="D3554" s="3">
        <f>IFERROR(__xludf.DUMMYFUNCTION("SPLIT(A3554, ""|"")"),43150.0)</f>
        <v>43150</v>
      </c>
      <c r="E3554" s="2">
        <f>IFERROR(__xludf.DUMMYFUNCTION("""COMPUTED_VALUE"""),1186413.0)</f>
        <v>1186413</v>
      </c>
      <c r="F3554" s="2">
        <f>IFERROR(__xludf.DUMMYFUNCTION("""COMPUTED_VALUE"""),4229473.0)</f>
        <v>4229473</v>
      </c>
      <c r="G3554" s="2">
        <f>IFERROR(__xludf.DUMMYFUNCTION("""COMPUTED_VALUE"""),81.8066)</f>
        <v>81.8066</v>
      </c>
    </row>
    <row r="3555">
      <c r="A3555" s="1" t="s">
        <v>3554</v>
      </c>
      <c r="D3555" s="3">
        <f>IFERROR(__xludf.DUMMYFUNCTION("SPLIT(A3555, ""|"")"),43411.0)</f>
        <v>43411</v>
      </c>
      <c r="E3555" s="2">
        <f>IFERROR(__xludf.DUMMYFUNCTION("""COMPUTED_VALUE"""),1186413.0)</f>
        <v>1186413</v>
      </c>
      <c r="F3555" s="2">
        <f>IFERROR(__xludf.DUMMYFUNCTION("""COMPUTED_VALUE"""),5023650.0)</f>
        <v>5023650</v>
      </c>
      <c r="G3555" s="2">
        <f>IFERROR(__xludf.DUMMYFUNCTION("""COMPUTED_VALUE"""),98.3179)</f>
        <v>98.3179</v>
      </c>
    </row>
    <row r="3556">
      <c r="A3556" s="1" t="s">
        <v>3555</v>
      </c>
      <c r="D3556" s="3">
        <f>IFERROR(__xludf.DUMMYFUNCTION("SPLIT(A3556, ""|"")"),43430.0)</f>
        <v>43430</v>
      </c>
      <c r="E3556" s="2">
        <f>IFERROR(__xludf.DUMMYFUNCTION("""COMPUTED_VALUE"""),1186413.0)</f>
        <v>1186413</v>
      </c>
      <c r="F3556" s="2">
        <f>IFERROR(__xludf.DUMMYFUNCTION("""COMPUTED_VALUE"""),5238183.0)</f>
        <v>5238183</v>
      </c>
      <c r="G3556" s="2">
        <f>IFERROR(__xludf.DUMMYFUNCTION("""COMPUTED_VALUE"""),124.94)</f>
        <v>124.94</v>
      </c>
    </row>
    <row r="3557">
      <c r="A3557" s="1" t="s">
        <v>3556</v>
      </c>
      <c r="D3557" s="3">
        <f>IFERROR(__xludf.DUMMYFUNCTION("SPLIT(A3557, ""|"")"),43175.0)</f>
        <v>43175</v>
      </c>
      <c r="E3557" s="2">
        <f>IFERROR(__xludf.DUMMYFUNCTION("""COMPUTED_VALUE"""),1186413.0)</f>
        <v>1186413</v>
      </c>
      <c r="F3557" s="2">
        <f>IFERROR(__xludf.DUMMYFUNCTION("""COMPUTED_VALUE"""),4303321.0)</f>
        <v>4303321</v>
      </c>
      <c r="G3557" s="2">
        <f>IFERROR(__xludf.DUMMYFUNCTION("""COMPUTED_VALUE"""),111.7981)</f>
        <v>111.7981</v>
      </c>
    </row>
    <row r="3558">
      <c r="A3558" s="1" t="s">
        <v>3557</v>
      </c>
      <c r="D3558" s="3">
        <f>IFERROR(__xludf.DUMMYFUNCTION("SPLIT(A3558, ""|"")"),43185.0)</f>
        <v>43185</v>
      </c>
      <c r="E3558" s="2">
        <f>IFERROR(__xludf.DUMMYFUNCTION("""COMPUTED_VALUE"""),1186413.0)</f>
        <v>1186413</v>
      </c>
      <c r="F3558" s="2">
        <f>IFERROR(__xludf.DUMMYFUNCTION("""COMPUTED_VALUE"""),4332007.0)</f>
        <v>4332007</v>
      </c>
      <c r="G3558" s="2">
        <f>IFERROR(__xludf.DUMMYFUNCTION("""COMPUTED_VALUE"""),78.7249)</f>
        <v>78.7249</v>
      </c>
    </row>
    <row r="3559">
      <c r="A3559" s="1" t="s">
        <v>3558</v>
      </c>
      <c r="D3559" s="3">
        <f>IFERROR(__xludf.DUMMYFUNCTION("SPLIT(A3559, ""|"")"),43219.0)</f>
        <v>43219</v>
      </c>
      <c r="E3559" s="2">
        <f>IFERROR(__xludf.DUMMYFUNCTION("""COMPUTED_VALUE"""),1186413.0)</f>
        <v>1186413</v>
      </c>
      <c r="F3559" s="2">
        <f>IFERROR(__xludf.DUMMYFUNCTION("""COMPUTED_VALUE"""),4423373.0)</f>
        <v>4423373</v>
      </c>
      <c r="G3559" s="2">
        <f>IFERROR(__xludf.DUMMYFUNCTION("""COMPUTED_VALUE"""),66.9784)</f>
        <v>66.9784</v>
      </c>
    </row>
    <row r="3560">
      <c r="A3560" s="1" t="s">
        <v>3559</v>
      </c>
      <c r="D3560" s="3">
        <f>IFERROR(__xludf.DUMMYFUNCTION("SPLIT(A3560, ""|"")"),43219.0)</f>
        <v>43219</v>
      </c>
      <c r="E3560" s="2">
        <f>IFERROR(__xludf.DUMMYFUNCTION("""COMPUTED_VALUE"""),1186413.0)</f>
        <v>1186413</v>
      </c>
      <c r="F3560" s="2">
        <f>IFERROR(__xludf.DUMMYFUNCTION("""COMPUTED_VALUE"""),4423972.0)</f>
        <v>4423972</v>
      </c>
      <c r="G3560" s="2">
        <f>IFERROR(__xludf.DUMMYFUNCTION("""COMPUTED_VALUE"""),76.4621)</f>
        <v>76.4621</v>
      </c>
    </row>
    <row r="3561">
      <c r="A3561" s="1" t="s">
        <v>3560</v>
      </c>
      <c r="D3561" s="3">
        <f>IFERROR(__xludf.DUMMYFUNCTION("SPLIT(A3561, ""|"")"),42969.0)</f>
        <v>42969</v>
      </c>
      <c r="E3561" s="2">
        <f>IFERROR(__xludf.DUMMYFUNCTION("""COMPUTED_VALUE"""),1186413.0)</f>
        <v>1186413</v>
      </c>
      <c r="F3561" s="2">
        <f>IFERROR(__xludf.DUMMYFUNCTION("""COMPUTED_VALUE"""),3731728.0)</f>
        <v>3731728</v>
      </c>
      <c r="G3561" s="2">
        <f>IFERROR(__xludf.DUMMYFUNCTION("""COMPUTED_VALUE"""),92.5286)</f>
        <v>92.5286</v>
      </c>
    </row>
    <row r="3562">
      <c r="A3562" s="1" t="s">
        <v>3561</v>
      </c>
      <c r="D3562" s="3">
        <f>IFERROR(__xludf.DUMMYFUNCTION("SPLIT(A3562, ""|"")"),43245.0)</f>
        <v>43245</v>
      </c>
      <c r="E3562" s="2">
        <f>IFERROR(__xludf.DUMMYFUNCTION("""COMPUTED_VALUE"""),422523.0)</f>
        <v>422523</v>
      </c>
      <c r="F3562" s="2">
        <f>IFERROR(__xludf.DUMMYFUNCTION("""COMPUTED_VALUE"""),4492918.0)</f>
        <v>4492918</v>
      </c>
      <c r="G3562" s="2">
        <f>IFERROR(__xludf.DUMMYFUNCTION("""COMPUTED_VALUE"""),87.1445)</f>
        <v>87.1445</v>
      </c>
    </row>
    <row r="3563">
      <c r="A3563" s="1" t="s">
        <v>3562</v>
      </c>
      <c r="D3563" s="3">
        <f>IFERROR(__xludf.DUMMYFUNCTION("SPLIT(A3563, ""|"")"),43263.0)</f>
        <v>43263</v>
      </c>
      <c r="E3563" s="2">
        <f>IFERROR(__xludf.DUMMYFUNCTION("""COMPUTED_VALUE"""),422523.0)</f>
        <v>422523</v>
      </c>
      <c r="F3563" s="2">
        <f>IFERROR(__xludf.DUMMYFUNCTION("""COMPUTED_VALUE"""),4537311.0)</f>
        <v>4537311</v>
      </c>
      <c r="G3563" s="2">
        <f>IFERROR(__xludf.DUMMYFUNCTION("""COMPUTED_VALUE"""),75.1868)</f>
        <v>75.1868</v>
      </c>
    </row>
    <row r="3564">
      <c r="A3564" s="1" t="s">
        <v>3563</v>
      </c>
      <c r="D3564" s="3">
        <f>IFERROR(__xludf.DUMMYFUNCTION("SPLIT(A3564, ""|"")"),43270.0)</f>
        <v>43270</v>
      </c>
      <c r="E3564" s="2">
        <f>IFERROR(__xludf.DUMMYFUNCTION("""COMPUTED_VALUE"""),422523.0)</f>
        <v>422523</v>
      </c>
      <c r="F3564" s="2">
        <f>IFERROR(__xludf.DUMMYFUNCTION("""COMPUTED_VALUE"""),4550697.0)</f>
        <v>4550697</v>
      </c>
      <c r="G3564" s="2">
        <f>IFERROR(__xludf.DUMMYFUNCTION("""COMPUTED_VALUE"""),98.1221)</f>
        <v>98.1221</v>
      </c>
    </row>
    <row r="3565">
      <c r="A3565" s="1" t="s">
        <v>3564</v>
      </c>
      <c r="D3565" s="3">
        <f>IFERROR(__xludf.DUMMYFUNCTION("SPLIT(A3565, ""|"")"),43276.0)</f>
        <v>43276</v>
      </c>
      <c r="E3565" s="2">
        <f>IFERROR(__xludf.DUMMYFUNCTION("""COMPUTED_VALUE"""),422523.0)</f>
        <v>422523</v>
      </c>
      <c r="F3565" s="2">
        <f>IFERROR(__xludf.DUMMYFUNCTION("""COMPUTED_VALUE"""),4562518.0)</f>
        <v>4562518</v>
      </c>
      <c r="G3565" s="2">
        <f>IFERROR(__xludf.DUMMYFUNCTION("""COMPUTED_VALUE"""),93.289)</f>
        <v>93.289</v>
      </c>
    </row>
    <row r="3566">
      <c r="A3566" s="1" t="s">
        <v>3565</v>
      </c>
      <c r="D3566" s="3">
        <f>IFERROR(__xludf.DUMMYFUNCTION("SPLIT(A3566, ""|"")"),43291.0)</f>
        <v>43291</v>
      </c>
      <c r="E3566" s="2">
        <f>IFERROR(__xludf.DUMMYFUNCTION("""COMPUTED_VALUE"""),422523.0)</f>
        <v>422523</v>
      </c>
      <c r="F3566" s="2">
        <f>IFERROR(__xludf.DUMMYFUNCTION("""COMPUTED_VALUE"""),4603651.0)</f>
        <v>4603651</v>
      </c>
      <c r="G3566" s="2">
        <f>IFERROR(__xludf.DUMMYFUNCTION("""COMPUTED_VALUE"""),95.6868)</f>
        <v>95.6868</v>
      </c>
    </row>
    <row r="3567">
      <c r="A3567" s="1" t="s">
        <v>3566</v>
      </c>
      <c r="D3567" s="3">
        <f>IFERROR(__xludf.DUMMYFUNCTION("SPLIT(A3567, ""|"")"),43311.0)</f>
        <v>43311</v>
      </c>
      <c r="E3567" s="2">
        <f>IFERROR(__xludf.DUMMYFUNCTION("""COMPUTED_VALUE"""),422523.0)</f>
        <v>422523</v>
      </c>
      <c r="F3567" s="2">
        <f>IFERROR(__xludf.DUMMYFUNCTION("""COMPUTED_VALUE"""),4647629.0)</f>
        <v>4647629</v>
      </c>
      <c r="G3567" s="2">
        <f>IFERROR(__xludf.DUMMYFUNCTION("""COMPUTED_VALUE"""),120.5072)</f>
        <v>120.5072</v>
      </c>
    </row>
    <row r="3568">
      <c r="A3568" s="1" t="s">
        <v>3567</v>
      </c>
      <c r="D3568" s="3">
        <f>IFERROR(__xludf.DUMMYFUNCTION("SPLIT(A3568, ""|"")"),43324.0)</f>
        <v>43324</v>
      </c>
      <c r="E3568" s="2">
        <f>IFERROR(__xludf.DUMMYFUNCTION("""COMPUTED_VALUE"""),422523.0)</f>
        <v>422523</v>
      </c>
      <c r="F3568" s="2">
        <f>IFERROR(__xludf.DUMMYFUNCTION("""COMPUTED_VALUE"""),4679246.0)</f>
        <v>4679246</v>
      </c>
      <c r="G3568" s="2">
        <f>IFERROR(__xludf.DUMMYFUNCTION("""COMPUTED_VALUE"""),72.6238)</f>
        <v>72.6238</v>
      </c>
    </row>
    <row r="3569">
      <c r="A3569" s="1" t="s">
        <v>3568</v>
      </c>
      <c r="D3569" s="3">
        <f>IFERROR(__xludf.DUMMYFUNCTION("SPLIT(A3569, ""|"")"),43357.0)</f>
        <v>43357</v>
      </c>
      <c r="E3569" s="2">
        <f>IFERROR(__xludf.DUMMYFUNCTION("""COMPUTED_VALUE"""),422523.0)</f>
        <v>422523</v>
      </c>
      <c r="F3569" s="2">
        <f>IFERROR(__xludf.DUMMYFUNCTION("""COMPUTED_VALUE"""),4760895.0)</f>
        <v>4760895</v>
      </c>
      <c r="G3569" s="2">
        <f>IFERROR(__xludf.DUMMYFUNCTION("""COMPUTED_VALUE"""),180.6167)</f>
        <v>180.6167</v>
      </c>
    </row>
    <row r="3570">
      <c r="A3570" s="1" t="s">
        <v>3569</v>
      </c>
      <c r="D3570" s="3">
        <f>IFERROR(__xludf.DUMMYFUNCTION("SPLIT(A3570, ""|"")"),43370.0)</f>
        <v>43370</v>
      </c>
      <c r="E3570" s="2">
        <f>IFERROR(__xludf.DUMMYFUNCTION("""COMPUTED_VALUE"""),422523.0)</f>
        <v>422523</v>
      </c>
      <c r="F3570" s="2">
        <f>IFERROR(__xludf.DUMMYFUNCTION("""COMPUTED_VALUE"""),4795300.0)</f>
        <v>4795300</v>
      </c>
      <c r="G3570" s="2">
        <f>IFERROR(__xludf.DUMMYFUNCTION("""COMPUTED_VALUE"""),114.824099999999)</f>
        <v>114.8241</v>
      </c>
    </row>
    <row r="3571">
      <c r="A3571" s="1" t="s">
        <v>3570</v>
      </c>
      <c r="D3571" s="3">
        <f>IFERROR(__xludf.DUMMYFUNCTION("SPLIT(A3571, ""|"")"),43395.0)</f>
        <v>43395</v>
      </c>
      <c r="E3571" s="2">
        <f>IFERROR(__xludf.DUMMYFUNCTION("""COMPUTED_VALUE"""),422523.0)</f>
        <v>422523</v>
      </c>
      <c r="F3571" s="2">
        <f>IFERROR(__xludf.DUMMYFUNCTION("""COMPUTED_VALUE"""),4869610.0)</f>
        <v>4869610</v>
      </c>
      <c r="G3571" s="2">
        <f>IFERROR(__xludf.DUMMYFUNCTION("""COMPUTED_VALUE"""),74.1725)</f>
        <v>74.1725</v>
      </c>
    </row>
    <row r="3572">
      <c r="A3572" s="1" t="s">
        <v>3571</v>
      </c>
      <c r="D3572" s="3">
        <f>IFERROR(__xludf.DUMMYFUNCTION("SPLIT(A3572, ""|"")"),43149.0)</f>
        <v>43149</v>
      </c>
      <c r="E3572" s="2">
        <f>IFERROR(__xludf.DUMMYFUNCTION("""COMPUTED_VALUE"""),422523.0)</f>
        <v>422523</v>
      </c>
      <c r="F3572" s="2">
        <f>IFERROR(__xludf.DUMMYFUNCTION("""COMPUTED_VALUE"""),4225848.0)</f>
        <v>4225848</v>
      </c>
      <c r="G3572" s="2">
        <f>IFERROR(__xludf.DUMMYFUNCTION("""COMPUTED_VALUE"""),66.8938)</f>
        <v>66.8938</v>
      </c>
    </row>
    <row r="3573">
      <c r="A3573" s="1" t="s">
        <v>3572</v>
      </c>
      <c r="D3573" s="3">
        <f>IFERROR(__xludf.DUMMYFUNCTION("SPLIT(A3573, ""|"")"),43164.0)</f>
        <v>43164</v>
      </c>
      <c r="E3573" s="2">
        <f>IFERROR(__xludf.DUMMYFUNCTION("""COMPUTED_VALUE"""),422523.0)</f>
        <v>422523</v>
      </c>
      <c r="F3573" s="2">
        <f>IFERROR(__xludf.DUMMYFUNCTION("""COMPUTED_VALUE"""),4271257.0)</f>
        <v>4271257</v>
      </c>
      <c r="G3573" s="2">
        <f>IFERROR(__xludf.DUMMYFUNCTION("""COMPUTED_VALUE"""),71.4564)</f>
        <v>71.4564</v>
      </c>
    </row>
    <row r="3574">
      <c r="A3574" s="1" t="s">
        <v>3573</v>
      </c>
      <c r="D3574" s="3">
        <f>IFERROR(__xludf.DUMMYFUNCTION("SPLIT(A3574, ""|"")"),43170.0)</f>
        <v>43170</v>
      </c>
      <c r="E3574" s="2">
        <f>IFERROR(__xludf.DUMMYFUNCTION("""COMPUTED_VALUE"""),422523.0)</f>
        <v>422523</v>
      </c>
      <c r="F3574" s="2">
        <f>IFERROR(__xludf.DUMMYFUNCTION("""COMPUTED_VALUE"""),4288231.0)</f>
        <v>4288231</v>
      </c>
      <c r="G3574" s="2">
        <f>IFERROR(__xludf.DUMMYFUNCTION("""COMPUTED_VALUE"""),78.9009999999999)</f>
        <v>78.901</v>
      </c>
    </row>
    <row r="3575">
      <c r="A3575" s="1" t="s">
        <v>3574</v>
      </c>
      <c r="D3575" s="3">
        <f>IFERROR(__xludf.DUMMYFUNCTION("SPLIT(A3575, ""|"")"),43174.0)</f>
        <v>43174</v>
      </c>
      <c r="E3575" s="2">
        <f>IFERROR(__xludf.DUMMYFUNCTION("""COMPUTED_VALUE"""),422523.0)</f>
        <v>422523</v>
      </c>
      <c r="F3575" s="2">
        <f>IFERROR(__xludf.DUMMYFUNCTION("""COMPUTED_VALUE"""),4301065.0)</f>
        <v>4301065</v>
      </c>
      <c r="G3575" s="2">
        <f>IFERROR(__xludf.DUMMYFUNCTION("""COMPUTED_VALUE"""),80.4897)</f>
        <v>80.4897</v>
      </c>
    </row>
    <row r="3576">
      <c r="A3576" s="1" t="s">
        <v>3575</v>
      </c>
      <c r="D3576" s="3">
        <f>IFERROR(__xludf.DUMMYFUNCTION("SPLIT(A3576, ""|"")"),43438.0)</f>
        <v>43438</v>
      </c>
      <c r="E3576" s="2">
        <f>IFERROR(__xludf.DUMMYFUNCTION("""COMPUTED_VALUE"""),422523.0)</f>
        <v>422523</v>
      </c>
      <c r="F3576" s="2">
        <f>IFERROR(__xludf.DUMMYFUNCTION("""COMPUTED_VALUE"""),5277691.0)</f>
        <v>5277691</v>
      </c>
      <c r="G3576" s="2">
        <f>IFERROR(__xludf.DUMMYFUNCTION("""COMPUTED_VALUE"""),133.705)</f>
        <v>133.705</v>
      </c>
    </row>
    <row r="3577">
      <c r="A3577" s="1" t="s">
        <v>3576</v>
      </c>
      <c r="D3577" s="3">
        <f>IFERROR(__xludf.DUMMYFUNCTION("SPLIT(A3577, ""|"")"),43183.0)</f>
        <v>43183</v>
      </c>
      <c r="E3577" s="2">
        <f>IFERROR(__xludf.DUMMYFUNCTION("""COMPUTED_VALUE"""),422523.0)</f>
        <v>422523</v>
      </c>
      <c r="F3577" s="2">
        <f>IFERROR(__xludf.DUMMYFUNCTION("""COMPUTED_VALUE"""),4326041.0)</f>
        <v>4326041</v>
      </c>
      <c r="G3577" s="2">
        <f>IFERROR(__xludf.DUMMYFUNCTION("""COMPUTED_VALUE"""),68.5836)</f>
        <v>68.5836</v>
      </c>
    </row>
    <row r="3578">
      <c r="A3578" s="1" t="s">
        <v>3577</v>
      </c>
      <c r="D3578" s="3">
        <f>IFERROR(__xludf.DUMMYFUNCTION("SPLIT(A3578, ""|"")"),43187.0)</f>
        <v>43187</v>
      </c>
      <c r="E3578" s="2">
        <f>IFERROR(__xludf.DUMMYFUNCTION("""COMPUTED_VALUE"""),422523.0)</f>
        <v>422523</v>
      </c>
      <c r="F3578" s="2">
        <f>IFERROR(__xludf.DUMMYFUNCTION("""COMPUTED_VALUE"""),4337072.0)</f>
        <v>4337072</v>
      </c>
      <c r="G3578" s="2">
        <f>IFERROR(__xludf.DUMMYFUNCTION("""COMPUTED_VALUE"""),88.7779999999999)</f>
        <v>88.778</v>
      </c>
    </row>
    <row r="3579">
      <c r="A3579" s="1" t="s">
        <v>3578</v>
      </c>
      <c r="D3579" s="3">
        <f>IFERROR(__xludf.DUMMYFUNCTION("SPLIT(A3579, ""|"")"),43187.0)</f>
        <v>43187</v>
      </c>
      <c r="E3579" s="2">
        <f>IFERROR(__xludf.DUMMYFUNCTION("""COMPUTED_VALUE"""),422523.0)</f>
        <v>422523</v>
      </c>
      <c r="F3579" s="2">
        <f>IFERROR(__xludf.DUMMYFUNCTION("""COMPUTED_VALUE"""),4337175.0)</f>
        <v>4337175</v>
      </c>
      <c r="G3579" s="2">
        <f>IFERROR(__xludf.DUMMYFUNCTION("""COMPUTED_VALUE"""),75.4316)</f>
        <v>75.4316</v>
      </c>
    </row>
    <row r="3580">
      <c r="A3580" s="1" t="s">
        <v>3579</v>
      </c>
      <c r="D3580" s="3">
        <f>IFERROR(__xludf.DUMMYFUNCTION("SPLIT(A3580, ""|"")"),43200.0)</f>
        <v>43200</v>
      </c>
      <c r="E3580" s="2">
        <f>IFERROR(__xludf.DUMMYFUNCTION("""COMPUTED_VALUE"""),422523.0)</f>
        <v>422523</v>
      </c>
      <c r="F3580" s="2">
        <f>IFERROR(__xludf.DUMMYFUNCTION("""COMPUTED_VALUE"""),4376418.0)</f>
        <v>4376418</v>
      </c>
      <c r="G3580" s="2">
        <f>IFERROR(__xludf.DUMMYFUNCTION("""COMPUTED_VALUE"""),12.4167)</f>
        <v>12.4167</v>
      </c>
    </row>
    <row r="3581">
      <c r="A3581" s="1" t="s">
        <v>3580</v>
      </c>
      <c r="D3581" s="3">
        <f>IFERROR(__xludf.DUMMYFUNCTION("SPLIT(A3581, ""|"")"),43200.0)</f>
        <v>43200</v>
      </c>
      <c r="E3581" s="2">
        <f>IFERROR(__xludf.DUMMYFUNCTION("""COMPUTED_VALUE"""),422523.0)</f>
        <v>422523</v>
      </c>
      <c r="F3581" s="2">
        <f>IFERROR(__xludf.DUMMYFUNCTION("""COMPUTED_VALUE"""),4376557.0)</f>
        <v>4376557</v>
      </c>
      <c r="G3581" s="2">
        <f>IFERROR(__xludf.DUMMYFUNCTION("""COMPUTED_VALUE"""),72.6839)</f>
        <v>72.6839</v>
      </c>
    </row>
    <row r="3582">
      <c r="A3582" s="1" t="s">
        <v>3581</v>
      </c>
      <c r="D3582" s="3">
        <f>IFERROR(__xludf.DUMMYFUNCTION("SPLIT(A3582, ""|"")"),43210.0)</f>
        <v>43210</v>
      </c>
      <c r="E3582" s="2">
        <f>IFERROR(__xludf.DUMMYFUNCTION("""COMPUTED_VALUE"""),422523.0)</f>
        <v>422523</v>
      </c>
      <c r="F3582" s="2">
        <f>IFERROR(__xludf.DUMMYFUNCTION("""COMPUTED_VALUE"""),4402867.0)</f>
        <v>4402867</v>
      </c>
      <c r="G3582" s="2">
        <f>IFERROR(__xludf.DUMMYFUNCTION("""COMPUTED_VALUE"""),74.1203)</f>
        <v>74.1203</v>
      </c>
    </row>
    <row r="3583">
      <c r="A3583" s="1" t="s">
        <v>3582</v>
      </c>
      <c r="D3583" s="3">
        <f>IFERROR(__xludf.DUMMYFUNCTION("SPLIT(A3583, ""|"")"),43222.0)</f>
        <v>43222</v>
      </c>
      <c r="E3583" s="2">
        <f>IFERROR(__xludf.DUMMYFUNCTION("""COMPUTED_VALUE"""),422523.0)</f>
        <v>422523</v>
      </c>
      <c r="F3583" s="2">
        <f>IFERROR(__xludf.DUMMYFUNCTION("""COMPUTED_VALUE"""),4434950.0)</f>
        <v>4434950</v>
      </c>
      <c r="G3583" s="2">
        <f>IFERROR(__xludf.DUMMYFUNCTION("""COMPUTED_VALUE"""),78.588)</f>
        <v>78.588</v>
      </c>
    </row>
    <row r="3584">
      <c r="A3584" s="1" t="s">
        <v>3583</v>
      </c>
      <c r="D3584" s="3">
        <f>IFERROR(__xludf.DUMMYFUNCTION("SPLIT(A3584, ""|"")"),43229.0)</f>
        <v>43229</v>
      </c>
      <c r="E3584" s="2">
        <f>IFERROR(__xludf.DUMMYFUNCTION("""COMPUTED_VALUE"""),422523.0)</f>
        <v>422523</v>
      </c>
      <c r="F3584" s="2">
        <f>IFERROR(__xludf.DUMMYFUNCTION("""COMPUTED_VALUE"""),4451577.0)</f>
        <v>4451577</v>
      </c>
      <c r="G3584" s="2">
        <f>IFERROR(__xludf.DUMMYFUNCTION("""COMPUTED_VALUE"""),138.5412)</f>
        <v>138.5412</v>
      </c>
    </row>
    <row r="3585">
      <c r="A3585" s="1" t="s">
        <v>3584</v>
      </c>
      <c r="D3585" s="3">
        <f>IFERROR(__xludf.DUMMYFUNCTION("SPLIT(A3585, ""|"")"),42978.0)</f>
        <v>42978</v>
      </c>
      <c r="E3585" s="2">
        <f>IFERROR(__xludf.DUMMYFUNCTION("""COMPUTED_VALUE"""),1230213.0)</f>
        <v>1230213</v>
      </c>
      <c r="F3585" s="2">
        <f>IFERROR(__xludf.DUMMYFUNCTION("""COMPUTED_VALUE"""),3755840.0)</f>
        <v>3755840</v>
      </c>
      <c r="G3585" s="2">
        <f>IFERROR(__xludf.DUMMYFUNCTION("""COMPUTED_VALUE"""),104.4945)</f>
        <v>104.4945</v>
      </c>
    </row>
    <row r="3586">
      <c r="A3586" s="1" t="s">
        <v>3585</v>
      </c>
      <c r="D3586" s="3">
        <f>IFERROR(__xludf.DUMMYFUNCTION("SPLIT(A3586, ""|"")"),43270.0)</f>
        <v>43270</v>
      </c>
      <c r="E3586" s="2">
        <f>IFERROR(__xludf.DUMMYFUNCTION("""COMPUTED_VALUE"""),1230213.0)</f>
        <v>1230213</v>
      </c>
      <c r="F3586" s="2">
        <f>IFERROR(__xludf.DUMMYFUNCTION("""COMPUTED_VALUE"""),4550465.0)</f>
        <v>4550465</v>
      </c>
      <c r="G3586" s="2">
        <f>IFERROR(__xludf.DUMMYFUNCTION("""COMPUTED_VALUE"""),117.975499999999)</f>
        <v>117.9755</v>
      </c>
    </row>
    <row r="3587">
      <c r="A3587" s="1" t="s">
        <v>3586</v>
      </c>
      <c r="D3587" s="3">
        <f>IFERROR(__xludf.DUMMYFUNCTION("SPLIT(A3587, ""|"")"),43016.0)</f>
        <v>43016</v>
      </c>
      <c r="E3587" s="2">
        <f>IFERROR(__xludf.DUMMYFUNCTION("""COMPUTED_VALUE"""),1230213.0)</f>
        <v>1230213</v>
      </c>
      <c r="F3587" s="2">
        <f>IFERROR(__xludf.DUMMYFUNCTION("""COMPUTED_VALUE"""),3852461.0)</f>
        <v>3852461</v>
      </c>
      <c r="G3587" s="2">
        <f>IFERROR(__xludf.DUMMYFUNCTION("""COMPUTED_VALUE"""),92.4136)</f>
        <v>92.4136</v>
      </c>
    </row>
    <row r="3588">
      <c r="A3588" s="1" t="s">
        <v>3587</v>
      </c>
      <c r="D3588" s="3">
        <f>IFERROR(__xludf.DUMMYFUNCTION("SPLIT(A3588, ""|"")"),43037.0)</f>
        <v>43037</v>
      </c>
      <c r="E3588" s="2">
        <f>IFERROR(__xludf.DUMMYFUNCTION("""COMPUTED_VALUE"""),1230213.0)</f>
        <v>1230213</v>
      </c>
      <c r="F3588" s="2">
        <f>IFERROR(__xludf.DUMMYFUNCTION("""COMPUTED_VALUE"""),3899779.0)</f>
        <v>3899779</v>
      </c>
      <c r="G3588" s="2">
        <f>IFERROR(__xludf.DUMMYFUNCTION("""COMPUTED_VALUE"""),87.2911)</f>
        <v>87.2911</v>
      </c>
    </row>
    <row r="3589">
      <c r="A3589" s="1" t="s">
        <v>3588</v>
      </c>
      <c r="D3589" s="3">
        <f>IFERROR(__xludf.DUMMYFUNCTION("SPLIT(A3589, ""|"")"),43054.0)</f>
        <v>43054</v>
      </c>
      <c r="E3589" s="2">
        <f>IFERROR(__xludf.DUMMYFUNCTION("""COMPUTED_VALUE"""),1230213.0)</f>
        <v>1230213</v>
      </c>
      <c r="F3589" s="2">
        <f>IFERROR(__xludf.DUMMYFUNCTION("""COMPUTED_VALUE"""),3947992.0)</f>
        <v>3947992</v>
      </c>
      <c r="G3589" s="2">
        <f>IFERROR(__xludf.DUMMYFUNCTION("""COMPUTED_VALUE"""),110.798599999999)</f>
        <v>110.7986</v>
      </c>
    </row>
    <row r="3590">
      <c r="A3590" s="1" t="s">
        <v>3589</v>
      </c>
      <c r="D3590" s="3">
        <f>IFERROR(__xludf.DUMMYFUNCTION("SPLIT(A3590, ""|"")"),43318.0)</f>
        <v>43318</v>
      </c>
      <c r="E3590" s="2">
        <f>IFERROR(__xludf.DUMMYFUNCTION("""COMPUTED_VALUE"""),1230213.0)</f>
        <v>1230213</v>
      </c>
      <c r="F3590" s="2">
        <f>IFERROR(__xludf.DUMMYFUNCTION("""COMPUTED_VALUE"""),4665690.0)</f>
        <v>4665690</v>
      </c>
      <c r="G3590" s="2">
        <f>IFERROR(__xludf.DUMMYFUNCTION("""COMPUTED_VALUE"""),130.201599999999)</f>
        <v>130.2016</v>
      </c>
    </row>
    <row r="3591">
      <c r="A3591" s="1" t="s">
        <v>3590</v>
      </c>
      <c r="D3591" s="3">
        <f>IFERROR(__xludf.DUMMYFUNCTION("SPLIT(A3591, ""|"")"),43078.0)</f>
        <v>43078</v>
      </c>
      <c r="E3591" s="2">
        <f>IFERROR(__xludf.DUMMYFUNCTION("""COMPUTED_VALUE"""),1230213.0)</f>
        <v>1230213</v>
      </c>
      <c r="F3591" s="2">
        <f>IFERROR(__xludf.DUMMYFUNCTION("""COMPUTED_VALUE"""),4023589.0)</f>
        <v>4023589</v>
      </c>
      <c r="G3591" s="2">
        <f>IFERROR(__xludf.DUMMYFUNCTION("""COMPUTED_VALUE"""),67.2038)</f>
        <v>67.2038</v>
      </c>
    </row>
    <row r="3592">
      <c r="A3592" s="1" t="s">
        <v>3591</v>
      </c>
      <c r="D3592" s="3">
        <f>IFERROR(__xludf.DUMMYFUNCTION("SPLIT(A3592, ""|"")"),43078.0)</f>
        <v>43078</v>
      </c>
      <c r="E3592" s="2">
        <f>IFERROR(__xludf.DUMMYFUNCTION("""COMPUTED_VALUE"""),1230213.0)</f>
        <v>1230213</v>
      </c>
      <c r="F3592" s="2">
        <f>IFERROR(__xludf.DUMMYFUNCTION("""COMPUTED_VALUE"""),4023640.0)</f>
        <v>4023640</v>
      </c>
      <c r="G3592" s="2">
        <f>IFERROR(__xludf.DUMMYFUNCTION("""COMPUTED_VALUE"""),83.1109999999999)</f>
        <v>83.111</v>
      </c>
    </row>
    <row r="3593">
      <c r="A3593" s="1" t="s">
        <v>3592</v>
      </c>
      <c r="D3593" s="3">
        <f>IFERROR(__xludf.DUMMYFUNCTION("SPLIT(A3593, ""|"")"),43362.0)</f>
        <v>43362</v>
      </c>
      <c r="E3593" s="2">
        <f>IFERROR(__xludf.DUMMYFUNCTION("""COMPUTED_VALUE"""),1230213.0)</f>
        <v>1230213</v>
      </c>
      <c r="F3593" s="2">
        <f>IFERROR(__xludf.DUMMYFUNCTION("""COMPUTED_VALUE"""),4773995.0)</f>
        <v>4773995</v>
      </c>
      <c r="G3593" s="2">
        <f>IFERROR(__xludf.DUMMYFUNCTION("""COMPUTED_VALUE"""),136.041399999999)</f>
        <v>136.0414</v>
      </c>
    </row>
    <row r="3594">
      <c r="A3594" s="1" t="s">
        <v>3593</v>
      </c>
      <c r="D3594" s="3">
        <f>IFERROR(__xludf.DUMMYFUNCTION("SPLIT(A3594, ""|"")"),43108.0)</f>
        <v>43108</v>
      </c>
      <c r="E3594" s="2">
        <f>IFERROR(__xludf.DUMMYFUNCTION("""COMPUTED_VALUE"""),1230213.0)</f>
        <v>1230213</v>
      </c>
      <c r="F3594" s="2">
        <f>IFERROR(__xludf.DUMMYFUNCTION("""COMPUTED_VALUE"""),4104689.0)</f>
        <v>4104689</v>
      </c>
      <c r="G3594" s="2">
        <f>IFERROR(__xludf.DUMMYFUNCTION("""COMPUTED_VALUE"""),78.6478)</f>
        <v>78.6478</v>
      </c>
    </row>
    <row r="3595">
      <c r="A3595" s="1" t="s">
        <v>3594</v>
      </c>
      <c r="D3595" s="3">
        <f>IFERROR(__xludf.DUMMYFUNCTION("SPLIT(A3595, ""|"")"),43127.0)</f>
        <v>43127</v>
      </c>
      <c r="E3595" s="2">
        <f>IFERROR(__xludf.DUMMYFUNCTION("""COMPUTED_VALUE"""),1230213.0)</f>
        <v>1230213</v>
      </c>
      <c r="F3595" s="2">
        <f>IFERROR(__xludf.DUMMYFUNCTION("""COMPUTED_VALUE"""),4167462.0)</f>
        <v>4167462</v>
      </c>
      <c r="G3595" s="2">
        <f>IFERROR(__xludf.DUMMYFUNCTION("""COMPUTED_VALUE"""),118.2752)</f>
        <v>118.2752</v>
      </c>
    </row>
    <row r="3596">
      <c r="A3596" s="1" t="s">
        <v>3595</v>
      </c>
      <c r="D3596" s="3">
        <f>IFERROR(__xludf.DUMMYFUNCTION("SPLIT(A3596, ""|"")"),43143.0)</f>
        <v>43143</v>
      </c>
      <c r="E3596" s="2">
        <f>IFERROR(__xludf.DUMMYFUNCTION("""COMPUTED_VALUE"""),1230213.0)</f>
        <v>1230213</v>
      </c>
      <c r="F3596" s="2">
        <f>IFERROR(__xludf.DUMMYFUNCTION("""COMPUTED_VALUE"""),4211667.0)</f>
        <v>4211667</v>
      </c>
      <c r="G3596" s="2">
        <f>IFERROR(__xludf.DUMMYFUNCTION("""COMPUTED_VALUE"""),87.6329)</f>
        <v>87.6329</v>
      </c>
    </row>
    <row r="3597">
      <c r="A3597" s="1" t="s">
        <v>3596</v>
      </c>
      <c r="D3597" s="3">
        <f>IFERROR(__xludf.DUMMYFUNCTION("SPLIT(A3597, ""|"")"),43423.0)</f>
        <v>43423</v>
      </c>
      <c r="E3597" s="2">
        <f>IFERROR(__xludf.DUMMYFUNCTION("""COMPUTED_VALUE"""),1230213.0)</f>
        <v>1230213</v>
      </c>
      <c r="F3597" s="2">
        <f>IFERROR(__xludf.DUMMYFUNCTION("""COMPUTED_VALUE"""),5137482.0)</f>
        <v>5137482</v>
      </c>
      <c r="G3597" s="2">
        <f>IFERROR(__xludf.DUMMYFUNCTION("""COMPUTED_VALUE"""),115.06)</f>
        <v>115.06</v>
      </c>
    </row>
    <row r="3598">
      <c r="A3598" s="1" t="s">
        <v>3597</v>
      </c>
      <c r="D3598" s="3">
        <f>IFERROR(__xludf.DUMMYFUNCTION("SPLIT(A3598, ""|"")"),43168.0)</f>
        <v>43168</v>
      </c>
      <c r="E3598" s="2">
        <f>IFERROR(__xludf.DUMMYFUNCTION("""COMPUTED_VALUE"""),1230213.0)</f>
        <v>1230213</v>
      </c>
      <c r="F3598" s="2">
        <f>IFERROR(__xludf.DUMMYFUNCTION("""COMPUTED_VALUE"""),4284442.0)</f>
        <v>4284442</v>
      </c>
      <c r="G3598" s="2">
        <f>IFERROR(__xludf.DUMMYFUNCTION("""COMPUTED_VALUE"""),118.285699999999)</f>
        <v>118.2857</v>
      </c>
    </row>
    <row r="3599">
      <c r="A3599" s="1" t="s">
        <v>3598</v>
      </c>
      <c r="D3599" s="3">
        <f>IFERROR(__xludf.DUMMYFUNCTION("SPLIT(A3599, ""|"")"),43184.0)</f>
        <v>43184</v>
      </c>
      <c r="E3599" s="2">
        <f>IFERROR(__xludf.DUMMYFUNCTION("""COMPUTED_VALUE"""),1230213.0)</f>
        <v>1230213</v>
      </c>
      <c r="F3599" s="2">
        <f>IFERROR(__xludf.DUMMYFUNCTION("""COMPUTED_VALUE"""),4328235.0)</f>
        <v>4328235</v>
      </c>
      <c r="G3599" s="2">
        <f>IFERROR(__xludf.DUMMYFUNCTION("""COMPUTED_VALUE"""),81.6628999999999)</f>
        <v>81.6629</v>
      </c>
    </row>
    <row r="3600">
      <c r="A3600" s="1" t="s">
        <v>3599</v>
      </c>
      <c r="D3600" s="3">
        <f>IFERROR(__xludf.DUMMYFUNCTION("SPLIT(A3600, ""|"")"),42936.0)</f>
        <v>42936</v>
      </c>
      <c r="E3600" s="2">
        <f>IFERROR(__xludf.DUMMYFUNCTION("""COMPUTED_VALUE"""),1230213.0)</f>
        <v>1230213</v>
      </c>
      <c r="F3600" s="2">
        <f>IFERROR(__xludf.DUMMYFUNCTION("""COMPUTED_VALUE"""),3660377.0)</f>
        <v>3660377</v>
      </c>
      <c r="G3600" s="2">
        <f>IFERROR(__xludf.DUMMYFUNCTION("""COMPUTED_VALUE"""),109.0637)</f>
        <v>109.0637</v>
      </c>
    </row>
    <row r="3601">
      <c r="A3601" s="1" t="s">
        <v>3600</v>
      </c>
      <c r="D3601" s="3">
        <f>IFERROR(__xludf.DUMMYFUNCTION("SPLIT(A3601, ""|"")"),43464.0)</f>
        <v>43464</v>
      </c>
      <c r="E3601" s="2">
        <f>IFERROR(__xludf.DUMMYFUNCTION("""COMPUTED_VALUE"""),1230213.0)</f>
        <v>1230213</v>
      </c>
      <c r="F3601" s="2">
        <f>IFERROR(__xludf.DUMMYFUNCTION("""COMPUTED_VALUE"""),5357056.0)</f>
        <v>5357056</v>
      </c>
      <c r="G3601" s="2">
        <f>IFERROR(__xludf.DUMMYFUNCTION("""COMPUTED_VALUE"""),94.6825999999999)</f>
        <v>94.6826</v>
      </c>
    </row>
    <row r="3602">
      <c r="A3602" s="1" t="s">
        <v>3601</v>
      </c>
      <c r="D3602" s="3">
        <f>IFERROR(__xludf.DUMMYFUNCTION("SPLIT(A3602, ""|"")"),42960.0)</f>
        <v>42960</v>
      </c>
      <c r="E3602" s="2">
        <f>IFERROR(__xludf.DUMMYFUNCTION("""COMPUTED_VALUE"""),1230213.0)</f>
        <v>1230213</v>
      </c>
      <c r="F3602" s="2">
        <f>IFERROR(__xludf.DUMMYFUNCTION("""COMPUTED_VALUE"""),3711626.0)</f>
        <v>3711626</v>
      </c>
      <c r="G3602" s="2">
        <f>IFERROR(__xludf.DUMMYFUNCTION("""COMPUTED_VALUE"""),106.061199999999)</f>
        <v>106.0612</v>
      </c>
    </row>
    <row r="3603">
      <c r="A3603" s="1" t="s">
        <v>3602</v>
      </c>
      <c r="D3603" s="3">
        <f>IFERROR(__xludf.DUMMYFUNCTION("SPLIT(A3603, ""|"")"),43228.0)</f>
        <v>43228</v>
      </c>
      <c r="E3603" s="2">
        <f>IFERROR(__xludf.DUMMYFUNCTION("""COMPUTED_VALUE"""),1230213.0)</f>
        <v>1230213</v>
      </c>
      <c r="F3603" s="2">
        <f>IFERROR(__xludf.DUMMYFUNCTION("""COMPUTED_VALUE"""),4449646.0)</f>
        <v>4449646</v>
      </c>
      <c r="G3603" s="2">
        <f>IFERROR(__xludf.DUMMYFUNCTION("""COMPUTED_VALUE"""),123.0343)</f>
        <v>123.0343</v>
      </c>
    </row>
    <row r="3604">
      <c r="A3604" s="1" t="s">
        <v>3603</v>
      </c>
      <c r="D3604" s="3">
        <f>IFERROR(__xludf.DUMMYFUNCTION("SPLIT(A3604, ""|"")"),42980.0)</f>
        <v>42980</v>
      </c>
      <c r="E3604" s="2">
        <f>IFERROR(__xludf.DUMMYFUNCTION("""COMPUTED_VALUE"""),428433.0)</f>
        <v>428433</v>
      </c>
      <c r="F3604" s="2">
        <f>IFERROR(__xludf.DUMMYFUNCTION("""COMPUTED_VALUE"""),3759341.0)</f>
        <v>3759341</v>
      </c>
      <c r="G3604" s="2">
        <f>IFERROR(__xludf.DUMMYFUNCTION("""COMPUTED_VALUE"""),66.0)</f>
        <v>66</v>
      </c>
    </row>
    <row r="3605">
      <c r="A3605" s="1" t="s">
        <v>3604</v>
      </c>
      <c r="D3605" s="3">
        <f>IFERROR(__xludf.DUMMYFUNCTION("SPLIT(A3605, ""|"")"),42989.0)</f>
        <v>42989</v>
      </c>
      <c r="E3605" s="2">
        <f>IFERROR(__xludf.DUMMYFUNCTION("""COMPUTED_VALUE"""),428433.0)</f>
        <v>428433</v>
      </c>
      <c r="F3605" s="2">
        <f>IFERROR(__xludf.DUMMYFUNCTION("""COMPUTED_VALUE"""),3784086.0)</f>
        <v>3784086</v>
      </c>
      <c r="G3605" s="2">
        <f>IFERROR(__xludf.DUMMYFUNCTION("""COMPUTED_VALUE"""),88.7140999999999)</f>
        <v>88.7141</v>
      </c>
    </row>
    <row r="3606">
      <c r="A3606" s="1" t="s">
        <v>3605</v>
      </c>
      <c r="D3606" s="3">
        <f>IFERROR(__xludf.DUMMYFUNCTION("SPLIT(A3606, ""|"")"),42989.0)</f>
        <v>42989</v>
      </c>
      <c r="E3606" s="2">
        <f>IFERROR(__xludf.DUMMYFUNCTION("""COMPUTED_VALUE"""),428433.0)</f>
        <v>428433</v>
      </c>
      <c r="F3606" s="2">
        <f>IFERROR(__xludf.DUMMYFUNCTION("""COMPUTED_VALUE"""),3784100.0)</f>
        <v>3784100</v>
      </c>
      <c r="G3606" s="2">
        <f>IFERROR(__xludf.DUMMYFUNCTION("""COMPUTED_VALUE"""),66.0)</f>
        <v>66</v>
      </c>
    </row>
    <row r="3607">
      <c r="A3607" s="1" t="s">
        <v>3606</v>
      </c>
      <c r="D3607" s="3">
        <f>IFERROR(__xludf.DUMMYFUNCTION("SPLIT(A3607, ""|"")"),43018.0)</f>
        <v>43018</v>
      </c>
      <c r="E3607" s="2">
        <f>IFERROR(__xludf.DUMMYFUNCTION("""COMPUTED_VALUE"""),428433.0)</f>
        <v>428433</v>
      </c>
      <c r="F3607" s="2">
        <f>IFERROR(__xludf.DUMMYFUNCTION("""COMPUTED_VALUE"""),3856829.0)</f>
        <v>3856829</v>
      </c>
      <c r="G3607" s="2">
        <f>IFERROR(__xludf.DUMMYFUNCTION("""COMPUTED_VALUE"""),77.3304)</f>
        <v>77.3304</v>
      </c>
    </row>
    <row r="3608">
      <c r="A3608" s="1" t="s">
        <v>3607</v>
      </c>
      <c r="D3608" s="3">
        <f>IFERROR(__xludf.DUMMYFUNCTION("SPLIT(A3608, ""|"")"),43018.0)</f>
        <v>43018</v>
      </c>
      <c r="E3608" s="2">
        <f>IFERROR(__xludf.DUMMYFUNCTION("""COMPUTED_VALUE"""),428433.0)</f>
        <v>428433</v>
      </c>
      <c r="F3608" s="2">
        <f>IFERROR(__xludf.DUMMYFUNCTION("""COMPUTED_VALUE"""),3856822.0)</f>
        <v>3856822</v>
      </c>
      <c r="G3608" s="2">
        <f>IFERROR(__xludf.DUMMYFUNCTION("""COMPUTED_VALUE"""),79.1364)</f>
        <v>79.1364</v>
      </c>
    </row>
    <row r="3609">
      <c r="A3609" s="1" t="s">
        <v>3608</v>
      </c>
      <c r="D3609" s="3">
        <f>IFERROR(__xludf.DUMMYFUNCTION("SPLIT(A3609, ""|"")"),43018.0)</f>
        <v>43018</v>
      </c>
      <c r="E3609" s="2">
        <f>IFERROR(__xludf.DUMMYFUNCTION("""COMPUTED_VALUE"""),428433.0)</f>
        <v>428433</v>
      </c>
      <c r="F3609" s="2">
        <f>IFERROR(__xludf.DUMMYFUNCTION("""COMPUTED_VALUE"""),3856803.0)</f>
        <v>3856803</v>
      </c>
      <c r="G3609" s="2">
        <f>IFERROR(__xludf.DUMMYFUNCTION("""COMPUTED_VALUE"""),96.2868)</f>
        <v>96.2868</v>
      </c>
    </row>
    <row r="3610">
      <c r="A3610" s="1" t="s">
        <v>3609</v>
      </c>
      <c r="D3610" s="3">
        <f>IFERROR(__xludf.DUMMYFUNCTION("SPLIT(A3610, ""|"")"),43294.0)</f>
        <v>43294</v>
      </c>
      <c r="E3610" s="2">
        <f>IFERROR(__xludf.DUMMYFUNCTION("""COMPUTED_VALUE"""),428433.0)</f>
        <v>428433</v>
      </c>
      <c r="F3610" s="2">
        <f>IFERROR(__xludf.DUMMYFUNCTION("""COMPUTED_VALUE"""),4609251.0)</f>
        <v>4609251</v>
      </c>
      <c r="G3610" s="2">
        <f>IFERROR(__xludf.DUMMYFUNCTION("""COMPUTED_VALUE"""),115.231)</f>
        <v>115.231</v>
      </c>
    </row>
    <row r="3611">
      <c r="A3611" s="1" t="s">
        <v>3610</v>
      </c>
      <c r="D3611" s="3">
        <f>IFERROR(__xludf.DUMMYFUNCTION("SPLIT(A3611, ""|"")"),43316.0)</f>
        <v>43316</v>
      </c>
      <c r="E3611" s="2">
        <f>IFERROR(__xludf.DUMMYFUNCTION("""COMPUTED_VALUE"""),428433.0)</f>
        <v>428433</v>
      </c>
      <c r="F3611" s="2">
        <f>IFERROR(__xludf.DUMMYFUNCTION("""COMPUTED_VALUE"""),4660088.0)</f>
        <v>4660088</v>
      </c>
      <c r="G3611" s="2">
        <f>IFERROR(__xludf.DUMMYFUNCTION("""COMPUTED_VALUE"""),66.8125)</f>
        <v>66.8125</v>
      </c>
    </row>
    <row r="3612">
      <c r="A3612" s="1" t="s">
        <v>3611</v>
      </c>
      <c r="D3612" s="3">
        <f>IFERROR(__xludf.DUMMYFUNCTION("SPLIT(A3612, ""|"")"),43317.0)</f>
        <v>43317</v>
      </c>
      <c r="E3612" s="2">
        <f>IFERROR(__xludf.DUMMYFUNCTION("""COMPUTED_VALUE"""),428433.0)</f>
        <v>428433</v>
      </c>
      <c r="F3612" s="2">
        <f>IFERROR(__xludf.DUMMYFUNCTION("""COMPUTED_VALUE"""),4663248.0)</f>
        <v>4663248</v>
      </c>
      <c r="G3612" s="2">
        <f>IFERROR(__xludf.DUMMYFUNCTION("""COMPUTED_VALUE"""),73.9321)</f>
        <v>73.9321</v>
      </c>
    </row>
    <row r="3613">
      <c r="A3613" s="1" t="s">
        <v>3612</v>
      </c>
      <c r="D3613" s="3">
        <f>IFERROR(__xludf.DUMMYFUNCTION("SPLIT(A3613, ""|"")"),43076.0)</f>
        <v>43076</v>
      </c>
      <c r="E3613" s="2">
        <f>IFERROR(__xludf.DUMMYFUNCTION("""COMPUTED_VALUE"""),428433.0)</f>
        <v>428433</v>
      </c>
      <c r="F3613" s="2">
        <f>IFERROR(__xludf.DUMMYFUNCTION("""COMPUTED_VALUE"""),4019158.0)</f>
        <v>4019158</v>
      </c>
      <c r="G3613" s="2">
        <f>IFERROR(__xludf.DUMMYFUNCTION("""COMPUTED_VALUE"""),68.0416999999999)</f>
        <v>68.0417</v>
      </c>
    </row>
    <row r="3614">
      <c r="A3614" s="1" t="s">
        <v>3613</v>
      </c>
      <c r="D3614" s="3">
        <f>IFERROR(__xludf.DUMMYFUNCTION("SPLIT(A3614, ""|"")"),43346.0)</f>
        <v>43346</v>
      </c>
      <c r="E3614" s="2">
        <f>IFERROR(__xludf.DUMMYFUNCTION("""COMPUTED_VALUE"""),428433.0)</f>
        <v>428433</v>
      </c>
      <c r="F3614" s="2">
        <f>IFERROR(__xludf.DUMMYFUNCTION("""COMPUTED_VALUE"""),4731528.0)</f>
        <v>4731528</v>
      </c>
      <c r="G3614" s="2">
        <f>IFERROR(__xludf.DUMMYFUNCTION("""COMPUTED_VALUE"""),85.6193)</f>
        <v>85.6193</v>
      </c>
    </row>
    <row r="3615">
      <c r="A3615" s="1" t="s">
        <v>3614</v>
      </c>
      <c r="D3615" s="3">
        <f>IFERROR(__xludf.DUMMYFUNCTION("SPLIT(A3615, ""|"")"),43367.0)</f>
        <v>43367</v>
      </c>
      <c r="E3615" s="2">
        <f>IFERROR(__xludf.DUMMYFUNCTION("""COMPUTED_VALUE"""),428433.0)</f>
        <v>428433</v>
      </c>
      <c r="F3615" s="2">
        <f>IFERROR(__xludf.DUMMYFUNCTION("""COMPUTED_VALUE"""),4787281.0)</f>
        <v>4787281</v>
      </c>
      <c r="G3615" s="2">
        <f>IFERROR(__xludf.DUMMYFUNCTION("""COMPUTED_VALUE"""),76.2913)</f>
        <v>76.2913</v>
      </c>
    </row>
    <row r="3616">
      <c r="A3616" s="1" t="s">
        <v>3615</v>
      </c>
      <c r="D3616" s="3">
        <f>IFERROR(__xludf.DUMMYFUNCTION("SPLIT(A3616, ""|"")"),43123.0)</f>
        <v>43123</v>
      </c>
      <c r="E3616" s="2">
        <f>IFERROR(__xludf.DUMMYFUNCTION("""COMPUTED_VALUE"""),428433.0)</f>
        <v>428433</v>
      </c>
      <c r="F3616" s="2">
        <f>IFERROR(__xludf.DUMMYFUNCTION("""COMPUTED_VALUE"""),4156798.0)</f>
        <v>4156798</v>
      </c>
      <c r="G3616" s="2">
        <f>IFERROR(__xludf.DUMMYFUNCTION("""COMPUTED_VALUE"""),80.3331)</f>
        <v>80.3331</v>
      </c>
    </row>
    <row r="3617">
      <c r="A3617" s="1" t="s">
        <v>3616</v>
      </c>
      <c r="D3617" s="3">
        <f>IFERROR(__xludf.DUMMYFUNCTION("SPLIT(A3617, ""|"")"),43151.0)</f>
        <v>43151</v>
      </c>
      <c r="E3617" s="2">
        <f>IFERROR(__xludf.DUMMYFUNCTION("""COMPUTED_VALUE"""),428433.0)</f>
        <v>428433</v>
      </c>
      <c r="F3617" s="2">
        <f>IFERROR(__xludf.DUMMYFUNCTION("""COMPUTED_VALUE"""),4232294.0)</f>
        <v>4232294</v>
      </c>
      <c r="G3617" s="2">
        <f>IFERROR(__xludf.DUMMYFUNCTION("""COMPUTED_VALUE"""),73.8692)</f>
        <v>73.8692</v>
      </c>
    </row>
    <row r="3618">
      <c r="A3618" s="1" t="s">
        <v>3617</v>
      </c>
      <c r="D3618" s="3">
        <f>IFERROR(__xludf.DUMMYFUNCTION("SPLIT(A3618, ""|"")"),43416.0)</f>
        <v>43416</v>
      </c>
      <c r="E3618" s="2">
        <f>IFERROR(__xludf.DUMMYFUNCTION("""COMPUTED_VALUE"""),428433.0)</f>
        <v>428433</v>
      </c>
      <c r="F3618" s="2">
        <f>IFERROR(__xludf.DUMMYFUNCTION("""COMPUTED_VALUE"""),5078517.0)</f>
        <v>5078517</v>
      </c>
      <c r="G3618" s="2">
        <f>IFERROR(__xludf.DUMMYFUNCTION("""COMPUTED_VALUE"""),104.2734)</f>
        <v>104.2734</v>
      </c>
    </row>
    <row r="3619">
      <c r="A3619" s="1" t="s">
        <v>3618</v>
      </c>
      <c r="D3619" s="3">
        <f>IFERROR(__xludf.DUMMYFUNCTION("SPLIT(A3619, ""|"")"),43416.0)</f>
        <v>43416</v>
      </c>
      <c r="E3619" s="2">
        <f>IFERROR(__xludf.DUMMYFUNCTION("""COMPUTED_VALUE"""),428433.0)</f>
        <v>428433</v>
      </c>
      <c r="F3619" s="2">
        <f>IFERROR(__xludf.DUMMYFUNCTION("""COMPUTED_VALUE"""),5074194.0)</f>
        <v>5074194</v>
      </c>
      <c r="G3619" s="2">
        <f>IFERROR(__xludf.DUMMYFUNCTION("""COMPUTED_VALUE"""),185.7621)</f>
        <v>185.7621</v>
      </c>
    </row>
    <row r="3620">
      <c r="A3620" s="1" t="s">
        <v>3619</v>
      </c>
      <c r="D3620" s="3">
        <f>IFERROR(__xludf.DUMMYFUNCTION("SPLIT(A3620, ""|"")"),42946.0)</f>
        <v>42946</v>
      </c>
      <c r="E3620" s="2">
        <f>IFERROR(__xludf.DUMMYFUNCTION("""COMPUTED_VALUE"""),428433.0)</f>
        <v>428433</v>
      </c>
      <c r="F3620" s="2">
        <f>IFERROR(__xludf.DUMMYFUNCTION("""COMPUTED_VALUE"""),3682228.0)</f>
        <v>3682228</v>
      </c>
      <c r="G3620" s="2">
        <f>IFERROR(__xludf.DUMMYFUNCTION("""COMPUTED_VALUE"""),90.3296)</f>
        <v>90.3296</v>
      </c>
    </row>
    <row r="3621">
      <c r="A3621" s="1" t="s">
        <v>3620</v>
      </c>
      <c r="D3621" s="3">
        <f>IFERROR(__xludf.DUMMYFUNCTION("SPLIT(A3621, ""|"")"),43219.0)</f>
        <v>43219</v>
      </c>
      <c r="E3621" s="2">
        <f>IFERROR(__xludf.DUMMYFUNCTION("""COMPUTED_VALUE"""),428433.0)</f>
        <v>428433</v>
      </c>
      <c r="F3621" s="2">
        <f>IFERROR(__xludf.DUMMYFUNCTION("""COMPUTED_VALUE"""),4425110.0)</f>
        <v>4425110</v>
      </c>
      <c r="G3621" s="2">
        <f>IFERROR(__xludf.DUMMYFUNCTION("""COMPUTED_VALUE"""),172.0226)</f>
        <v>172.0226</v>
      </c>
    </row>
    <row r="3622">
      <c r="A3622" s="1" t="s">
        <v>3621</v>
      </c>
      <c r="D3622" s="3">
        <f>IFERROR(__xludf.DUMMYFUNCTION("SPLIT(A3622, ""|"")"),43219.0)</f>
        <v>43219</v>
      </c>
      <c r="E3622" s="2">
        <f>IFERROR(__xludf.DUMMYFUNCTION("""COMPUTED_VALUE"""),428433.0)</f>
        <v>428433</v>
      </c>
      <c r="F3622" s="2">
        <f>IFERROR(__xludf.DUMMYFUNCTION("""COMPUTED_VALUE"""),4426558.0)</f>
        <v>4426558</v>
      </c>
      <c r="G3622" s="2">
        <f>IFERROR(__xludf.DUMMYFUNCTION("""COMPUTED_VALUE"""),193.9461)</f>
        <v>193.9461</v>
      </c>
    </row>
    <row r="3623">
      <c r="A3623" s="1" t="s">
        <v>3622</v>
      </c>
      <c r="D3623" s="3">
        <f>IFERROR(__xludf.DUMMYFUNCTION("SPLIT(A3623, ""|"")"),43220.0)</f>
        <v>43220</v>
      </c>
      <c r="E3623" s="2">
        <f>IFERROR(__xludf.DUMMYFUNCTION("""COMPUTED_VALUE"""),428433.0)</f>
        <v>428433</v>
      </c>
      <c r="F3623" s="2">
        <f>IFERROR(__xludf.DUMMYFUNCTION("""COMPUTED_VALUE"""),4429805.0)</f>
        <v>4429805</v>
      </c>
      <c r="G3623" s="2">
        <f>IFERROR(__xludf.DUMMYFUNCTION("""COMPUTED_VALUE"""),166.3069)</f>
        <v>166.3069</v>
      </c>
    </row>
    <row r="3624">
      <c r="A3624" s="1" t="s">
        <v>3623</v>
      </c>
      <c r="D3624" s="3">
        <f>IFERROR(__xludf.DUMMYFUNCTION("SPLIT(A3624, ""|"")"),42965.0)</f>
        <v>42965</v>
      </c>
      <c r="E3624" s="2">
        <f>IFERROR(__xludf.DUMMYFUNCTION("""COMPUTED_VALUE"""),428433.0)</f>
        <v>428433</v>
      </c>
      <c r="F3624" s="2">
        <f>IFERROR(__xludf.DUMMYFUNCTION("""COMPUTED_VALUE"""),3723735.0)</f>
        <v>3723735</v>
      </c>
      <c r="G3624" s="2">
        <f>IFERROR(__xludf.DUMMYFUNCTION("""COMPUTED_VALUE"""),141.4602)</f>
        <v>141.4602</v>
      </c>
    </row>
    <row r="3625">
      <c r="A3625" s="1" t="s">
        <v>3624</v>
      </c>
      <c r="D3625" s="3">
        <f>IFERROR(__xludf.DUMMYFUNCTION("SPLIT(A3625, ""|"")"),43237.0)</f>
        <v>43237</v>
      </c>
      <c r="E3625" s="2">
        <f>IFERROR(__xludf.DUMMYFUNCTION("""COMPUTED_VALUE"""),1185753.0)</f>
        <v>1185753</v>
      </c>
      <c r="F3625" s="2">
        <f>IFERROR(__xludf.DUMMYFUNCTION("""COMPUTED_VALUE"""),4476031.0)</f>
        <v>4476031</v>
      </c>
      <c r="G3625" s="2">
        <f>IFERROR(__xludf.DUMMYFUNCTION("""COMPUTED_VALUE"""),222.0253)</f>
        <v>222.0253</v>
      </c>
    </row>
    <row r="3626">
      <c r="A3626" s="1" t="s">
        <v>3625</v>
      </c>
      <c r="D3626" s="3">
        <f>IFERROR(__xludf.DUMMYFUNCTION("SPLIT(A3626, ""|"")"),42986.0)</f>
        <v>42986</v>
      </c>
      <c r="E3626" s="2">
        <f>IFERROR(__xludf.DUMMYFUNCTION("""COMPUTED_VALUE"""),1185753.0)</f>
        <v>1185753</v>
      </c>
      <c r="F3626" s="2">
        <f>IFERROR(__xludf.DUMMYFUNCTION("""COMPUTED_VALUE"""),3777238.0)</f>
        <v>3777238</v>
      </c>
      <c r="G3626" s="2">
        <f>IFERROR(__xludf.DUMMYFUNCTION("""COMPUTED_VALUE"""),8.25)</f>
        <v>8.25</v>
      </c>
    </row>
    <row r="3627">
      <c r="A3627" s="1" t="s">
        <v>3626</v>
      </c>
      <c r="D3627" s="3">
        <f>IFERROR(__xludf.DUMMYFUNCTION("SPLIT(A3627, ""|"")"),42986.0)</f>
        <v>42986</v>
      </c>
      <c r="E3627" s="2">
        <f>IFERROR(__xludf.DUMMYFUNCTION("""COMPUTED_VALUE"""),1185753.0)</f>
        <v>1185753</v>
      </c>
      <c r="F3627" s="2">
        <f>IFERROR(__xludf.DUMMYFUNCTION("""COMPUTED_VALUE"""),3777246.0)</f>
        <v>3777246</v>
      </c>
      <c r="G3627" s="2">
        <f>IFERROR(__xludf.DUMMYFUNCTION("""COMPUTED_VALUE"""),195.066)</f>
        <v>195.066</v>
      </c>
    </row>
    <row r="3628">
      <c r="A3628" s="1" t="s">
        <v>3627</v>
      </c>
      <c r="D3628" s="3">
        <f>IFERROR(__xludf.DUMMYFUNCTION("SPLIT(A3628, ""|"")"),42997.0)</f>
        <v>42997</v>
      </c>
      <c r="E3628" s="2">
        <f>IFERROR(__xludf.DUMMYFUNCTION("""COMPUTED_VALUE"""),1185753.0)</f>
        <v>1185753</v>
      </c>
      <c r="F3628" s="2">
        <f>IFERROR(__xludf.DUMMYFUNCTION("""COMPUTED_VALUE"""),3803070.0)</f>
        <v>3803070</v>
      </c>
      <c r="G3628" s="2">
        <f>IFERROR(__xludf.DUMMYFUNCTION("""COMPUTED_VALUE"""),122.8284)</f>
        <v>122.8284</v>
      </c>
    </row>
    <row r="3629">
      <c r="A3629" s="1" t="s">
        <v>3628</v>
      </c>
      <c r="D3629" s="3">
        <f>IFERROR(__xludf.DUMMYFUNCTION("SPLIT(A3629, ""|"")"),43267.0)</f>
        <v>43267</v>
      </c>
      <c r="E3629" s="2">
        <f>IFERROR(__xludf.DUMMYFUNCTION("""COMPUTED_VALUE"""),1185753.0)</f>
        <v>1185753</v>
      </c>
      <c r="F3629" s="2">
        <f>IFERROR(__xludf.DUMMYFUNCTION("""COMPUTED_VALUE"""),4544688.0)</f>
        <v>4544688</v>
      </c>
      <c r="G3629" s="2">
        <f>IFERROR(__xludf.DUMMYFUNCTION("""COMPUTED_VALUE"""),169.1095)</f>
        <v>169.1095</v>
      </c>
    </row>
    <row r="3630">
      <c r="A3630" s="1" t="s">
        <v>3629</v>
      </c>
      <c r="D3630" s="3">
        <f>IFERROR(__xludf.DUMMYFUNCTION("SPLIT(A3630, ""|"")"),43018.0)</f>
        <v>43018</v>
      </c>
      <c r="E3630" s="2">
        <f>IFERROR(__xludf.DUMMYFUNCTION("""COMPUTED_VALUE"""),1185753.0)</f>
        <v>1185753</v>
      </c>
      <c r="F3630" s="2">
        <f>IFERROR(__xludf.DUMMYFUNCTION("""COMPUTED_VALUE"""),3856334.0)</f>
        <v>3856334</v>
      </c>
      <c r="G3630" s="2">
        <f>IFERROR(__xludf.DUMMYFUNCTION("""COMPUTED_VALUE"""),186.884699999999)</f>
        <v>186.8847</v>
      </c>
    </row>
    <row r="3631">
      <c r="A3631" s="1" t="s">
        <v>3630</v>
      </c>
      <c r="D3631" s="3">
        <f>IFERROR(__xludf.DUMMYFUNCTION("SPLIT(A3631, ""|"")"),43288.0)</f>
        <v>43288</v>
      </c>
      <c r="E3631" s="2">
        <f>IFERROR(__xludf.DUMMYFUNCTION("""COMPUTED_VALUE"""),1185753.0)</f>
        <v>1185753</v>
      </c>
      <c r="F3631" s="2">
        <f>IFERROR(__xludf.DUMMYFUNCTION("""COMPUTED_VALUE"""),4595997.0)</f>
        <v>4595997</v>
      </c>
      <c r="G3631" s="2">
        <f>IFERROR(__xludf.DUMMYFUNCTION("""COMPUTED_VALUE"""),232.184)</f>
        <v>232.184</v>
      </c>
    </row>
    <row r="3632">
      <c r="A3632" s="1" t="s">
        <v>3631</v>
      </c>
      <c r="D3632" s="3">
        <f>IFERROR(__xludf.DUMMYFUNCTION("SPLIT(A3632, ""|"")"),43038.0)</f>
        <v>43038</v>
      </c>
      <c r="E3632" s="2">
        <f>IFERROR(__xludf.DUMMYFUNCTION("""COMPUTED_VALUE"""),1185753.0)</f>
        <v>1185753</v>
      </c>
      <c r="F3632" s="2">
        <f>IFERROR(__xludf.DUMMYFUNCTION("""COMPUTED_VALUE"""),3902076.0)</f>
        <v>3902076</v>
      </c>
      <c r="G3632" s="2">
        <f>IFERROR(__xludf.DUMMYFUNCTION("""COMPUTED_VALUE"""),117.6805)</f>
        <v>117.6805</v>
      </c>
    </row>
    <row r="3633">
      <c r="A3633" s="1" t="s">
        <v>3632</v>
      </c>
      <c r="D3633" s="3">
        <f>IFERROR(__xludf.DUMMYFUNCTION("SPLIT(A3633, ""|"")"),43095.0)</f>
        <v>43095</v>
      </c>
      <c r="E3633" s="2">
        <f>IFERROR(__xludf.DUMMYFUNCTION("""COMPUTED_VALUE"""),1185753.0)</f>
        <v>1185753</v>
      </c>
      <c r="F3633" s="2">
        <f>IFERROR(__xludf.DUMMYFUNCTION("""COMPUTED_VALUE"""),4069658.0)</f>
        <v>4069658</v>
      </c>
      <c r="G3633" s="2">
        <f>IFERROR(__xludf.DUMMYFUNCTION("""COMPUTED_VALUE"""),264.0438)</f>
        <v>264.0438</v>
      </c>
    </row>
    <row r="3634">
      <c r="A3634" s="1" t="s">
        <v>3633</v>
      </c>
      <c r="D3634" s="3">
        <f>IFERROR(__xludf.DUMMYFUNCTION("SPLIT(A3634, ""|"")"),43109.0)</f>
        <v>43109</v>
      </c>
      <c r="E3634" s="2">
        <f>IFERROR(__xludf.DUMMYFUNCTION("""COMPUTED_VALUE"""),1185753.0)</f>
        <v>1185753</v>
      </c>
      <c r="F3634" s="2">
        <f>IFERROR(__xludf.DUMMYFUNCTION("""COMPUTED_VALUE"""),4107516.0)</f>
        <v>4107516</v>
      </c>
      <c r="G3634" s="2">
        <f>IFERROR(__xludf.DUMMYFUNCTION("""COMPUTED_VALUE"""),104.1443)</f>
        <v>104.1443</v>
      </c>
    </row>
    <row r="3635">
      <c r="A3635" s="1" t="s">
        <v>3634</v>
      </c>
      <c r="D3635" s="3">
        <f>IFERROR(__xludf.DUMMYFUNCTION("SPLIT(A3635, ""|"")"),43123.0)</f>
        <v>43123</v>
      </c>
      <c r="E3635" s="2">
        <f>IFERROR(__xludf.DUMMYFUNCTION("""COMPUTED_VALUE"""),1185753.0)</f>
        <v>1185753</v>
      </c>
      <c r="F3635" s="2">
        <f>IFERROR(__xludf.DUMMYFUNCTION("""COMPUTED_VALUE"""),4156921.0)</f>
        <v>4156921</v>
      </c>
      <c r="G3635" s="2">
        <f>IFERROR(__xludf.DUMMYFUNCTION("""COMPUTED_VALUE"""),143.364999999999)</f>
        <v>143.365</v>
      </c>
    </row>
    <row r="3636">
      <c r="A3636" s="1" t="s">
        <v>3635</v>
      </c>
      <c r="D3636" s="3">
        <f>IFERROR(__xludf.DUMMYFUNCTION("SPLIT(A3636, ""|"")"),43380.0)</f>
        <v>43380</v>
      </c>
      <c r="E3636" s="2">
        <f>IFERROR(__xludf.DUMMYFUNCTION("""COMPUTED_VALUE"""),1185753.0)</f>
        <v>1185753</v>
      </c>
      <c r="F3636" s="2">
        <f>IFERROR(__xludf.DUMMYFUNCTION("""COMPUTED_VALUE"""),4825520.0)</f>
        <v>4825520</v>
      </c>
      <c r="G3636" s="2">
        <f>IFERROR(__xludf.DUMMYFUNCTION("""COMPUTED_VALUE"""),148.8087)</f>
        <v>148.8087</v>
      </c>
    </row>
    <row r="3637">
      <c r="A3637" s="1" t="s">
        <v>3636</v>
      </c>
      <c r="D3637" s="3">
        <f>IFERROR(__xludf.DUMMYFUNCTION("SPLIT(A3637, ""|"")"),43418.0)</f>
        <v>43418</v>
      </c>
      <c r="E3637" s="2">
        <f>IFERROR(__xludf.DUMMYFUNCTION("""COMPUTED_VALUE"""),1185753.0)</f>
        <v>1185753</v>
      </c>
      <c r="F3637" s="2">
        <f>IFERROR(__xludf.DUMMYFUNCTION("""COMPUTED_VALUE"""),5091774.0)</f>
        <v>5091774</v>
      </c>
      <c r="G3637" s="2">
        <f>IFERROR(__xludf.DUMMYFUNCTION("""COMPUTED_VALUE"""),162.206699999999)</f>
        <v>162.2067</v>
      </c>
    </row>
    <row r="3638">
      <c r="A3638" s="1" t="s">
        <v>3637</v>
      </c>
      <c r="D3638" s="3">
        <f>IFERROR(__xludf.DUMMYFUNCTION("SPLIT(A3638, ""|"")"),43167.0)</f>
        <v>43167</v>
      </c>
      <c r="E3638" s="2">
        <f>IFERROR(__xludf.DUMMYFUNCTION("""COMPUTED_VALUE"""),1185753.0)</f>
        <v>1185753</v>
      </c>
      <c r="F3638" s="2">
        <f>IFERROR(__xludf.DUMMYFUNCTION("""COMPUTED_VALUE"""),4279638.0)</f>
        <v>4279638</v>
      </c>
      <c r="G3638" s="2">
        <f>IFERROR(__xludf.DUMMYFUNCTION("""COMPUTED_VALUE"""),118.6708)</f>
        <v>118.6708</v>
      </c>
    </row>
    <row r="3639">
      <c r="A3639" s="1" t="s">
        <v>3638</v>
      </c>
      <c r="D3639" s="3">
        <f>IFERROR(__xludf.DUMMYFUNCTION("SPLIT(A3639, ""|"")"),42926.0)</f>
        <v>42926</v>
      </c>
      <c r="E3639" s="2">
        <f>IFERROR(__xludf.DUMMYFUNCTION("""COMPUTED_VALUE"""),1185753.0)</f>
        <v>1185753</v>
      </c>
      <c r="F3639" s="2">
        <f>IFERROR(__xludf.DUMMYFUNCTION("""COMPUTED_VALUE"""),3637196.0)</f>
        <v>3637196</v>
      </c>
      <c r="G3639" s="2">
        <f>IFERROR(__xludf.DUMMYFUNCTION("""COMPUTED_VALUE"""),182.8978)</f>
        <v>182.8978</v>
      </c>
    </row>
    <row r="3640">
      <c r="A3640" s="1" t="s">
        <v>3639</v>
      </c>
      <c r="D3640" s="3">
        <f>IFERROR(__xludf.DUMMYFUNCTION("SPLIT(A3640, ""|"")"),43191.0)</f>
        <v>43191</v>
      </c>
      <c r="E3640" s="2">
        <f>IFERROR(__xludf.DUMMYFUNCTION("""COMPUTED_VALUE"""),1185753.0)</f>
        <v>1185753</v>
      </c>
      <c r="F3640" s="2">
        <f>IFERROR(__xludf.DUMMYFUNCTION("""COMPUTED_VALUE"""),4348135.0)</f>
        <v>4348135</v>
      </c>
      <c r="G3640" s="2">
        <f>IFERROR(__xludf.DUMMYFUNCTION("""COMPUTED_VALUE"""),187.407699999999)</f>
        <v>187.4077</v>
      </c>
    </row>
    <row r="3641">
      <c r="A3641" s="1" t="s">
        <v>3640</v>
      </c>
      <c r="D3641" s="3">
        <f>IFERROR(__xludf.DUMMYFUNCTION("SPLIT(A3641, ""|"")"),42943.0)</f>
        <v>42943</v>
      </c>
      <c r="E3641" s="2">
        <f>IFERROR(__xludf.DUMMYFUNCTION("""COMPUTED_VALUE"""),1185753.0)</f>
        <v>1185753</v>
      </c>
      <c r="F3641" s="2">
        <f>IFERROR(__xludf.DUMMYFUNCTION("""COMPUTED_VALUE"""),3676731.0)</f>
        <v>3676731</v>
      </c>
      <c r="G3641" s="2">
        <f>IFERROR(__xludf.DUMMYFUNCTION("""COMPUTED_VALUE"""),97.7932999999999)</f>
        <v>97.7933</v>
      </c>
    </row>
    <row r="3642">
      <c r="A3642" s="1" t="s">
        <v>3641</v>
      </c>
      <c r="D3642" s="3">
        <f>IFERROR(__xludf.DUMMYFUNCTION("SPLIT(A3642, ""|"")"),42958.0)</f>
        <v>42958</v>
      </c>
      <c r="E3642" s="2">
        <f>IFERROR(__xludf.DUMMYFUNCTION("""COMPUTED_VALUE"""),1185753.0)</f>
        <v>1185753</v>
      </c>
      <c r="F3642" s="2">
        <f>IFERROR(__xludf.DUMMYFUNCTION("""COMPUTED_VALUE"""),3709723.0)</f>
        <v>3709723</v>
      </c>
      <c r="G3642" s="2">
        <f>IFERROR(__xludf.DUMMYFUNCTION("""COMPUTED_VALUE"""),146.210499999999)</f>
        <v>146.2105</v>
      </c>
    </row>
    <row r="3643">
      <c r="A3643" s="1" t="s">
        <v>3642</v>
      </c>
      <c r="D3643" s="3">
        <f>IFERROR(__xludf.DUMMYFUNCTION("SPLIT(A3643, ""|"")"),43234.0)</f>
        <v>43234</v>
      </c>
      <c r="E3643" s="2">
        <f>IFERROR(__xludf.DUMMYFUNCTION("""COMPUTED_VALUE"""),218073.0)</f>
        <v>218073</v>
      </c>
      <c r="F3643" s="2">
        <f>IFERROR(__xludf.DUMMYFUNCTION("""COMPUTED_VALUE"""),4468075.0)</f>
        <v>4468075</v>
      </c>
      <c r="G3643" s="2">
        <f>IFERROR(__xludf.DUMMYFUNCTION("""COMPUTED_VALUE"""),78.0964)</f>
        <v>78.0964</v>
      </c>
    </row>
    <row r="3644">
      <c r="A3644" s="1" t="s">
        <v>3643</v>
      </c>
      <c r="D3644" s="3">
        <f>IFERROR(__xludf.DUMMYFUNCTION("SPLIT(A3644, ""|"")"),43234.0)</f>
        <v>43234</v>
      </c>
      <c r="E3644" s="2">
        <f>IFERROR(__xludf.DUMMYFUNCTION("""COMPUTED_VALUE"""),218073.0)</f>
        <v>218073</v>
      </c>
      <c r="F3644" s="2">
        <f>IFERROR(__xludf.DUMMYFUNCTION("""COMPUTED_VALUE"""),4468179.0)</f>
        <v>4468179</v>
      </c>
      <c r="G3644" s="2">
        <f>IFERROR(__xludf.DUMMYFUNCTION("""COMPUTED_VALUE"""),70.9694)</f>
        <v>70.9694</v>
      </c>
    </row>
    <row r="3645">
      <c r="A3645" s="1" t="s">
        <v>3644</v>
      </c>
      <c r="D3645" s="3">
        <f>IFERROR(__xludf.DUMMYFUNCTION("SPLIT(A3645, ""|"")"),43242.0)</f>
        <v>43242</v>
      </c>
      <c r="E3645" s="2">
        <f>IFERROR(__xludf.DUMMYFUNCTION("""COMPUTED_VALUE"""),218073.0)</f>
        <v>218073</v>
      </c>
      <c r="F3645" s="2">
        <f>IFERROR(__xludf.DUMMYFUNCTION("""COMPUTED_VALUE"""),4487770.0)</f>
        <v>4487770</v>
      </c>
      <c r="G3645" s="2">
        <f>IFERROR(__xludf.DUMMYFUNCTION("""COMPUTED_VALUE"""),82.5857999999999)</f>
        <v>82.5858</v>
      </c>
    </row>
    <row r="3646">
      <c r="A3646" s="1" t="s">
        <v>3645</v>
      </c>
      <c r="D3646" s="3">
        <f>IFERROR(__xludf.DUMMYFUNCTION("SPLIT(A3646, ""|"")"),43018.0)</f>
        <v>43018</v>
      </c>
      <c r="E3646" s="2">
        <f>IFERROR(__xludf.DUMMYFUNCTION("""COMPUTED_VALUE"""),218073.0)</f>
        <v>218073</v>
      </c>
      <c r="F3646" s="2">
        <f>IFERROR(__xludf.DUMMYFUNCTION("""COMPUTED_VALUE"""),3857257.0)</f>
        <v>3857257</v>
      </c>
      <c r="G3646" s="2">
        <f>IFERROR(__xludf.DUMMYFUNCTION("""COMPUTED_VALUE"""),86.6959)</f>
        <v>86.6959</v>
      </c>
    </row>
    <row r="3647">
      <c r="A3647" s="1" t="s">
        <v>3646</v>
      </c>
      <c r="D3647" s="3">
        <f>IFERROR(__xludf.DUMMYFUNCTION("SPLIT(A3647, ""|"")"),43029.0)</f>
        <v>43029</v>
      </c>
      <c r="E3647" s="2">
        <f>IFERROR(__xludf.DUMMYFUNCTION("""COMPUTED_VALUE"""),218073.0)</f>
        <v>218073</v>
      </c>
      <c r="F3647" s="2">
        <f>IFERROR(__xludf.DUMMYFUNCTION("""COMPUTED_VALUE"""),3881094.0)</f>
        <v>3881094</v>
      </c>
      <c r="G3647" s="2">
        <f>IFERROR(__xludf.DUMMYFUNCTION("""COMPUTED_VALUE"""),91.3967)</f>
        <v>91.3967</v>
      </c>
    </row>
    <row r="3648">
      <c r="A3648" s="1" t="s">
        <v>3647</v>
      </c>
      <c r="D3648" s="3">
        <f>IFERROR(__xludf.DUMMYFUNCTION("SPLIT(A3648, ""|"")"),43287.0)</f>
        <v>43287</v>
      </c>
      <c r="E3648" s="2">
        <f>IFERROR(__xludf.DUMMYFUNCTION("""COMPUTED_VALUE"""),218073.0)</f>
        <v>218073</v>
      </c>
      <c r="F3648" s="2">
        <f>IFERROR(__xludf.DUMMYFUNCTION("""COMPUTED_VALUE"""),4593831.0)</f>
        <v>4593831</v>
      </c>
      <c r="G3648" s="2">
        <f>IFERROR(__xludf.DUMMYFUNCTION("""COMPUTED_VALUE"""),105.9413)</f>
        <v>105.9413</v>
      </c>
    </row>
    <row r="3649">
      <c r="A3649" s="1" t="s">
        <v>3648</v>
      </c>
      <c r="D3649" s="3">
        <f>IFERROR(__xludf.DUMMYFUNCTION("SPLIT(A3649, ""|"")"),43299.0)</f>
        <v>43299</v>
      </c>
      <c r="E3649" s="2">
        <f>IFERROR(__xludf.DUMMYFUNCTION("""COMPUTED_VALUE"""),218073.0)</f>
        <v>218073</v>
      </c>
      <c r="F3649" s="2">
        <f>IFERROR(__xludf.DUMMYFUNCTION("""COMPUTED_VALUE"""),4617527.0)</f>
        <v>4617527</v>
      </c>
      <c r="G3649" s="2">
        <f>IFERROR(__xludf.DUMMYFUNCTION("""COMPUTED_VALUE"""),82.8948)</f>
        <v>82.8948</v>
      </c>
    </row>
    <row r="3650">
      <c r="A3650" s="1" t="s">
        <v>3649</v>
      </c>
      <c r="D3650" s="3">
        <f>IFERROR(__xludf.DUMMYFUNCTION("SPLIT(A3650, ""|"")"),43049.0)</f>
        <v>43049</v>
      </c>
      <c r="E3650" s="2">
        <f>IFERROR(__xludf.DUMMYFUNCTION("""COMPUTED_VALUE"""),218073.0)</f>
        <v>218073</v>
      </c>
      <c r="F3650" s="2">
        <f>IFERROR(__xludf.DUMMYFUNCTION("""COMPUTED_VALUE"""),3932494.0)</f>
        <v>3932494</v>
      </c>
      <c r="G3650" s="2">
        <f>IFERROR(__xludf.DUMMYFUNCTION("""COMPUTED_VALUE"""),16.5833)</f>
        <v>16.5833</v>
      </c>
    </row>
    <row r="3651">
      <c r="A3651" s="1" t="s">
        <v>3650</v>
      </c>
      <c r="D3651" s="3">
        <f>IFERROR(__xludf.DUMMYFUNCTION("SPLIT(A3651, ""|"")"),43049.0)</f>
        <v>43049</v>
      </c>
      <c r="E3651" s="2">
        <f>IFERROR(__xludf.DUMMYFUNCTION("""COMPUTED_VALUE"""),218073.0)</f>
        <v>218073</v>
      </c>
      <c r="F3651" s="2">
        <f>IFERROR(__xludf.DUMMYFUNCTION("""COMPUTED_VALUE"""),3932518.0)</f>
        <v>3932518</v>
      </c>
      <c r="G3651" s="2">
        <f>IFERROR(__xludf.DUMMYFUNCTION("""COMPUTED_VALUE"""),110.072099999999)</f>
        <v>110.0721</v>
      </c>
    </row>
    <row r="3652">
      <c r="A3652" s="1" t="s">
        <v>3651</v>
      </c>
      <c r="D3652" s="3">
        <f>IFERROR(__xludf.DUMMYFUNCTION("SPLIT(A3652, ""|"")"),43060.0)</f>
        <v>43060</v>
      </c>
      <c r="E3652" s="2">
        <f>IFERROR(__xludf.DUMMYFUNCTION("""COMPUTED_VALUE"""),218073.0)</f>
        <v>218073</v>
      </c>
      <c r="F3652" s="2">
        <f>IFERROR(__xludf.DUMMYFUNCTION("""COMPUTED_VALUE"""),3965042.0)</f>
        <v>3965042</v>
      </c>
      <c r="G3652" s="2">
        <f>IFERROR(__xludf.DUMMYFUNCTION("""COMPUTED_VALUE"""),115.8741)</f>
        <v>115.8741</v>
      </c>
    </row>
    <row r="3653">
      <c r="A3653" s="1" t="s">
        <v>3652</v>
      </c>
      <c r="D3653" s="3">
        <f>IFERROR(__xludf.DUMMYFUNCTION("SPLIT(A3653, ""|"")"),43062.0)</f>
        <v>43062</v>
      </c>
      <c r="E3653" s="2">
        <f>IFERROR(__xludf.DUMMYFUNCTION("""COMPUTED_VALUE"""),218073.0)</f>
        <v>218073</v>
      </c>
      <c r="F3653" s="2">
        <f>IFERROR(__xludf.DUMMYFUNCTION("""COMPUTED_VALUE"""),3971645.0)</f>
        <v>3971645</v>
      </c>
      <c r="G3653" s="2">
        <f>IFERROR(__xludf.DUMMYFUNCTION("""COMPUTED_VALUE"""),69.0042)</f>
        <v>69.0042</v>
      </c>
    </row>
    <row r="3654">
      <c r="A3654" s="1" t="s">
        <v>3653</v>
      </c>
      <c r="D3654" s="3">
        <f>IFERROR(__xludf.DUMMYFUNCTION("SPLIT(A3654, ""|"")"),43351.0)</f>
        <v>43351</v>
      </c>
      <c r="E3654" s="2">
        <f>IFERROR(__xludf.DUMMYFUNCTION("""COMPUTED_VALUE"""),218073.0)</f>
        <v>218073</v>
      </c>
      <c r="F3654" s="2">
        <f>IFERROR(__xludf.DUMMYFUNCTION("""COMPUTED_VALUE"""),4745475.0)</f>
        <v>4745475</v>
      </c>
      <c r="G3654" s="2">
        <f>IFERROR(__xludf.DUMMYFUNCTION("""COMPUTED_VALUE"""),64.7329)</f>
        <v>64.7329</v>
      </c>
    </row>
    <row r="3655">
      <c r="A3655" s="1" t="s">
        <v>3654</v>
      </c>
      <c r="D3655" s="3">
        <f>IFERROR(__xludf.DUMMYFUNCTION("SPLIT(A3655, ""|"")"),43351.0)</f>
        <v>43351</v>
      </c>
      <c r="E3655" s="2">
        <f>IFERROR(__xludf.DUMMYFUNCTION("""COMPUTED_VALUE"""),218073.0)</f>
        <v>218073</v>
      </c>
      <c r="F3655" s="2">
        <f>IFERROR(__xludf.DUMMYFUNCTION("""COMPUTED_VALUE"""),4745439.0)</f>
        <v>4745439</v>
      </c>
      <c r="G3655" s="2">
        <f>IFERROR(__xludf.DUMMYFUNCTION("""COMPUTED_VALUE"""),73.0232)</f>
        <v>73.0232</v>
      </c>
    </row>
    <row r="3656">
      <c r="A3656" s="1" t="s">
        <v>3655</v>
      </c>
      <c r="D3656" s="3">
        <f>IFERROR(__xludf.DUMMYFUNCTION("SPLIT(A3656, ""|"")"),43099.0)</f>
        <v>43099</v>
      </c>
      <c r="E3656" s="2">
        <f>IFERROR(__xludf.DUMMYFUNCTION("""COMPUTED_VALUE"""),218073.0)</f>
        <v>218073</v>
      </c>
      <c r="F3656" s="2">
        <f>IFERROR(__xludf.DUMMYFUNCTION("""COMPUTED_VALUE"""),4078809.0)</f>
        <v>4078809</v>
      </c>
      <c r="G3656" s="2">
        <f>IFERROR(__xludf.DUMMYFUNCTION("""COMPUTED_VALUE"""),73.7237)</f>
        <v>73.7237</v>
      </c>
    </row>
    <row r="3657">
      <c r="A3657" s="1" t="s">
        <v>3656</v>
      </c>
      <c r="D3657" s="3">
        <f>IFERROR(__xludf.DUMMYFUNCTION("SPLIT(A3657, ""|"")"),43099.0)</f>
        <v>43099</v>
      </c>
      <c r="E3657" s="2">
        <f>IFERROR(__xludf.DUMMYFUNCTION("""COMPUTED_VALUE"""),218073.0)</f>
        <v>218073</v>
      </c>
      <c r="F3657" s="2">
        <f>IFERROR(__xludf.DUMMYFUNCTION("""COMPUTED_VALUE"""),4078903.0)</f>
        <v>4078903</v>
      </c>
      <c r="G3657" s="2">
        <f>IFERROR(__xludf.DUMMYFUNCTION("""COMPUTED_VALUE"""),124.9174)</f>
        <v>124.9174</v>
      </c>
    </row>
    <row r="3658">
      <c r="A3658" s="1" t="s">
        <v>3657</v>
      </c>
      <c r="D3658" s="3">
        <f>IFERROR(__xludf.DUMMYFUNCTION("SPLIT(A3658, ""|"")"),43134.0)</f>
        <v>43134</v>
      </c>
      <c r="E3658" s="2">
        <f>IFERROR(__xludf.DUMMYFUNCTION("""COMPUTED_VALUE"""),218073.0)</f>
        <v>218073</v>
      </c>
      <c r="F3658" s="2">
        <f>IFERROR(__xludf.DUMMYFUNCTION("""COMPUTED_VALUE"""),4186937.0)</f>
        <v>4186937</v>
      </c>
      <c r="G3658" s="2">
        <f>IFERROR(__xludf.DUMMYFUNCTION("""COMPUTED_VALUE"""),91.5496)</f>
        <v>91.5496</v>
      </c>
    </row>
    <row r="3659">
      <c r="A3659" s="1" t="s">
        <v>3658</v>
      </c>
      <c r="D3659" s="3">
        <f>IFERROR(__xludf.DUMMYFUNCTION("SPLIT(A3659, ""|"")"),43406.0)</f>
        <v>43406</v>
      </c>
      <c r="E3659" s="2">
        <f>IFERROR(__xludf.DUMMYFUNCTION("""COMPUTED_VALUE"""),218073.0)</f>
        <v>218073</v>
      </c>
      <c r="F3659" s="2">
        <f>IFERROR(__xludf.DUMMYFUNCTION("""COMPUTED_VALUE"""),4965157.0)</f>
        <v>4965157</v>
      </c>
      <c r="G3659" s="2">
        <f>IFERROR(__xludf.DUMMYFUNCTION("""COMPUTED_VALUE"""),100.1852)</f>
        <v>100.1852</v>
      </c>
    </row>
    <row r="3660">
      <c r="A3660" s="1" t="s">
        <v>3659</v>
      </c>
      <c r="D3660" s="3">
        <f>IFERROR(__xludf.DUMMYFUNCTION("SPLIT(A3660, ""|"")"),43177.0)</f>
        <v>43177</v>
      </c>
      <c r="E3660" s="2">
        <f>IFERROR(__xludf.DUMMYFUNCTION("""COMPUTED_VALUE"""),218073.0)</f>
        <v>218073</v>
      </c>
      <c r="F3660" s="2">
        <f>IFERROR(__xludf.DUMMYFUNCTION("""COMPUTED_VALUE"""),4308302.0)</f>
        <v>4308302</v>
      </c>
      <c r="G3660" s="2">
        <f>IFERROR(__xludf.DUMMYFUNCTION("""COMPUTED_VALUE"""),82.7644)</f>
        <v>82.7644</v>
      </c>
    </row>
    <row r="3661">
      <c r="A3661" s="1" t="s">
        <v>3660</v>
      </c>
      <c r="D3661" s="3">
        <f>IFERROR(__xludf.DUMMYFUNCTION("SPLIT(A3661, ""|"")"),42926.0)</f>
        <v>42926</v>
      </c>
      <c r="E3661" s="2">
        <f>IFERROR(__xludf.DUMMYFUNCTION("""COMPUTED_VALUE"""),218073.0)</f>
        <v>218073</v>
      </c>
      <c r="F3661" s="2">
        <f>IFERROR(__xludf.DUMMYFUNCTION("""COMPUTED_VALUE"""),3635755.0)</f>
        <v>3635755</v>
      </c>
      <c r="G3661" s="2">
        <f>IFERROR(__xludf.DUMMYFUNCTION("""COMPUTED_VALUE"""),79.8585)</f>
        <v>79.8585</v>
      </c>
    </row>
    <row r="3662">
      <c r="A3662" s="1" t="s">
        <v>3661</v>
      </c>
      <c r="D3662" s="3">
        <f>IFERROR(__xludf.DUMMYFUNCTION("SPLIT(A3662, ""|"")"),43198.0)</f>
        <v>43198</v>
      </c>
      <c r="E3662" s="2">
        <f>IFERROR(__xludf.DUMMYFUNCTION("""COMPUTED_VALUE"""),218073.0)</f>
        <v>218073</v>
      </c>
      <c r="F3662" s="2">
        <f>IFERROR(__xludf.DUMMYFUNCTION("""COMPUTED_VALUE"""),4370916.0)</f>
        <v>4370916</v>
      </c>
      <c r="G3662" s="2">
        <f>IFERROR(__xludf.DUMMYFUNCTION("""COMPUTED_VALUE"""),86.3926)</f>
        <v>86.3926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3662</v>
      </c>
      <c r="B1" s="2" t="s">
        <v>3663</v>
      </c>
      <c r="C1" s="2" t="s">
        <v>3664</v>
      </c>
      <c r="D1" s="2" t="s">
        <v>3665</v>
      </c>
    </row>
    <row r="2">
      <c r="A2" s="4">
        <v>44803.0</v>
      </c>
      <c r="B2" s="2">
        <v>1311453.0</v>
      </c>
      <c r="C2" s="2">
        <v>3751676.0</v>
      </c>
      <c r="D2" s="2">
        <v>38.7004999999999</v>
      </c>
    </row>
    <row r="3">
      <c r="A3" s="4">
        <v>44803.0</v>
      </c>
      <c r="B3" s="2">
        <v>1403193.0</v>
      </c>
      <c r="C3" s="2">
        <v>3751818.0</v>
      </c>
      <c r="D3" s="2">
        <v>82.5</v>
      </c>
    </row>
    <row r="4">
      <c r="A4" s="4">
        <v>45059.0</v>
      </c>
      <c r="B4" s="2">
        <v>1356693.0</v>
      </c>
      <c r="C4" s="2">
        <v>4464802.0</v>
      </c>
      <c r="D4" s="2">
        <v>92.0232999999999</v>
      </c>
    </row>
    <row r="5">
      <c r="A5" s="4">
        <v>45059.0</v>
      </c>
      <c r="B5" s="2">
        <v>257913.0</v>
      </c>
      <c r="C5" s="2">
        <v>4464586.0</v>
      </c>
      <c r="D5" s="2">
        <v>117.624</v>
      </c>
    </row>
    <row r="6">
      <c r="A6" s="4">
        <v>45059.0</v>
      </c>
      <c r="B6" s="2">
        <v>1151013.0</v>
      </c>
      <c r="C6" s="2">
        <v>4462978.0</v>
      </c>
      <c r="D6" s="2">
        <v>95.4903999999999</v>
      </c>
    </row>
    <row r="7">
      <c r="A7" s="4">
        <v>45059.0</v>
      </c>
      <c r="B7" s="2">
        <v>1442493.0</v>
      </c>
      <c r="C7" s="2">
        <v>4463241.0</v>
      </c>
      <c r="D7" s="2">
        <v>89.4834</v>
      </c>
    </row>
    <row r="8">
      <c r="A8" s="4">
        <v>45059.0</v>
      </c>
      <c r="B8" s="2">
        <v>1593033.0</v>
      </c>
      <c r="C8" s="2">
        <v>4464150.0</v>
      </c>
      <c r="D8" s="2">
        <v>73.2977</v>
      </c>
    </row>
    <row r="9">
      <c r="A9" s="4">
        <v>45059.0</v>
      </c>
      <c r="B9" s="2">
        <v>300033.0</v>
      </c>
      <c r="C9" s="2">
        <v>4462263.0</v>
      </c>
      <c r="D9" s="2">
        <v>89.4979999999999</v>
      </c>
    </row>
    <row r="10">
      <c r="A10" s="4">
        <v>45059.0</v>
      </c>
      <c r="B10" s="2">
        <v>1593093.0</v>
      </c>
      <c r="C10" s="2">
        <v>4464340.0</v>
      </c>
      <c r="D10" s="2">
        <v>4.5898</v>
      </c>
    </row>
    <row r="11">
      <c r="A11" s="4">
        <v>44804.0</v>
      </c>
      <c r="B11" s="2">
        <v>248073.0</v>
      </c>
      <c r="C11" s="2">
        <v>3756410.0</v>
      </c>
      <c r="D11" s="2">
        <v>91.3764999999999</v>
      </c>
    </row>
    <row r="12">
      <c r="A12" s="4">
        <v>44804.0</v>
      </c>
      <c r="B12" s="2">
        <v>89313.0</v>
      </c>
      <c r="C12" s="2">
        <v>3755848.0</v>
      </c>
      <c r="D12" s="2">
        <v>69.7342</v>
      </c>
    </row>
    <row r="13">
      <c r="A13" s="4">
        <v>44804.0</v>
      </c>
      <c r="B13" s="2">
        <v>415293.0</v>
      </c>
      <c r="C13" s="2">
        <v>3755009.0</v>
      </c>
      <c r="D13" s="2">
        <v>71.7612</v>
      </c>
    </row>
    <row r="14">
      <c r="A14" s="4">
        <v>44804.0</v>
      </c>
      <c r="B14" s="2">
        <v>1337073.0</v>
      </c>
      <c r="C14" s="2">
        <v>3754927.0</v>
      </c>
      <c r="D14" s="2">
        <v>119.9423</v>
      </c>
    </row>
    <row r="15">
      <c r="A15" s="4">
        <v>44804.0</v>
      </c>
      <c r="B15" s="2">
        <v>996933.0</v>
      </c>
      <c r="C15" s="2">
        <v>3756137.0</v>
      </c>
      <c r="D15" s="2">
        <v>103.5909</v>
      </c>
    </row>
    <row r="16">
      <c r="A16" s="4">
        <v>44804.0</v>
      </c>
      <c r="B16" s="2">
        <v>1357653.0</v>
      </c>
      <c r="C16" s="2">
        <v>3756474.0</v>
      </c>
      <c r="D16" s="2">
        <v>63.6505</v>
      </c>
    </row>
    <row r="17">
      <c r="A17" s="4">
        <v>44804.0</v>
      </c>
      <c r="B17" s="2">
        <v>1404003.0</v>
      </c>
      <c r="C17" s="2">
        <v>3755189.0</v>
      </c>
      <c r="D17" s="2">
        <v>19.3841</v>
      </c>
    </row>
    <row r="18">
      <c r="A18" s="4">
        <v>44804.0</v>
      </c>
      <c r="B18" s="2">
        <v>1404303.0</v>
      </c>
      <c r="C18" s="2">
        <v>3756547.0</v>
      </c>
      <c r="D18" s="2">
        <v>10.5167</v>
      </c>
    </row>
    <row r="19">
      <c r="A19" s="4">
        <v>44804.0</v>
      </c>
      <c r="B19" s="2">
        <v>1216383.0</v>
      </c>
      <c r="C19" s="2">
        <v>3755543.0</v>
      </c>
      <c r="D19" s="2">
        <v>138.3357</v>
      </c>
    </row>
    <row r="20">
      <c r="A20" s="4">
        <v>45060.0</v>
      </c>
      <c r="B20" s="2">
        <v>1593993.0</v>
      </c>
      <c r="C20" s="2">
        <v>4468830.0</v>
      </c>
      <c r="D20" s="2">
        <v>38.583</v>
      </c>
    </row>
    <row r="21">
      <c r="A21" s="4">
        <v>45060.0</v>
      </c>
      <c r="B21" s="2">
        <v>474633.0</v>
      </c>
      <c r="C21" s="2">
        <v>4468264.0</v>
      </c>
      <c r="D21" s="2">
        <v>83.5488</v>
      </c>
    </row>
    <row r="22">
      <c r="A22" s="4">
        <v>45060.0</v>
      </c>
      <c r="B22" s="2">
        <v>1593513.0</v>
      </c>
      <c r="C22" s="2">
        <v>4466367.0</v>
      </c>
      <c r="D22" s="2">
        <v>73.3597</v>
      </c>
    </row>
    <row r="23">
      <c r="A23" s="4">
        <v>45060.0</v>
      </c>
      <c r="B23" s="2">
        <v>1593603.0</v>
      </c>
      <c r="C23" s="2">
        <v>4466595.0</v>
      </c>
      <c r="D23" s="2">
        <v>59.3189999999999</v>
      </c>
    </row>
    <row r="24">
      <c r="A24" s="4">
        <v>45060.0</v>
      </c>
      <c r="B24" s="2">
        <v>1333263.0</v>
      </c>
      <c r="C24" s="2">
        <v>4466252.0</v>
      </c>
      <c r="D24" s="2">
        <v>93.4371999999999</v>
      </c>
    </row>
    <row r="25">
      <c r="A25" s="4">
        <v>45060.0</v>
      </c>
      <c r="B25" s="2">
        <v>1232733.0</v>
      </c>
      <c r="C25" s="2">
        <v>4468369.0</v>
      </c>
      <c r="D25" s="2">
        <v>97.4375</v>
      </c>
    </row>
    <row r="26">
      <c r="A26" s="4">
        <v>45060.0</v>
      </c>
      <c r="B26" s="2">
        <v>1452273.0</v>
      </c>
      <c r="C26" s="2">
        <v>4465445.0</v>
      </c>
      <c r="D26" s="2">
        <v>35.2300999999999</v>
      </c>
    </row>
    <row r="27">
      <c r="A27" s="4">
        <v>45060.0</v>
      </c>
      <c r="B27" s="2">
        <v>1433553.0</v>
      </c>
      <c r="C27" s="2">
        <v>4467289.0</v>
      </c>
      <c r="D27" s="2">
        <v>145.384699999999</v>
      </c>
    </row>
    <row r="28">
      <c r="A28" s="4">
        <v>44805.0</v>
      </c>
      <c r="B28" s="2">
        <v>186663.0</v>
      </c>
      <c r="C28" s="2">
        <v>3757403.0</v>
      </c>
      <c r="D28" s="2">
        <v>77.8556999999999</v>
      </c>
    </row>
    <row r="29">
      <c r="A29" s="4">
        <v>44805.0</v>
      </c>
      <c r="B29" s="2">
        <v>1404093.0</v>
      </c>
      <c r="C29" s="2">
        <v>3758125.0</v>
      </c>
      <c r="D29" s="2">
        <v>95.8272</v>
      </c>
    </row>
    <row r="30">
      <c r="A30" s="4">
        <v>44805.0</v>
      </c>
      <c r="B30" s="2">
        <v>1404513.0</v>
      </c>
      <c r="C30" s="2">
        <v>3758683.0</v>
      </c>
      <c r="D30" s="2">
        <v>22.18</v>
      </c>
    </row>
    <row r="31">
      <c r="A31" s="4">
        <v>44805.0</v>
      </c>
      <c r="B31" s="2">
        <v>1228443.0</v>
      </c>
      <c r="C31" s="2">
        <v>3758627.0</v>
      </c>
      <c r="D31" s="2">
        <v>61.6832</v>
      </c>
    </row>
    <row r="32">
      <c r="A32" s="4">
        <v>44805.0</v>
      </c>
      <c r="B32" s="2">
        <v>1090473.0</v>
      </c>
      <c r="C32" s="2">
        <v>3758658.0</v>
      </c>
      <c r="D32" s="2">
        <v>73.3761</v>
      </c>
    </row>
    <row r="33">
      <c r="A33" s="4">
        <v>44805.0</v>
      </c>
      <c r="B33" s="2">
        <v>1380573.0</v>
      </c>
      <c r="C33" s="2">
        <v>3757714.0</v>
      </c>
      <c r="D33" s="2">
        <v>16.4928</v>
      </c>
    </row>
    <row r="34">
      <c r="A34" s="4">
        <v>45061.0</v>
      </c>
      <c r="B34" s="2">
        <v>415293.0</v>
      </c>
      <c r="C34" s="2">
        <v>4469769.0</v>
      </c>
      <c r="D34" s="2">
        <v>59.2456</v>
      </c>
    </row>
    <row r="35">
      <c r="A35" s="4">
        <v>45061.0</v>
      </c>
      <c r="B35" s="2">
        <v>1332093.0</v>
      </c>
      <c r="C35" s="2">
        <v>4471324.0</v>
      </c>
      <c r="D35" s="2">
        <v>37.422</v>
      </c>
    </row>
    <row r="36">
      <c r="A36" s="4">
        <v>45061.0</v>
      </c>
      <c r="B36" s="2">
        <v>231783.0</v>
      </c>
      <c r="C36" s="2">
        <v>4470605.0</v>
      </c>
      <c r="D36" s="2">
        <v>69.7631</v>
      </c>
    </row>
    <row r="37">
      <c r="A37" s="4">
        <v>45061.0</v>
      </c>
      <c r="B37" s="2">
        <v>1478673.0</v>
      </c>
      <c r="C37" s="2">
        <v>4469891.0</v>
      </c>
      <c r="D37" s="2">
        <v>93.1735</v>
      </c>
    </row>
    <row r="38">
      <c r="A38" s="4">
        <v>45061.0</v>
      </c>
      <c r="B38" s="2">
        <v>1594623.0</v>
      </c>
      <c r="C38" s="2">
        <v>4471220.0</v>
      </c>
      <c r="D38" s="2">
        <v>18.1315</v>
      </c>
    </row>
    <row r="39">
      <c r="A39" s="4">
        <v>45061.0</v>
      </c>
      <c r="B39" s="2">
        <v>1594713.0</v>
      </c>
      <c r="C39" s="2">
        <v>4471611.0</v>
      </c>
      <c r="D39" s="2">
        <v>12.5332</v>
      </c>
    </row>
    <row r="40">
      <c r="A40" s="4">
        <v>44806.0</v>
      </c>
      <c r="B40" s="2">
        <v>1304793.0</v>
      </c>
      <c r="C40" s="2">
        <v>3760737.0</v>
      </c>
      <c r="D40" s="2">
        <v>127.8421</v>
      </c>
    </row>
    <row r="41">
      <c r="A41" s="4">
        <v>44806.0</v>
      </c>
      <c r="B41" s="2">
        <v>1349433.0</v>
      </c>
      <c r="C41" s="2">
        <v>3760439.0</v>
      </c>
      <c r="D41" s="2">
        <v>63.8088</v>
      </c>
    </row>
    <row r="42">
      <c r="A42" s="4">
        <v>44806.0</v>
      </c>
      <c r="B42" s="2">
        <v>221733.0</v>
      </c>
      <c r="C42" s="2">
        <v>3759350.0</v>
      </c>
      <c r="D42" s="2">
        <v>199.6974</v>
      </c>
    </row>
    <row r="43">
      <c r="A43" s="4">
        <v>45062.0</v>
      </c>
      <c r="B43" s="2">
        <v>1177893.0</v>
      </c>
      <c r="C43" s="2">
        <v>4474212.0</v>
      </c>
      <c r="D43" s="2">
        <v>92.769</v>
      </c>
    </row>
    <row r="44">
      <c r="A44" s="4">
        <v>45062.0</v>
      </c>
      <c r="B44" s="2">
        <v>481893.0</v>
      </c>
      <c r="C44" s="2">
        <v>4473178.0</v>
      </c>
      <c r="D44" s="2">
        <v>66.3193</v>
      </c>
    </row>
    <row r="45">
      <c r="A45" s="4">
        <v>45062.0</v>
      </c>
      <c r="B45" s="2">
        <v>1594803.0</v>
      </c>
      <c r="C45" s="2">
        <v>4472057.0</v>
      </c>
      <c r="D45" s="2">
        <v>59.9555</v>
      </c>
    </row>
    <row r="46">
      <c r="A46" s="4">
        <v>45062.0</v>
      </c>
      <c r="B46" s="2">
        <v>485253.0</v>
      </c>
      <c r="C46" s="2">
        <v>4474261.0</v>
      </c>
      <c r="D46" s="2">
        <v>124.4267</v>
      </c>
    </row>
    <row r="47">
      <c r="A47" s="4">
        <v>45062.0</v>
      </c>
      <c r="B47" s="2">
        <v>1499163.0</v>
      </c>
      <c r="C47" s="2">
        <v>4473308.0</v>
      </c>
      <c r="D47" s="2">
        <v>75.9585</v>
      </c>
    </row>
    <row r="48">
      <c r="A48" s="4">
        <v>45062.0</v>
      </c>
      <c r="B48" s="2">
        <v>1595193.0</v>
      </c>
      <c r="C48" s="2">
        <v>4473520.0</v>
      </c>
      <c r="D48" s="2">
        <v>32.597</v>
      </c>
    </row>
    <row r="49">
      <c r="A49" s="4">
        <v>45062.0</v>
      </c>
      <c r="B49" s="2">
        <v>1595253.0</v>
      </c>
      <c r="C49" s="2">
        <v>4474139.0</v>
      </c>
      <c r="D49" s="2">
        <v>53.2347</v>
      </c>
    </row>
    <row r="50">
      <c r="A50" s="4">
        <v>45062.0</v>
      </c>
      <c r="B50" s="2">
        <v>1223523.0</v>
      </c>
      <c r="C50" s="2">
        <v>4473006.0</v>
      </c>
      <c r="D50" s="2">
        <v>92.7494</v>
      </c>
    </row>
    <row r="51">
      <c r="A51" s="4">
        <v>44807.0</v>
      </c>
      <c r="B51" s="2">
        <v>1405593.0</v>
      </c>
      <c r="C51" s="2">
        <v>3761500.0</v>
      </c>
      <c r="D51" s="2">
        <v>7.7876</v>
      </c>
    </row>
    <row r="52">
      <c r="A52" s="4">
        <v>44807.0</v>
      </c>
      <c r="B52" s="2">
        <v>1405893.0</v>
      </c>
      <c r="C52" s="2">
        <v>3762410.0</v>
      </c>
      <c r="D52" s="2">
        <v>70.5544999999999</v>
      </c>
    </row>
    <row r="53">
      <c r="A53" s="4">
        <v>44807.0</v>
      </c>
      <c r="B53" s="2">
        <v>1393893.0</v>
      </c>
      <c r="C53" s="2">
        <v>3763387.0</v>
      </c>
      <c r="D53" s="2">
        <v>153.867899999999</v>
      </c>
    </row>
    <row r="54">
      <c r="A54" s="4">
        <v>44807.0</v>
      </c>
      <c r="B54" s="2">
        <v>1406283.0</v>
      </c>
      <c r="C54" s="2">
        <v>3763956.0</v>
      </c>
      <c r="D54" s="2">
        <v>38.9494</v>
      </c>
    </row>
    <row r="55">
      <c r="A55" s="4">
        <v>45063.0</v>
      </c>
      <c r="B55" s="2">
        <v>1426383.0</v>
      </c>
      <c r="C55" s="2">
        <v>4476416.0</v>
      </c>
      <c r="D55" s="2">
        <v>80.2064</v>
      </c>
    </row>
    <row r="56">
      <c r="A56" s="4">
        <v>45063.0</v>
      </c>
      <c r="B56" s="2">
        <v>1475553.0</v>
      </c>
      <c r="C56" s="2">
        <v>4475381.0</v>
      </c>
      <c r="D56" s="2">
        <v>41.6334</v>
      </c>
    </row>
    <row r="57">
      <c r="A57" s="4">
        <v>45063.0</v>
      </c>
      <c r="B57" s="2">
        <v>1455903.0</v>
      </c>
      <c r="C57" s="2">
        <v>4476500.0</v>
      </c>
      <c r="D57" s="2">
        <v>59.8301</v>
      </c>
    </row>
    <row r="58">
      <c r="A58" s="4">
        <v>45063.0</v>
      </c>
      <c r="B58" s="2">
        <v>1595793.0</v>
      </c>
      <c r="C58" s="2">
        <v>4475849.0</v>
      </c>
      <c r="D58" s="2">
        <v>30.0</v>
      </c>
    </row>
    <row r="59">
      <c r="A59" s="4">
        <v>45063.0</v>
      </c>
      <c r="B59" s="2">
        <v>1496013.0</v>
      </c>
      <c r="C59" s="2">
        <v>4476409.0</v>
      </c>
      <c r="D59" s="2">
        <v>99.4925</v>
      </c>
    </row>
    <row r="60">
      <c r="A60" s="4">
        <v>45063.0</v>
      </c>
      <c r="B60" s="2">
        <v>278733.0</v>
      </c>
      <c r="C60" s="2">
        <v>4475054.0</v>
      </c>
      <c r="D60" s="2">
        <v>69.5161</v>
      </c>
    </row>
    <row r="61">
      <c r="A61" s="4">
        <v>44808.0</v>
      </c>
      <c r="B61" s="2">
        <v>1162143.0</v>
      </c>
      <c r="C61" s="2">
        <v>3765915.0</v>
      </c>
      <c r="D61" s="2">
        <v>110.869599999999</v>
      </c>
    </row>
    <row r="62">
      <c r="A62" s="4">
        <v>44808.0</v>
      </c>
      <c r="B62" s="2">
        <v>1106103.0</v>
      </c>
      <c r="C62" s="2">
        <v>3766923.0</v>
      </c>
      <c r="D62" s="2">
        <v>48.4768</v>
      </c>
    </row>
    <row r="63">
      <c r="A63" s="4">
        <v>44808.0</v>
      </c>
      <c r="B63" s="2">
        <v>1406463.0</v>
      </c>
      <c r="C63" s="2">
        <v>3764898.0</v>
      </c>
      <c r="D63" s="2">
        <v>32.3562</v>
      </c>
    </row>
    <row r="64">
      <c r="A64" s="4">
        <v>44808.0</v>
      </c>
      <c r="B64" s="2">
        <v>1381413.0</v>
      </c>
      <c r="C64" s="2">
        <v>3764225.0</v>
      </c>
      <c r="D64" s="2">
        <v>60.9781</v>
      </c>
    </row>
    <row r="65">
      <c r="A65" s="4">
        <v>44808.0</v>
      </c>
      <c r="B65" s="2">
        <v>1372173.0</v>
      </c>
      <c r="C65" s="2">
        <v>3765448.0</v>
      </c>
      <c r="D65" s="2">
        <v>62.7508</v>
      </c>
    </row>
    <row r="66">
      <c r="A66" s="4">
        <v>44808.0</v>
      </c>
      <c r="B66" s="2">
        <v>247473.0</v>
      </c>
      <c r="C66" s="2">
        <v>3765037.0</v>
      </c>
      <c r="D66" s="2">
        <v>65.3463</v>
      </c>
    </row>
    <row r="67">
      <c r="A67" s="4">
        <v>44808.0</v>
      </c>
      <c r="B67" s="2">
        <v>391113.0</v>
      </c>
      <c r="C67" s="2">
        <v>3764275.0</v>
      </c>
      <c r="D67" s="2">
        <v>43.6241</v>
      </c>
    </row>
    <row r="68">
      <c r="A68" s="4">
        <v>44808.0</v>
      </c>
      <c r="B68" s="2">
        <v>1406523.0</v>
      </c>
      <c r="C68" s="2">
        <v>3765187.0</v>
      </c>
      <c r="D68" s="2">
        <v>53.1583</v>
      </c>
    </row>
    <row r="69">
      <c r="A69" s="4">
        <v>44808.0</v>
      </c>
      <c r="B69" s="2">
        <v>1319373.0</v>
      </c>
      <c r="C69" s="2">
        <v>3764194.0</v>
      </c>
      <c r="D69" s="2">
        <v>83.9686</v>
      </c>
    </row>
    <row r="70">
      <c r="A70" s="4">
        <v>44808.0</v>
      </c>
      <c r="B70" s="2">
        <v>1400553.0</v>
      </c>
      <c r="C70" s="2">
        <v>3766133.0</v>
      </c>
      <c r="D70" s="2">
        <v>51.7823999999999</v>
      </c>
    </row>
    <row r="71">
      <c r="A71" s="4">
        <v>44808.0</v>
      </c>
      <c r="B71" s="2">
        <v>300033.0</v>
      </c>
      <c r="C71" s="2">
        <v>3764598.0</v>
      </c>
      <c r="D71" s="2">
        <v>35.7986</v>
      </c>
    </row>
    <row r="72">
      <c r="A72" s="4">
        <v>44808.0</v>
      </c>
      <c r="B72" s="2">
        <v>1209063.0</v>
      </c>
      <c r="C72" s="2">
        <v>3765090.0</v>
      </c>
      <c r="D72" s="2">
        <v>85.984</v>
      </c>
    </row>
    <row r="73">
      <c r="A73" s="4">
        <v>45064.0</v>
      </c>
      <c r="B73" s="2">
        <v>1019493.0</v>
      </c>
      <c r="C73" s="2">
        <v>4478003.0</v>
      </c>
      <c r="D73" s="2">
        <v>82.8858999999999</v>
      </c>
    </row>
    <row r="74">
      <c r="A74" s="4">
        <v>45064.0</v>
      </c>
      <c r="B74" s="2">
        <v>1379103.0</v>
      </c>
      <c r="C74" s="2">
        <v>4478049.0</v>
      </c>
      <c r="D74" s="2">
        <v>29.2342</v>
      </c>
    </row>
    <row r="75">
      <c r="A75" s="4">
        <v>45064.0</v>
      </c>
      <c r="B75" s="2">
        <v>1596483.0</v>
      </c>
      <c r="C75" s="2">
        <v>4478413.0</v>
      </c>
      <c r="D75" s="2">
        <v>10.1432</v>
      </c>
    </row>
    <row r="76">
      <c r="A76" s="4">
        <v>45064.0</v>
      </c>
      <c r="B76" s="2">
        <v>1030023.0</v>
      </c>
      <c r="C76" s="2">
        <v>4477242.0</v>
      </c>
      <c r="D76" s="2">
        <v>69.4468</v>
      </c>
    </row>
    <row r="77">
      <c r="A77" s="4">
        <v>44809.0</v>
      </c>
      <c r="B77" s="2">
        <v>1407633.0</v>
      </c>
      <c r="C77" s="2">
        <v>3769938.0</v>
      </c>
      <c r="D77" s="2">
        <v>19.4834</v>
      </c>
    </row>
    <row r="78">
      <c r="A78" s="4">
        <v>44809.0</v>
      </c>
      <c r="B78" s="2">
        <v>1407573.0</v>
      </c>
      <c r="C78" s="2">
        <v>3769643.0</v>
      </c>
      <c r="D78" s="2">
        <v>73.8975</v>
      </c>
    </row>
    <row r="79">
      <c r="A79" s="4">
        <v>44809.0</v>
      </c>
      <c r="B79" s="2">
        <v>1386543.0</v>
      </c>
      <c r="C79" s="2">
        <v>3770010.0</v>
      </c>
      <c r="D79" s="2">
        <v>59.9655999999999</v>
      </c>
    </row>
    <row r="80">
      <c r="A80" s="4">
        <v>44810.0</v>
      </c>
      <c r="B80" s="2">
        <v>1046973.0</v>
      </c>
      <c r="C80" s="2">
        <v>3770441.0</v>
      </c>
      <c r="D80" s="2">
        <v>17.134</v>
      </c>
    </row>
    <row r="81">
      <c r="A81" s="4">
        <v>44810.0</v>
      </c>
      <c r="B81" s="2">
        <v>1082913.0</v>
      </c>
      <c r="C81" s="2">
        <v>3770683.0</v>
      </c>
      <c r="D81" s="2">
        <v>121.9052</v>
      </c>
    </row>
    <row r="82">
      <c r="A82" s="4">
        <v>44810.0</v>
      </c>
      <c r="B82" s="2">
        <v>1267803.0</v>
      </c>
      <c r="C82" s="2">
        <v>3772594.0</v>
      </c>
      <c r="D82" s="2">
        <v>112.6967</v>
      </c>
    </row>
    <row r="83">
      <c r="A83" s="4">
        <v>44810.0</v>
      </c>
      <c r="B83" s="2">
        <v>1046973.0</v>
      </c>
      <c r="C83" s="2">
        <v>3770487.0</v>
      </c>
      <c r="D83" s="2">
        <v>23.2336</v>
      </c>
    </row>
    <row r="84">
      <c r="A84" s="4">
        <v>44810.0</v>
      </c>
      <c r="B84" s="2">
        <v>1408203.0</v>
      </c>
      <c r="C84" s="2">
        <v>3772091.0</v>
      </c>
      <c r="D84" s="2">
        <v>11.7</v>
      </c>
    </row>
    <row r="85">
      <c r="A85" s="4">
        <v>44811.0</v>
      </c>
      <c r="B85" s="2">
        <v>366003.0</v>
      </c>
      <c r="C85" s="2">
        <v>3773741.0</v>
      </c>
      <c r="D85" s="2">
        <v>79.67</v>
      </c>
    </row>
    <row r="86">
      <c r="A86" s="4">
        <v>44811.0</v>
      </c>
      <c r="B86" s="2">
        <v>221733.0</v>
      </c>
      <c r="C86" s="2">
        <v>3775210.0</v>
      </c>
      <c r="D86" s="2">
        <v>516.2565</v>
      </c>
    </row>
    <row r="87">
      <c r="A87" s="4">
        <v>44811.0</v>
      </c>
      <c r="B87" s="2">
        <v>1405383.0</v>
      </c>
      <c r="C87" s="2">
        <v>3773477.0</v>
      </c>
      <c r="D87" s="2">
        <v>64.6943</v>
      </c>
    </row>
    <row r="88">
      <c r="A88" s="4">
        <v>44811.0</v>
      </c>
      <c r="B88" s="2">
        <v>114033.0</v>
      </c>
      <c r="C88" s="2">
        <v>3774160.0</v>
      </c>
      <c r="D88" s="2">
        <v>95.8462</v>
      </c>
    </row>
    <row r="89">
      <c r="A89" s="4">
        <v>44811.0</v>
      </c>
      <c r="B89" s="2">
        <v>948573.0</v>
      </c>
      <c r="C89" s="2">
        <v>3775705.0</v>
      </c>
      <c r="D89" s="2">
        <v>98.1575</v>
      </c>
    </row>
    <row r="90">
      <c r="A90" s="4">
        <v>44811.0</v>
      </c>
      <c r="B90" s="2">
        <v>416013.0</v>
      </c>
      <c r="C90" s="2">
        <v>3773914.0</v>
      </c>
      <c r="D90" s="2">
        <v>38.2104999999999</v>
      </c>
    </row>
    <row r="91">
      <c r="A91" s="4">
        <v>44811.0</v>
      </c>
      <c r="B91" s="2">
        <v>98433.0</v>
      </c>
      <c r="C91" s="2">
        <v>3775734.0</v>
      </c>
      <c r="D91" s="2">
        <v>72.42</v>
      </c>
    </row>
    <row r="92">
      <c r="A92" s="4">
        <v>44811.0</v>
      </c>
      <c r="B92" s="2">
        <v>1319343.0</v>
      </c>
      <c r="C92" s="2">
        <v>3775390.0</v>
      </c>
      <c r="D92" s="2">
        <v>62.5448</v>
      </c>
    </row>
    <row r="93">
      <c r="A93" s="4">
        <v>44811.0</v>
      </c>
      <c r="B93" s="2">
        <v>473733.0</v>
      </c>
      <c r="C93" s="2">
        <v>3773841.0</v>
      </c>
      <c r="D93" s="2">
        <v>24.9752</v>
      </c>
    </row>
    <row r="94">
      <c r="A94" s="4">
        <v>45067.0</v>
      </c>
      <c r="B94" s="2">
        <v>1478823.0</v>
      </c>
      <c r="C94" s="2">
        <v>4484475.0</v>
      </c>
      <c r="D94" s="2">
        <v>58.0362</v>
      </c>
    </row>
    <row r="95">
      <c r="A95" s="4">
        <v>45067.0</v>
      </c>
      <c r="B95" s="2">
        <v>1495833.0</v>
      </c>
      <c r="C95" s="2">
        <v>4483860.0</v>
      </c>
      <c r="D95" s="2">
        <v>36.6846</v>
      </c>
    </row>
    <row r="96">
      <c r="A96" s="4">
        <v>45067.0</v>
      </c>
      <c r="B96" s="2">
        <v>1460043.0</v>
      </c>
      <c r="C96" s="2">
        <v>4484844.0</v>
      </c>
      <c r="D96" s="2">
        <v>73.1489</v>
      </c>
    </row>
    <row r="97">
      <c r="A97" s="4">
        <v>45067.0</v>
      </c>
      <c r="B97" s="2">
        <v>395523.0</v>
      </c>
      <c r="C97" s="2">
        <v>4482818.0</v>
      </c>
      <c r="D97" s="2">
        <v>76.1238</v>
      </c>
    </row>
    <row r="98">
      <c r="A98" s="4">
        <v>45067.0</v>
      </c>
      <c r="B98" s="2">
        <v>1489683.0</v>
      </c>
      <c r="C98" s="2">
        <v>4482446.0</v>
      </c>
      <c r="D98" s="2">
        <v>52.4138</v>
      </c>
    </row>
    <row r="99">
      <c r="A99" s="4">
        <v>45067.0</v>
      </c>
      <c r="B99" s="2">
        <v>1410633.0</v>
      </c>
      <c r="C99" s="2">
        <v>4482988.0</v>
      </c>
      <c r="D99" s="2">
        <v>73.6159</v>
      </c>
    </row>
    <row r="100">
      <c r="A100" s="4">
        <v>44812.0</v>
      </c>
      <c r="B100" s="2">
        <v>1409583.0</v>
      </c>
      <c r="C100" s="2">
        <v>3777469.0</v>
      </c>
      <c r="D100" s="2">
        <v>86.2695</v>
      </c>
    </row>
    <row r="101">
      <c r="A101" s="4">
        <v>44812.0</v>
      </c>
      <c r="B101" s="2">
        <v>1344573.0</v>
      </c>
      <c r="C101" s="2">
        <v>3776427.0</v>
      </c>
      <c r="D101" s="2">
        <v>108.7199</v>
      </c>
    </row>
    <row r="102">
      <c r="A102" s="4">
        <v>44812.0</v>
      </c>
      <c r="B102" s="2">
        <v>1409553.0</v>
      </c>
      <c r="C102" s="2">
        <v>3777347.0</v>
      </c>
      <c r="D102" s="2">
        <v>63.3363</v>
      </c>
    </row>
    <row r="103">
      <c r="A103" s="4">
        <v>44812.0</v>
      </c>
      <c r="B103" s="2">
        <v>278733.0</v>
      </c>
      <c r="C103" s="2">
        <v>3777805.0</v>
      </c>
      <c r="D103" s="2">
        <v>69.2045999999999</v>
      </c>
    </row>
    <row r="104">
      <c r="A104" s="4">
        <v>44812.0</v>
      </c>
      <c r="B104" s="2">
        <v>1313943.0</v>
      </c>
      <c r="C104" s="2">
        <v>3775961.0</v>
      </c>
      <c r="D104" s="2">
        <v>20.4657</v>
      </c>
    </row>
    <row r="105">
      <c r="A105" s="4">
        <v>44812.0</v>
      </c>
      <c r="B105" s="2">
        <v>306753.0</v>
      </c>
      <c r="C105" s="2">
        <v>3777540.0</v>
      </c>
      <c r="D105" s="2">
        <v>67.9432</v>
      </c>
    </row>
    <row r="106">
      <c r="A106" s="4">
        <v>44812.0</v>
      </c>
      <c r="B106" s="2">
        <v>1128333.0</v>
      </c>
      <c r="C106" s="2">
        <v>3777095.0</v>
      </c>
      <c r="D106" s="2">
        <v>42.3372</v>
      </c>
    </row>
    <row r="107">
      <c r="A107" s="4">
        <v>45068.0</v>
      </c>
      <c r="B107" s="2">
        <v>1598733.0</v>
      </c>
      <c r="C107" s="2">
        <v>4487361.0</v>
      </c>
      <c r="D107" s="2">
        <v>45.308</v>
      </c>
    </row>
    <row r="108">
      <c r="A108" s="4">
        <v>45068.0</v>
      </c>
      <c r="B108" s="2">
        <v>1207683.0</v>
      </c>
      <c r="C108" s="2">
        <v>4486520.0</v>
      </c>
      <c r="D108" s="2">
        <v>96.3830999999999</v>
      </c>
    </row>
    <row r="109">
      <c r="A109" s="4">
        <v>45068.0</v>
      </c>
      <c r="B109" s="2">
        <v>1598583.0</v>
      </c>
      <c r="C109" s="2">
        <v>4486809.0</v>
      </c>
      <c r="D109" s="2">
        <v>18.5687</v>
      </c>
    </row>
    <row r="110">
      <c r="A110" s="4">
        <v>45068.0</v>
      </c>
      <c r="B110" s="2">
        <v>1598403.0</v>
      </c>
      <c r="C110" s="2">
        <v>4486489.0</v>
      </c>
      <c r="D110" s="2">
        <v>19.2053999999999</v>
      </c>
    </row>
    <row r="111">
      <c r="A111" s="4">
        <v>44813.0</v>
      </c>
      <c r="B111" s="2">
        <v>1409613.0</v>
      </c>
      <c r="C111" s="2">
        <v>3778092.0</v>
      </c>
      <c r="D111" s="2">
        <v>26.403</v>
      </c>
    </row>
    <row r="112">
      <c r="A112" s="4">
        <v>44813.0</v>
      </c>
      <c r="B112" s="2">
        <v>1051203.0</v>
      </c>
      <c r="C112" s="2">
        <v>3779343.0</v>
      </c>
      <c r="D112" s="2">
        <v>41.2164</v>
      </c>
    </row>
    <row r="113">
      <c r="A113" s="4">
        <v>44813.0</v>
      </c>
      <c r="B113" s="2">
        <v>1410123.0</v>
      </c>
      <c r="C113" s="2">
        <v>3779438.0</v>
      </c>
      <c r="D113" s="2">
        <v>8.0583</v>
      </c>
    </row>
    <row r="114">
      <c r="A114" s="4">
        <v>45069.0</v>
      </c>
      <c r="B114" s="2">
        <v>1035543.0</v>
      </c>
      <c r="C114" s="2">
        <v>4489891.0</v>
      </c>
      <c r="D114" s="2">
        <v>59.9934</v>
      </c>
    </row>
    <row r="115">
      <c r="A115" s="4">
        <v>45069.0</v>
      </c>
      <c r="B115" s="2">
        <v>217743.0</v>
      </c>
      <c r="C115" s="2">
        <v>4488479.0</v>
      </c>
      <c r="D115" s="2">
        <v>127.7557</v>
      </c>
    </row>
    <row r="116">
      <c r="A116" s="4">
        <v>45069.0</v>
      </c>
      <c r="B116" s="2">
        <v>1594203.0</v>
      </c>
      <c r="C116" s="2">
        <v>4487883.0</v>
      </c>
      <c r="D116" s="2">
        <v>96.6124</v>
      </c>
    </row>
    <row r="117">
      <c r="A117" s="4">
        <v>45069.0</v>
      </c>
      <c r="B117" s="2">
        <v>1220583.0</v>
      </c>
      <c r="C117" s="2">
        <v>4488195.0</v>
      </c>
      <c r="D117" s="2">
        <v>59.4633</v>
      </c>
    </row>
    <row r="118">
      <c r="A118" s="4">
        <v>44814.0</v>
      </c>
      <c r="B118" s="2">
        <v>184683.0</v>
      </c>
      <c r="C118" s="2">
        <v>3781314.0</v>
      </c>
      <c r="D118" s="2">
        <v>84.1364</v>
      </c>
    </row>
    <row r="119">
      <c r="A119" s="4">
        <v>44814.0</v>
      </c>
      <c r="B119" s="2">
        <v>184683.0</v>
      </c>
      <c r="C119" s="2">
        <v>3781338.0</v>
      </c>
      <c r="D119" s="2">
        <v>72.2746</v>
      </c>
    </row>
    <row r="120">
      <c r="A120" s="4">
        <v>44814.0</v>
      </c>
      <c r="B120" s="2">
        <v>367683.0</v>
      </c>
      <c r="C120" s="2">
        <v>3782918.0</v>
      </c>
      <c r="D120" s="2">
        <v>47.3871</v>
      </c>
    </row>
    <row r="121">
      <c r="A121" s="4">
        <v>44814.0</v>
      </c>
      <c r="B121" s="2">
        <v>1410513.0</v>
      </c>
      <c r="C121" s="2">
        <v>3780820.0</v>
      </c>
      <c r="D121" s="2">
        <v>59.3244</v>
      </c>
    </row>
    <row r="122">
      <c r="A122" s="4">
        <v>44814.0</v>
      </c>
      <c r="B122" s="2">
        <v>1410633.0</v>
      </c>
      <c r="C122" s="2">
        <v>3781236.0</v>
      </c>
      <c r="D122" s="2">
        <v>86.469</v>
      </c>
    </row>
    <row r="123">
      <c r="A123" s="4">
        <v>44814.0</v>
      </c>
      <c r="B123" s="2">
        <v>1039983.0</v>
      </c>
      <c r="C123" s="2">
        <v>3781271.0</v>
      </c>
      <c r="D123" s="2">
        <v>67.7144999999999</v>
      </c>
    </row>
    <row r="124">
      <c r="A124" s="4">
        <v>44814.0</v>
      </c>
      <c r="B124" s="2">
        <v>1410543.0</v>
      </c>
      <c r="C124" s="2">
        <v>3780931.0</v>
      </c>
      <c r="D124" s="2">
        <v>45.4989</v>
      </c>
    </row>
    <row r="125">
      <c r="A125" s="4">
        <v>45070.0</v>
      </c>
      <c r="B125" s="2">
        <v>1584483.0</v>
      </c>
      <c r="C125" s="2">
        <v>4490858.0</v>
      </c>
      <c r="D125" s="2">
        <v>183.0138</v>
      </c>
    </row>
    <row r="126">
      <c r="A126" s="4">
        <v>45070.0</v>
      </c>
      <c r="B126" s="2">
        <v>1524873.0</v>
      </c>
      <c r="C126" s="2">
        <v>4490190.0</v>
      </c>
      <c r="D126" s="2">
        <v>80.6593</v>
      </c>
    </row>
    <row r="127">
      <c r="A127" s="4">
        <v>44815.0</v>
      </c>
      <c r="B127" s="2">
        <v>33993.0</v>
      </c>
      <c r="C127" s="2">
        <v>3783476.0</v>
      </c>
      <c r="D127" s="2">
        <v>39.3022</v>
      </c>
    </row>
    <row r="128">
      <c r="A128" s="4">
        <v>44815.0</v>
      </c>
      <c r="B128" s="2">
        <v>1313493.0</v>
      </c>
      <c r="C128" s="2">
        <v>3785544.0</v>
      </c>
      <c r="D128" s="2">
        <v>40.4787</v>
      </c>
    </row>
    <row r="129">
      <c r="A129" s="4">
        <v>44815.0</v>
      </c>
      <c r="B129" s="2">
        <v>1388343.0</v>
      </c>
      <c r="C129" s="2">
        <v>3784981.0</v>
      </c>
      <c r="D129" s="2">
        <v>51.6709</v>
      </c>
    </row>
    <row r="130">
      <c r="A130" s="4">
        <v>44815.0</v>
      </c>
      <c r="B130" s="2">
        <v>186663.0</v>
      </c>
      <c r="C130" s="2">
        <v>3784978.0</v>
      </c>
      <c r="D130" s="2">
        <v>117.6399</v>
      </c>
    </row>
    <row r="131">
      <c r="A131" s="4">
        <v>44815.0</v>
      </c>
      <c r="B131" s="2">
        <v>1341963.0</v>
      </c>
      <c r="C131" s="2">
        <v>3786186.0</v>
      </c>
      <c r="D131" s="2">
        <v>133.184499999999</v>
      </c>
    </row>
    <row r="132">
      <c r="A132" s="4">
        <v>44815.0</v>
      </c>
      <c r="B132" s="2">
        <v>1372023.0</v>
      </c>
      <c r="C132" s="2">
        <v>3783743.0</v>
      </c>
      <c r="D132" s="2">
        <v>49.0652</v>
      </c>
    </row>
    <row r="133">
      <c r="A133" s="4">
        <v>45071.0</v>
      </c>
      <c r="B133" s="2">
        <v>1324833.0</v>
      </c>
      <c r="C133" s="2">
        <v>4492412.0</v>
      </c>
      <c r="D133" s="2">
        <v>33.1659</v>
      </c>
    </row>
    <row r="134">
      <c r="A134" s="4">
        <v>45071.0</v>
      </c>
      <c r="B134" s="2">
        <v>845193.0</v>
      </c>
      <c r="C134" s="2">
        <v>4493499.0</v>
      </c>
      <c r="D134" s="2">
        <v>110.2292</v>
      </c>
    </row>
    <row r="135">
      <c r="A135" s="4">
        <v>45071.0</v>
      </c>
      <c r="B135" s="2">
        <v>1387113.0</v>
      </c>
      <c r="C135" s="2">
        <v>4493329.0</v>
      </c>
      <c r="D135" s="2">
        <v>326.809</v>
      </c>
    </row>
    <row r="136">
      <c r="A136" s="4">
        <v>45071.0</v>
      </c>
      <c r="B136" s="2">
        <v>1600143.0</v>
      </c>
      <c r="C136" s="2">
        <v>4493113.0</v>
      </c>
      <c r="D136" s="2">
        <v>25.9998</v>
      </c>
    </row>
    <row r="137">
      <c r="A137" s="4">
        <v>44816.0</v>
      </c>
      <c r="B137" s="2">
        <v>1299123.0</v>
      </c>
      <c r="C137" s="2">
        <v>3787933.0</v>
      </c>
      <c r="D137" s="2">
        <v>14.85</v>
      </c>
    </row>
    <row r="138">
      <c r="A138" s="4">
        <v>44816.0</v>
      </c>
      <c r="B138" s="2">
        <v>1306263.0</v>
      </c>
      <c r="C138" s="2">
        <v>3787622.0</v>
      </c>
      <c r="D138" s="2">
        <v>72.0226</v>
      </c>
    </row>
    <row r="139">
      <c r="A139" s="4">
        <v>44816.0</v>
      </c>
      <c r="B139" s="2">
        <v>1411923.0</v>
      </c>
      <c r="C139" s="2">
        <v>3786311.0</v>
      </c>
      <c r="D139" s="2">
        <v>25.3081</v>
      </c>
    </row>
    <row r="140">
      <c r="A140" s="4">
        <v>44816.0</v>
      </c>
      <c r="B140" s="2">
        <v>1373283.0</v>
      </c>
      <c r="C140" s="2">
        <v>3786377.0</v>
      </c>
      <c r="D140" s="2">
        <v>73.2193</v>
      </c>
    </row>
    <row r="141">
      <c r="A141" s="4">
        <v>44816.0</v>
      </c>
      <c r="B141" s="2">
        <v>1177893.0</v>
      </c>
      <c r="C141" s="2">
        <v>3786337.0</v>
      </c>
      <c r="D141" s="2">
        <v>76.6666999999999</v>
      </c>
    </row>
    <row r="142">
      <c r="A142" s="4">
        <v>45072.0</v>
      </c>
      <c r="B142" s="2">
        <v>1600623.0</v>
      </c>
      <c r="C142" s="2">
        <v>4495157.0</v>
      </c>
      <c r="D142" s="2">
        <v>68.4547</v>
      </c>
    </row>
    <row r="143">
      <c r="A143" s="4">
        <v>45072.0</v>
      </c>
      <c r="B143" s="2">
        <v>1406043.0</v>
      </c>
      <c r="C143" s="2">
        <v>4494357.0</v>
      </c>
      <c r="D143" s="2">
        <v>80.166</v>
      </c>
    </row>
    <row r="144">
      <c r="A144" s="4">
        <v>45072.0</v>
      </c>
      <c r="B144" s="2">
        <v>1089273.0</v>
      </c>
      <c r="C144" s="2">
        <v>4494438.0</v>
      </c>
      <c r="D144" s="2">
        <v>47.9598</v>
      </c>
    </row>
    <row r="145">
      <c r="A145" s="4">
        <v>45072.0</v>
      </c>
      <c r="B145" s="2">
        <v>1600803.0</v>
      </c>
      <c r="C145" s="2">
        <v>4495919.0</v>
      </c>
      <c r="D145" s="2">
        <v>56.9082</v>
      </c>
    </row>
    <row r="146">
      <c r="A146" s="4">
        <v>45072.0</v>
      </c>
      <c r="B146" s="2">
        <v>1141683.0</v>
      </c>
      <c r="C146" s="2">
        <v>4494426.0</v>
      </c>
      <c r="D146" s="2">
        <v>75.1767</v>
      </c>
    </row>
    <row r="147">
      <c r="A147" s="4">
        <v>45072.0</v>
      </c>
      <c r="B147" s="2">
        <v>89313.0</v>
      </c>
      <c r="C147" s="2">
        <v>4494791.0</v>
      </c>
      <c r="D147" s="2">
        <v>64.9553</v>
      </c>
    </row>
    <row r="148">
      <c r="A148" s="4">
        <v>44817.0</v>
      </c>
      <c r="B148" s="2">
        <v>1412973.0</v>
      </c>
      <c r="C148" s="2">
        <v>3790830.0</v>
      </c>
      <c r="D148" s="2">
        <v>258.8221</v>
      </c>
    </row>
    <row r="149">
      <c r="A149" s="4">
        <v>44817.0</v>
      </c>
      <c r="B149" s="2">
        <v>1194483.0</v>
      </c>
      <c r="C149" s="2">
        <v>3790584.0</v>
      </c>
      <c r="D149" s="2">
        <v>120.964399999999</v>
      </c>
    </row>
    <row r="150">
      <c r="A150" s="4">
        <v>44817.0</v>
      </c>
      <c r="B150" s="2">
        <v>848373.0</v>
      </c>
      <c r="C150" s="2">
        <v>3791222.0</v>
      </c>
      <c r="D150" s="2">
        <v>79.1667</v>
      </c>
    </row>
    <row r="151">
      <c r="A151" s="4">
        <v>44817.0</v>
      </c>
      <c r="B151" s="2">
        <v>1412583.0</v>
      </c>
      <c r="C151" s="2">
        <v>3789106.0</v>
      </c>
      <c r="D151" s="2">
        <v>76.6668</v>
      </c>
    </row>
    <row r="152">
      <c r="A152" s="4">
        <v>44817.0</v>
      </c>
      <c r="B152" s="2">
        <v>1209573.0</v>
      </c>
      <c r="C152" s="2">
        <v>3789251.0</v>
      </c>
      <c r="D152" s="2">
        <v>28.893</v>
      </c>
    </row>
    <row r="153">
      <c r="A153" s="4">
        <v>44817.0</v>
      </c>
      <c r="B153" s="2">
        <v>1194483.0</v>
      </c>
      <c r="C153" s="2">
        <v>3790736.0</v>
      </c>
      <c r="D153" s="2">
        <v>138.990099999999</v>
      </c>
    </row>
    <row r="154">
      <c r="A154" s="4">
        <v>44817.0</v>
      </c>
      <c r="B154" s="2">
        <v>1212723.0</v>
      </c>
      <c r="C154" s="2">
        <v>3789404.0</v>
      </c>
      <c r="D154" s="2">
        <v>14.6065</v>
      </c>
    </row>
    <row r="155">
      <c r="A155" s="4">
        <v>45073.0</v>
      </c>
      <c r="B155" s="2">
        <v>1105443.0</v>
      </c>
      <c r="C155" s="2">
        <v>4497037.0</v>
      </c>
      <c r="D155" s="2">
        <v>116.1399</v>
      </c>
    </row>
    <row r="156">
      <c r="A156" s="4">
        <v>45073.0</v>
      </c>
      <c r="B156" s="2">
        <v>1575603.0</v>
      </c>
      <c r="C156" s="2">
        <v>4496598.0</v>
      </c>
      <c r="D156" s="2">
        <v>197.7408</v>
      </c>
    </row>
    <row r="157">
      <c r="A157" s="4">
        <v>45073.0</v>
      </c>
      <c r="B157" s="2">
        <v>1339083.0</v>
      </c>
      <c r="C157" s="2">
        <v>4496972.0</v>
      </c>
      <c r="D157" s="2">
        <v>72.1374</v>
      </c>
    </row>
    <row r="158">
      <c r="A158" s="4">
        <v>45073.0</v>
      </c>
      <c r="B158" s="2">
        <v>1299153.0</v>
      </c>
      <c r="C158" s="2">
        <v>4498191.0</v>
      </c>
      <c r="D158" s="2">
        <v>76.4982</v>
      </c>
    </row>
    <row r="159">
      <c r="A159" s="4">
        <v>45073.0</v>
      </c>
      <c r="B159" s="2">
        <v>1601013.0</v>
      </c>
      <c r="C159" s="2">
        <v>4496766.0</v>
      </c>
      <c r="D159" s="2">
        <v>14.7456</v>
      </c>
    </row>
    <row r="160">
      <c r="A160" s="4">
        <v>45073.0</v>
      </c>
      <c r="B160" s="2">
        <v>358443.0</v>
      </c>
      <c r="C160" s="2">
        <v>4498323.0</v>
      </c>
      <c r="D160" s="2">
        <v>120.5839</v>
      </c>
    </row>
    <row r="161">
      <c r="A161" s="4">
        <v>45073.0</v>
      </c>
      <c r="B161" s="2">
        <v>1457223.0</v>
      </c>
      <c r="C161" s="2">
        <v>4496275.0</v>
      </c>
      <c r="D161" s="2">
        <v>74.1946</v>
      </c>
    </row>
    <row r="162">
      <c r="A162" s="4">
        <v>45073.0</v>
      </c>
      <c r="B162" s="2">
        <v>1014183.0</v>
      </c>
      <c r="C162" s="2">
        <v>4496845.0</v>
      </c>
      <c r="D162" s="2">
        <v>64.432</v>
      </c>
    </row>
    <row r="163">
      <c r="A163" s="4">
        <v>44818.0</v>
      </c>
      <c r="B163" s="2">
        <v>1413543.0</v>
      </c>
      <c r="C163" s="2">
        <v>3792956.0</v>
      </c>
      <c r="D163" s="2">
        <v>77.539</v>
      </c>
    </row>
    <row r="164">
      <c r="A164" s="4">
        <v>44818.0</v>
      </c>
      <c r="B164" s="2">
        <v>1089273.0</v>
      </c>
      <c r="C164" s="2">
        <v>3792815.0</v>
      </c>
      <c r="D164" s="2">
        <v>69.6</v>
      </c>
    </row>
    <row r="165">
      <c r="A165" s="4">
        <v>44818.0</v>
      </c>
      <c r="B165" s="2">
        <v>1397703.0</v>
      </c>
      <c r="C165" s="2">
        <v>3791624.0</v>
      </c>
      <c r="D165" s="2">
        <v>49.4394</v>
      </c>
    </row>
    <row r="166">
      <c r="A166" s="4">
        <v>44818.0</v>
      </c>
      <c r="B166" s="2">
        <v>1413663.0</v>
      </c>
      <c r="C166" s="2">
        <v>3793370.0</v>
      </c>
      <c r="D166" s="2">
        <v>68.8895</v>
      </c>
    </row>
    <row r="167">
      <c r="A167" s="4">
        <v>45074.0</v>
      </c>
      <c r="B167" s="2">
        <v>1099653.0</v>
      </c>
      <c r="C167" s="2">
        <v>4502104.0</v>
      </c>
      <c r="D167" s="2">
        <v>51.668</v>
      </c>
    </row>
    <row r="168">
      <c r="A168" s="4">
        <v>45074.0</v>
      </c>
      <c r="B168" s="2">
        <v>1237893.0</v>
      </c>
      <c r="C168" s="2">
        <v>4500952.0</v>
      </c>
      <c r="D168" s="2">
        <v>77.4349</v>
      </c>
    </row>
    <row r="169">
      <c r="A169" s="4">
        <v>45074.0</v>
      </c>
      <c r="B169" s="2">
        <v>1601883.0</v>
      </c>
      <c r="C169" s="2">
        <v>4500960.0</v>
      </c>
      <c r="D169" s="2">
        <v>62.1795</v>
      </c>
    </row>
    <row r="170">
      <c r="A170" s="4">
        <v>45074.0</v>
      </c>
      <c r="B170" s="2">
        <v>1351803.0</v>
      </c>
      <c r="C170" s="2">
        <v>4500460.0</v>
      </c>
      <c r="D170" s="2">
        <v>66.3338</v>
      </c>
    </row>
    <row r="171">
      <c r="A171" s="4">
        <v>45074.0</v>
      </c>
      <c r="B171" s="2">
        <v>465123.0</v>
      </c>
      <c r="C171" s="2">
        <v>4499782.0</v>
      </c>
      <c r="D171" s="2">
        <v>69.1844</v>
      </c>
    </row>
    <row r="172">
      <c r="A172" s="4">
        <v>45074.0</v>
      </c>
      <c r="B172" s="2">
        <v>1203693.0</v>
      </c>
      <c r="C172" s="2">
        <v>4501084.0</v>
      </c>
      <c r="D172" s="2">
        <v>55.0083</v>
      </c>
    </row>
    <row r="173">
      <c r="A173" s="4">
        <v>45074.0</v>
      </c>
      <c r="B173" s="2">
        <v>1190553.0</v>
      </c>
      <c r="C173" s="2">
        <v>4499872.0</v>
      </c>
      <c r="D173" s="2">
        <v>18.5687</v>
      </c>
    </row>
    <row r="174">
      <c r="A174" s="4">
        <v>45074.0</v>
      </c>
      <c r="B174" s="2">
        <v>1437663.0</v>
      </c>
      <c r="C174" s="2">
        <v>4500075.0</v>
      </c>
      <c r="D174" s="2">
        <v>139.8779</v>
      </c>
    </row>
    <row r="175">
      <c r="A175" s="4">
        <v>45074.0</v>
      </c>
      <c r="B175" s="2">
        <v>1069473.0</v>
      </c>
      <c r="C175" s="2">
        <v>4502002.0</v>
      </c>
      <c r="D175" s="2">
        <v>30.9187</v>
      </c>
    </row>
    <row r="176">
      <c r="A176" s="4">
        <v>44819.0</v>
      </c>
      <c r="B176" s="2">
        <v>1414173.0</v>
      </c>
      <c r="C176" s="2">
        <v>3795538.0</v>
      </c>
      <c r="D176" s="2">
        <v>36.0657</v>
      </c>
    </row>
    <row r="177">
      <c r="A177" s="4">
        <v>44819.0</v>
      </c>
      <c r="B177" s="2">
        <v>234783.0</v>
      </c>
      <c r="C177" s="2">
        <v>3795539.0</v>
      </c>
      <c r="D177" s="2">
        <v>68.5592</v>
      </c>
    </row>
    <row r="178">
      <c r="A178" s="4">
        <v>45075.0</v>
      </c>
      <c r="B178" s="2">
        <v>1344573.0</v>
      </c>
      <c r="C178" s="2">
        <v>4504337.0</v>
      </c>
      <c r="D178" s="2">
        <v>90.5514999999999</v>
      </c>
    </row>
    <row r="179">
      <c r="A179" s="4">
        <v>45075.0</v>
      </c>
      <c r="B179" s="2">
        <v>1441233.0</v>
      </c>
      <c r="C179" s="2">
        <v>4502638.0</v>
      </c>
      <c r="D179" s="2">
        <v>66.2917</v>
      </c>
    </row>
    <row r="180">
      <c r="A180" s="4">
        <v>45075.0</v>
      </c>
      <c r="B180" s="2">
        <v>1602633.0</v>
      </c>
      <c r="C180" s="2">
        <v>4504249.0</v>
      </c>
      <c r="D180" s="2">
        <v>35.6633999999999</v>
      </c>
    </row>
    <row r="181">
      <c r="A181" s="4">
        <v>45075.0</v>
      </c>
      <c r="B181" s="2">
        <v>1345623.0</v>
      </c>
      <c r="C181" s="2">
        <v>4504825.0</v>
      </c>
      <c r="D181" s="2">
        <v>71.126</v>
      </c>
    </row>
    <row r="182">
      <c r="A182" s="4">
        <v>45075.0</v>
      </c>
      <c r="B182" s="2">
        <v>1404093.0</v>
      </c>
      <c r="C182" s="2">
        <v>4504809.0</v>
      </c>
      <c r="D182" s="2">
        <v>68.5248</v>
      </c>
    </row>
    <row r="183">
      <c r="A183" s="4">
        <v>45076.0</v>
      </c>
      <c r="B183" s="2">
        <v>1603233.0</v>
      </c>
      <c r="C183" s="2">
        <v>4506809.0</v>
      </c>
      <c r="D183" s="2">
        <v>44.4098</v>
      </c>
    </row>
    <row r="184">
      <c r="A184" s="4">
        <v>45076.0</v>
      </c>
      <c r="B184" s="2">
        <v>318843.0</v>
      </c>
      <c r="C184" s="2">
        <v>4505837.0</v>
      </c>
      <c r="D184" s="2">
        <v>67.4523</v>
      </c>
    </row>
    <row r="185">
      <c r="A185" s="4">
        <v>45076.0</v>
      </c>
      <c r="B185" s="2">
        <v>1452153.0</v>
      </c>
      <c r="C185" s="2">
        <v>4506806.0</v>
      </c>
      <c r="D185" s="2">
        <v>63.9906</v>
      </c>
    </row>
    <row r="186">
      <c r="A186" s="4">
        <v>45076.0</v>
      </c>
      <c r="B186" s="2">
        <v>1571643.0</v>
      </c>
      <c r="C186" s="2">
        <v>4507121.0</v>
      </c>
      <c r="D186" s="2">
        <v>65.2672</v>
      </c>
    </row>
    <row r="187">
      <c r="A187" s="4">
        <v>45076.0</v>
      </c>
      <c r="B187" s="2">
        <v>1492563.0</v>
      </c>
      <c r="C187" s="2">
        <v>4507468.0</v>
      </c>
      <c r="D187" s="2">
        <v>76.1245</v>
      </c>
    </row>
    <row r="188">
      <c r="A188" s="4">
        <v>45076.0</v>
      </c>
      <c r="B188" s="2">
        <v>240393.0</v>
      </c>
      <c r="C188" s="2">
        <v>4505464.0</v>
      </c>
      <c r="D188" s="2">
        <v>86.4402</v>
      </c>
    </row>
    <row r="189">
      <c r="A189" s="4">
        <v>45076.0</v>
      </c>
      <c r="B189" s="2">
        <v>1561593.0</v>
      </c>
      <c r="C189" s="2">
        <v>4506597.0</v>
      </c>
      <c r="D189" s="2">
        <v>81.1399</v>
      </c>
    </row>
    <row r="190">
      <c r="A190" s="4">
        <v>45076.0</v>
      </c>
      <c r="B190" s="2">
        <v>1369353.0</v>
      </c>
      <c r="C190" s="2">
        <v>4507418.0</v>
      </c>
      <c r="D190" s="2">
        <v>10.6118</v>
      </c>
    </row>
    <row r="191">
      <c r="A191" s="4">
        <v>45076.0</v>
      </c>
      <c r="B191" s="2">
        <v>1364553.0</v>
      </c>
      <c r="C191" s="2">
        <v>4506604.0</v>
      </c>
      <c r="D191" s="2">
        <v>38.7347</v>
      </c>
    </row>
    <row r="192">
      <c r="A192" s="4">
        <v>44821.0</v>
      </c>
      <c r="B192" s="2">
        <v>1415223.0</v>
      </c>
      <c r="C192" s="2">
        <v>3799421.0</v>
      </c>
      <c r="D192" s="2">
        <v>16.1667</v>
      </c>
    </row>
    <row r="193">
      <c r="A193" s="4">
        <v>44821.0</v>
      </c>
      <c r="B193" s="2">
        <v>1195233.0</v>
      </c>
      <c r="C193" s="2">
        <v>3799188.0</v>
      </c>
      <c r="D193" s="2">
        <v>49.6868999999999</v>
      </c>
    </row>
    <row r="194">
      <c r="A194" s="4">
        <v>44821.0</v>
      </c>
      <c r="B194" s="2">
        <v>1230573.0</v>
      </c>
      <c r="C194" s="2">
        <v>3799025.0</v>
      </c>
      <c r="D194" s="2">
        <v>75.723</v>
      </c>
    </row>
    <row r="195">
      <c r="A195" s="4">
        <v>44821.0</v>
      </c>
      <c r="B195" s="2">
        <v>1387113.0</v>
      </c>
      <c r="C195" s="2">
        <v>3797458.0</v>
      </c>
      <c r="D195" s="2">
        <v>319.3305</v>
      </c>
    </row>
    <row r="196">
      <c r="A196" s="4">
        <v>45077.0</v>
      </c>
      <c r="B196" s="2">
        <v>1149063.0</v>
      </c>
      <c r="C196" s="2">
        <v>4508645.0</v>
      </c>
      <c r="D196" s="2">
        <v>79.1001</v>
      </c>
    </row>
    <row r="197">
      <c r="A197" s="4">
        <v>45077.0</v>
      </c>
      <c r="B197" s="2">
        <v>1578423.0</v>
      </c>
      <c r="C197" s="2">
        <v>4509482.0</v>
      </c>
      <c r="D197" s="2">
        <v>38.1222</v>
      </c>
    </row>
    <row r="198">
      <c r="A198" s="4">
        <v>45077.0</v>
      </c>
      <c r="B198" s="2">
        <v>1416303.0</v>
      </c>
      <c r="C198" s="2">
        <v>4510290.0</v>
      </c>
      <c r="D198" s="2">
        <v>66.1717</v>
      </c>
    </row>
    <row r="199">
      <c r="A199" s="4">
        <v>45077.0</v>
      </c>
      <c r="B199" s="2">
        <v>1187913.0</v>
      </c>
      <c r="C199" s="2">
        <v>4508599.0</v>
      </c>
      <c r="D199" s="2">
        <v>33.7368</v>
      </c>
    </row>
    <row r="200">
      <c r="A200" s="4">
        <v>45077.0</v>
      </c>
      <c r="B200" s="2">
        <v>1113423.0</v>
      </c>
      <c r="C200" s="2">
        <v>4509175.0</v>
      </c>
      <c r="D200" s="2">
        <v>106.5981</v>
      </c>
    </row>
    <row r="201">
      <c r="A201" s="4">
        <v>45077.0</v>
      </c>
      <c r="B201" s="2">
        <v>1603893.0</v>
      </c>
      <c r="C201" s="2">
        <v>4509713.0</v>
      </c>
      <c r="D201" s="2">
        <v>70.9194</v>
      </c>
    </row>
    <row r="202">
      <c r="A202" s="4">
        <v>44822.0</v>
      </c>
      <c r="B202" s="2">
        <v>1184643.0</v>
      </c>
      <c r="C202" s="2">
        <v>3802444.0</v>
      </c>
      <c r="D202" s="2">
        <v>140.9388</v>
      </c>
    </row>
    <row r="203">
      <c r="A203" s="4">
        <v>44822.0</v>
      </c>
      <c r="B203" s="2">
        <v>265773.0</v>
      </c>
      <c r="C203" s="2">
        <v>3802535.0</v>
      </c>
      <c r="D203" s="2">
        <v>83.3165</v>
      </c>
    </row>
    <row r="204">
      <c r="A204" s="4">
        <v>44822.0</v>
      </c>
      <c r="B204" s="2">
        <v>1415343.0</v>
      </c>
      <c r="C204" s="2">
        <v>3799967.0</v>
      </c>
      <c r="D204" s="2">
        <v>60.2237</v>
      </c>
    </row>
    <row r="205">
      <c r="A205" s="4">
        <v>44822.0</v>
      </c>
      <c r="B205" s="2">
        <v>1183473.0</v>
      </c>
      <c r="C205" s="2">
        <v>3800681.0</v>
      </c>
      <c r="D205" s="2">
        <v>77.875</v>
      </c>
    </row>
    <row r="206">
      <c r="A206" s="4">
        <v>44822.0</v>
      </c>
      <c r="B206" s="2">
        <v>1257633.0</v>
      </c>
      <c r="C206" s="2">
        <v>3802173.0</v>
      </c>
      <c r="D206" s="2">
        <v>67.8588999999999</v>
      </c>
    </row>
    <row r="207">
      <c r="A207" s="4">
        <v>44822.0</v>
      </c>
      <c r="B207" s="2">
        <v>1237893.0</v>
      </c>
      <c r="C207" s="2">
        <v>3802218.0</v>
      </c>
      <c r="D207" s="2">
        <v>81.1836999999999</v>
      </c>
    </row>
    <row r="208">
      <c r="A208" s="4">
        <v>44822.0</v>
      </c>
      <c r="B208" s="2">
        <v>1415553.0</v>
      </c>
      <c r="C208" s="2">
        <v>3800870.0</v>
      </c>
      <c r="D208" s="2">
        <v>24.4717</v>
      </c>
    </row>
    <row r="209">
      <c r="A209" s="4">
        <v>44822.0</v>
      </c>
      <c r="B209" s="2">
        <v>1370283.0</v>
      </c>
      <c r="C209" s="2">
        <v>3800665.0</v>
      </c>
      <c r="D209" s="2">
        <v>94.6325</v>
      </c>
    </row>
    <row r="210">
      <c r="A210" s="4">
        <v>45078.0</v>
      </c>
      <c r="B210" s="2">
        <v>1533513.0</v>
      </c>
      <c r="C210" s="2">
        <v>4510986.0</v>
      </c>
      <c r="D210" s="2">
        <v>78.5403</v>
      </c>
    </row>
    <row r="211">
      <c r="A211" s="4">
        <v>45078.0</v>
      </c>
      <c r="B211" s="2">
        <v>1528503.0</v>
      </c>
      <c r="C211" s="2">
        <v>4512056.0</v>
      </c>
      <c r="D211" s="2">
        <v>106.5022</v>
      </c>
    </row>
    <row r="212">
      <c r="A212" s="4">
        <v>45078.0</v>
      </c>
      <c r="B212" s="2">
        <v>1596543.0</v>
      </c>
      <c r="C212" s="2">
        <v>4510960.0</v>
      </c>
      <c r="D212" s="2">
        <v>17.5291</v>
      </c>
    </row>
    <row r="213">
      <c r="A213" s="4">
        <v>45078.0</v>
      </c>
      <c r="B213" s="2">
        <v>300033.0</v>
      </c>
      <c r="C213" s="2">
        <v>4511874.0</v>
      </c>
      <c r="D213" s="2">
        <v>74.0217</v>
      </c>
    </row>
    <row r="214">
      <c r="A214" s="4">
        <v>45078.0</v>
      </c>
      <c r="B214" s="2">
        <v>1604373.0</v>
      </c>
      <c r="C214" s="2">
        <v>4511638.0</v>
      </c>
      <c r="D214" s="2">
        <v>92.9243999999999</v>
      </c>
    </row>
    <row r="215">
      <c r="A215" s="4">
        <v>44823.0</v>
      </c>
      <c r="B215" s="2">
        <v>1416123.0</v>
      </c>
      <c r="C215" s="2">
        <v>3803787.0</v>
      </c>
      <c r="D215" s="2">
        <v>97.165</v>
      </c>
    </row>
    <row r="216">
      <c r="A216" s="4">
        <v>44823.0</v>
      </c>
      <c r="B216" s="2">
        <v>1278843.0</v>
      </c>
      <c r="C216" s="2">
        <v>3802940.0</v>
      </c>
      <c r="D216" s="2">
        <v>30.7023</v>
      </c>
    </row>
    <row r="217">
      <c r="A217" s="4">
        <v>44823.0</v>
      </c>
      <c r="B217" s="2">
        <v>1416303.0</v>
      </c>
      <c r="C217" s="2">
        <v>3804194.0</v>
      </c>
      <c r="D217" s="2">
        <v>79.0796</v>
      </c>
    </row>
    <row r="218">
      <c r="A218" s="4">
        <v>44823.0</v>
      </c>
      <c r="B218" s="2">
        <v>392763.0</v>
      </c>
      <c r="C218" s="2">
        <v>3803363.0</v>
      </c>
      <c r="D218" s="2">
        <v>8.25</v>
      </c>
    </row>
    <row r="219">
      <c r="A219" s="4">
        <v>45079.0</v>
      </c>
      <c r="B219" s="2">
        <v>1319343.0</v>
      </c>
      <c r="C219" s="2">
        <v>4514040.0</v>
      </c>
      <c r="D219" s="2">
        <v>70.9299</v>
      </c>
    </row>
    <row r="220">
      <c r="A220" s="4">
        <v>45079.0</v>
      </c>
      <c r="B220" s="2">
        <v>1604913.0</v>
      </c>
      <c r="C220" s="2">
        <v>4513611.0</v>
      </c>
      <c r="D220" s="2">
        <v>51.9113</v>
      </c>
    </row>
    <row r="221">
      <c r="A221" s="4">
        <v>45079.0</v>
      </c>
      <c r="B221" s="2">
        <v>1167393.0</v>
      </c>
      <c r="C221" s="2">
        <v>4514429.0</v>
      </c>
      <c r="D221" s="2">
        <v>50.5258</v>
      </c>
    </row>
    <row r="222">
      <c r="A222" s="4">
        <v>45079.0</v>
      </c>
      <c r="B222" s="2">
        <v>1332093.0</v>
      </c>
      <c r="C222" s="2">
        <v>4513394.0</v>
      </c>
      <c r="D222" s="2">
        <v>18.711</v>
      </c>
    </row>
    <row r="223">
      <c r="A223" s="4">
        <v>45080.0</v>
      </c>
      <c r="B223" s="2">
        <v>1561233.0</v>
      </c>
      <c r="C223" s="2">
        <v>4515667.0</v>
      </c>
      <c r="D223" s="2">
        <v>80.5285</v>
      </c>
    </row>
    <row r="224">
      <c r="A224" s="4">
        <v>45080.0</v>
      </c>
      <c r="B224" s="2">
        <v>1605603.0</v>
      </c>
      <c r="C224" s="2">
        <v>4515942.0</v>
      </c>
      <c r="D224" s="2">
        <v>34.3226</v>
      </c>
    </row>
    <row r="225">
      <c r="A225" s="4">
        <v>45080.0</v>
      </c>
      <c r="B225" s="2">
        <v>1605693.0</v>
      </c>
      <c r="C225" s="2">
        <v>4516272.0</v>
      </c>
      <c r="D225" s="2">
        <v>23.1285</v>
      </c>
    </row>
    <row r="226">
      <c r="A226" s="4">
        <v>45080.0</v>
      </c>
      <c r="B226" s="2">
        <v>1265883.0</v>
      </c>
      <c r="C226" s="2">
        <v>4515995.0</v>
      </c>
      <c r="D226" s="2">
        <v>76.1674</v>
      </c>
    </row>
    <row r="227">
      <c r="A227" s="4">
        <v>45080.0</v>
      </c>
      <c r="B227" s="2">
        <v>1605783.0</v>
      </c>
      <c r="C227" s="2">
        <v>4516599.0</v>
      </c>
      <c r="D227" s="2">
        <v>67.1129</v>
      </c>
    </row>
    <row r="228">
      <c r="A228" s="4">
        <v>45080.0</v>
      </c>
      <c r="B228" s="2">
        <v>1605423.0</v>
      </c>
      <c r="C228" s="2">
        <v>4515340.0</v>
      </c>
      <c r="D228" s="2">
        <v>73.9194</v>
      </c>
    </row>
    <row r="229">
      <c r="A229" s="4">
        <v>45080.0</v>
      </c>
      <c r="B229" s="2">
        <v>1435293.0</v>
      </c>
      <c r="C229" s="2">
        <v>4516088.0</v>
      </c>
      <c r="D229" s="2">
        <v>71.1142</v>
      </c>
    </row>
    <row r="230">
      <c r="A230" s="4">
        <v>45080.0</v>
      </c>
      <c r="B230" s="2">
        <v>1435293.0</v>
      </c>
      <c r="C230" s="2">
        <v>4516103.0</v>
      </c>
      <c r="D230" s="2">
        <v>109.5735</v>
      </c>
    </row>
    <row r="231">
      <c r="A231" s="4">
        <v>44825.0</v>
      </c>
      <c r="B231" s="2">
        <v>1414173.0</v>
      </c>
      <c r="C231" s="2">
        <v>3808942.0</v>
      </c>
      <c r="D231" s="2">
        <v>43.8483</v>
      </c>
    </row>
    <row r="232">
      <c r="A232" s="4">
        <v>44825.0</v>
      </c>
      <c r="B232" s="2">
        <v>1198923.0</v>
      </c>
      <c r="C232" s="2">
        <v>3808066.0</v>
      </c>
      <c r="D232" s="2">
        <v>73.3177</v>
      </c>
    </row>
    <row r="233">
      <c r="A233" s="4">
        <v>44825.0</v>
      </c>
      <c r="B233" s="2">
        <v>357093.0</v>
      </c>
      <c r="C233" s="2">
        <v>3807306.0</v>
      </c>
      <c r="D233" s="2">
        <v>41.247</v>
      </c>
    </row>
    <row r="234">
      <c r="A234" s="4">
        <v>44825.0</v>
      </c>
      <c r="B234" s="2">
        <v>1417113.0</v>
      </c>
      <c r="C234" s="2">
        <v>3807450.0</v>
      </c>
      <c r="D234" s="2">
        <v>62.342</v>
      </c>
    </row>
    <row r="235">
      <c r="A235" s="4">
        <v>45081.0</v>
      </c>
      <c r="B235" s="2">
        <v>1606233.0</v>
      </c>
      <c r="C235" s="2">
        <v>4518616.0</v>
      </c>
      <c r="D235" s="2">
        <v>46.6</v>
      </c>
    </row>
    <row r="236">
      <c r="A236" s="4">
        <v>45081.0</v>
      </c>
      <c r="B236" s="2">
        <v>1580073.0</v>
      </c>
      <c r="C236" s="2">
        <v>4520222.0</v>
      </c>
      <c r="D236" s="2">
        <v>13.209</v>
      </c>
    </row>
    <row r="237">
      <c r="A237" s="4">
        <v>45081.0</v>
      </c>
      <c r="B237" s="2">
        <v>1427553.0</v>
      </c>
      <c r="C237" s="2">
        <v>4518328.0</v>
      </c>
      <c r="D237" s="2">
        <v>102.2</v>
      </c>
    </row>
    <row r="238">
      <c r="A238" s="4">
        <v>45081.0</v>
      </c>
      <c r="B238" s="2">
        <v>1491273.0</v>
      </c>
      <c r="C238" s="2">
        <v>4517993.0</v>
      </c>
      <c r="D238" s="2">
        <v>84.9792</v>
      </c>
    </row>
    <row r="239">
      <c r="A239" s="4">
        <v>45081.0</v>
      </c>
      <c r="B239" s="2">
        <v>1588233.0</v>
      </c>
      <c r="C239" s="2">
        <v>4517995.0</v>
      </c>
      <c r="D239" s="2">
        <v>84.5417</v>
      </c>
    </row>
    <row r="240">
      <c r="A240" s="4">
        <v>45081.0</v>
      </c>
      <c r="B240" s="2">
        <v>1606743.0</v>
      </c>
      <c r="C240" s="2">
        <v>4520844.0</v>
      </c>
      <c r="D240" s="2">
        <v>29.1863</v>
      </c>
    </row>
    <row r="241">
      <c r="A241" s="4">
        <v>44826.0</v>
      </c>
      <c r="B241" s="2">
        <v>857583.0</v>
      </c>
      <c r="C241" s="2">
        <v>3810555.0</v>
      </c>
      <c r="D241" s="2">
        <v>128.6616</v>
      </c>
    </row>
    <row r="242">
      <c r="A242" s="4">
        <v>44826.0</v>
      </c>
      <c r="B242" s="2">
        <v>1100373.0</v>
      </c>
      <c r="C242" s="2">
        <v>3810494.0</v>
      </c>
      <c r="D242" s="2">
        <v>69.2625</v>
      </c>
    </row>
    <row r="243">
      <c r="A243" s="4">
        <v>44826.0</v>
      </c>
      <c r="B243" s="2">
        <v>1314993.0</v>
      </c>
      <c r="C243" s="2">
        <v>3809885.0</v>
      </c>
      <c r="D243" s="2">
        <v>64.9374</v>
      </c>
    </row>
    <row r="244">
      <c r="A244" s="4">
        <v>44826.0</v>
      </c>
      <c r="B244" s="2">
        <v>190803.0</v>
      </c>
      <c r="C244" s="2">
        <v>3809825.0</v>
      </c>
      <c r="D244" s="2">
        <v>64.0281</v>
      </c>
    </row>
    <row r="245">
      <c r="A245" s="4">
        <v>44826.0</v>
      </c>
      <c r="B245" s="2">
        <v>1239273.0</v>
      </c>
      <c r="C245" s="2">
        <v>3811051.0</v>
      </c>
      <c r="D245" s="2">
        <v>110.7597</v>
      </c>
    </row>
    <row r="246">
      <c r="A246" s="4">
        <v>45082.0</v>
      </c>
      <c r="B246" s="2">
        <v>481893.0</v>
      </c>
      <c r="C246" s="2">
        <v>4522046.0</v>
      </c>
      <c r="D246" s="2">
        <v>85.5416999999999</v>
      </c>
    </row>
    <row r="247">
      <c r="A247" s="4">
        <v>45082.0</v>
      </c>
      <c r="B247" s="2">
        <v>1409553.0</v>
      </c>
      <c r="C247" s="2">
        <v>4522139.0</v>
      </c>
      <c r="D247" s="2">
        <v>64.6173</v>
      </c>
    </row>
    <row r="248">
      <c r="A248" s="4">
        <v>45082.0</v>
      </c>
      <c r="B248" s="2">
        <v>1603743.0</v>
      </c>
      <c r="C248" s="2">
        <v>4522262.0</v>
      </c>
      <c r="D248" s="2">
        <v>133.3333</v>
      </c>
    </row>
    <row r="249">
      <c r="A249" s="4">
        <v>45082.0</v>
      </c>
      <c r="B249" s="2">
        <v>1049163.0</v>
      </c>
      <c r="C249" s="2">
        <v>4523636.0</v>
      </c>
      <c r="D249" s="2">
        <v>30.4266</v>
      </c>
    </row>
    <row r="250">
      <c r="A250" s="4">
        <v>45082.0</v>
      </c>
      <c r="B250" s="2">
        <v>1081713.0</v>
      </c>
      <c r="C250" s="2">
        <v>4522266.0</v>
      </c>
      <c r="D250" s="2">
        <v>75.125</v>
      </c>
    </row>
    <row r="251">
      <c r="A251" s="4">
        <v>45082.0</v>
      </c>
      <c r="B251" s="2">
        <v>1505163.0</v>
      </c>
      <c r="C251" s="2">
        <v>4521549.0</v>
      </c>
      <c r="D251" s="2">
        <v>75.2029</v>
      </c>
    </row>
    <row r="252">
      <c r="A252" s="4">
        <v>44827.0</v>
      </c>
      <c r="B252" s="2">
        <v>1406643.0</v>
      </c>
      <c r="C252" s="2">
        <v>3812240.0</v>
      </c>
      <c r="D252" s="2">
        <v>75.367</v>
      </c>
    </row>
    <row r="253">
      <c r="A253" s="4">
        <v>44827.0</v>
      </c>
      <c r="B253" s="2">
        <v>1418103.0</v>
      </c>
      <c r="C253" s="2">
        <v>3811686.0</v>
      </c>
      <c r="D253" s="2">
        <v>123.9495</v>
      </c>
    </row>
    <row r="254">
      <c r="A254" s="4">
        <v>44827.0</v>
      </c>
      <c r="B254" s="2">
        <v>146283.0</v>
      </c>
      <c r="C254" s="2">
        <v>3811749.0</v>
      </c>
      <c r="D254" s="2">
        <v>161.1</v>
      </c>
    </row>
    <row r="255">
      <c r="A255" s="4">
        <v>44827.0</v>
      </c>
      <c r="B255" s="2">
        <v>392763.0</v>
      </c>
      <c r="C255" s="2">
        <v>3811600.0</v>
      </c>
      <c r="D255" s="2">
        <v>70.4275</v>
      </c>
    </row>
    <row r="256">
      <c r="A256" s="4">
        <v>44827.0</v>
      </c>
      <c r="B256" s="2">
        <v>1360113.0</v>
      </c>
      <c r="C256" s="2">
        <v>3812078.0</v>
      </c>
      <c r="D256" s="2">
        <v>67.0397999999999</v>
      </c>
    </row>
    <row r="257">
      <c r="A257" s="4">
        <v>45083.0</v>
      </c>
      <c r="B257" s="2">
        <v>1567323.0</v>
      </c>
      <c r="C257" s="2">
        <v>4525857.0</v>
      </c>
      <c r="D257" s="2">
        <v>26.771</v>
      </c>
    </row>
    <row r="258">
      <c r="A258" s="4">
        <v>45083.0</v>
      </c>
      <c r="B258" s="2">
        <v>1387113.0</v>
      </c>
      <c r="C258" s="2">
        <v>4524924.0</v>
      </c>
      <c r="D258" s="2">
        <v>187.021699999999</v>
      </c>
    </row>
    <row r="259">
      <c r="A259" s="4">
        <v>45083.0</v>
      </c>
      <c r="B259" s="2">
        <v>1593933.0</v>
      </c>
      <c r="C259" s="2">
        <v>4523901.0</v>
      </c>
      <c r="D259" s="2">
        <v>16.6583</v>
      </c>
    </row>
    <row r="260">
      <c r="A260" s="4">
        <v>45083.0</v>
      </c>
      <c r="B260" s="2">
        <v>1607913.0</v>
      </c>
      <c r="C260" s="2">
        <v>4525766.0</v>
      </c>
      <c r="D260" s="2">
        <v>51.2724999999999</v>
      </c>
    </row>
    <row r="261">
      <c r="A261" s="4">
        <v>44828.0</v>
      </c>
      <c r="B261" s="2">
        <v>91623.0</v>
      </c>
      <c r="C261" s="2">
        <v>3814270.0</v>
      </c>
      <c r="D261" s="2">
        <v>25.3017</v>
      </c>
    </row>
    <row r="262">
      <c r="A262" s="4">
        <v>44828.0</v>
      </c>
      <c r="B262" s="2">
        <v>1292223.0</v>
      </c>
      <c r="C262" s="2">
        <v>3814625.0</v>
      </c>
      <c r="D262" s="2">
        <v>55.68</v>
      </c>
    </row>
    <row r="263">
      <c r="A263" s="4">
        <v>44828.0</v>
      </c>
      <c r="B263" s="2">
        <v>257913.0</v>
      </c>
      <c r="C263" s="2">
        <v>3814871.0</v>
      </c>
      <c r="D263" s="2">
        <v>153.3209</v>
      </c>
    </row>
    <row r="264">
      <c r="A264" s="4">
        <v>44828.0</v>
      </c>
      <c r="B264" s="2">
        <v>1223523.0</v>
      </c>
      <c r="C264" s="2">
        <v>3814931.0</v>
      </c>
      <c r="D264" s="2">
        <v>145.4638</v>
      </c>
    </row>
    <row r="265">
      <c r="A265" s="4">
        <v>44828.0</v>
      </c>
      <c r="B265" s="2">
        <v>1165353.0</v>
      </c>
      <c r="C265" s="2">
        <v>3814266.0</v>
      </c>
      <c r="D265" s="2">
        <v>79.7876999999999</v>
      </c>
    </row>
    <row r="266">
      <c r="A266" s="4">
        <v>44828.0</v>
      </c>
      <c r="B266" s="2">
        <v>257913.0</v>
      </c>
      <c r="C266" s="2">
        <v>3814832.0</v>
      </c>
      <c r="D266" s="2">
        <v>8.25</v>
      </c>
    </row>
    <row r="267">
      <c r="A267" s="4">
        <v>45084.0</v>
      </c>
      <c r="B267" s="2">
        <v>1608363.0</v>
      </c>
      <c r="C267" s="2">
        <v>4527624.0</v>
      </c>
      <c r="D267" s="2">
        <v>36.6616999999999</v>
      </c>
    </row>
    <row r="268">
      <c r="A268" s="4">
        <v>45084.0</v>
      </c>
      <c r="B268" s="2">
        <v>1608123.0</v>
      </c>
      <c r="C268" s="2">
        <v>4526536.0</v>
      </c>
      <c r="D268" s="2">
        <v>5.6322</v>
      </c>
    </row>
    <row r="269">
      <c r="A269" s="4">
        <v>45084.0</v>
      </c>
      <c r="B269" s="2">
        <v>1608423.0</v>
      </c>
      <c r="C269" s="2">
        <v>4527721.0</v>
      </c>
      <c r="D269" s="2">
        <v>39.7457</v>
      </c>
    </row>
    <row r="270">
      <c r="A270" s="4">
        <v>45084.0</v>
      </c>
      <c r="B270" s="2">
        <v>1547883.0</v>
      </c>
      <c r="C270" s="2">
        <v>4526635.0</v>
      </c>
      <c r="D270" s="2">
        <v>87.3214</v>
      </c>
    </row>
    <row r="271">
      <c r="A271" s="4">
        <v>45084.0</v>
      </c>
      <c r="B271" s="2">
        <v>1271673.0</v>
      </c>
      <c r="C271" s="2">
        <v>4527948.0</v>
      </c>
      <c r="D271" s="2">
        <v>60.9424999999999</v>
      </c>
    </row>
    <row r="272">
      <c r="A272" s="4">
        <v>45084.0</v>
      </c>
      <c r="B272" s="2">
        <v>430593.0</v>
      </c>
      <c r="C272" s="2">
        <v>4527448.0</v>
      </c>
      <c r="D272" s="2">
        <v>89.6037999999999</v>
      </c>
    </row>
    <row r="273">
      <c r="A273" s="4">
        <v>45084.0</v>
      </c>
      <c r="B273" s="2">
        <v>423153.0</v>
      </c>
      <c r="C273" s="2">
        <v>4526665.0</v>
      </c>
      <c r="D273" s="2">
        <v>127.002199999999</v>
      </c>
    </row>
    <row r="274">
      <c r="A274" s="4">
        <v>45084.0</v>
      </c>
      <c r="B274" s="2">
        <v>1491483.0</v>
      </c>
      <c r="C274" s="2">
        <v>4527986.0</v>
      </c>
      <c r="D274" s="2">
        <v>236.5695</v>
      </c>
    </row>
    <row r="275">
      <c r="A275" s="4">
        <v>44829.0</v>
      </c>
      <c r="B275" s="2">
        <v>1419393.0</v>
      </c>
      <c r="C275" s="2">
        <v>3817001.0</v>
      </c>
      <c r="D275" s="2">
        <v>70.7295999999999</v>
      </c>
    </row>
    <row r="276">
      <c r="A276" s="4">
        <v>44829.0</v>
      </c>
      <c r="B276" s="2">
        <v>1238283.0</v>
      </c>
      <c r="C276" s="2">
        <v>3817056.0</v>
      </c>
      <c r="D276" s="2">
        <v>161.5746</v>
      </c>
    </row>
    <row r="277">
      <c r="A277" s="4">
        <v>44829.0</v>
      </c>
      <c r="B277" s="2">
        <v>1398753.0</v>
      </c>
      <c r="C277" s="2">
        <v>3816917.0</v>
      </c>
      <c r="D277" s="2">
        <v>110.3018</v>
      </c>
    </row>
    <row r="278">
      <c r="A278" s="4">
        <v>44829.0</v>
      </c>
      <c r="B278" s="2">
        <v>1173993.0</v>
      </c>
      <c r="C278" s="2">
        <v>3817216.0</v>
      </c>
      <c r="D278" s="2">
        <v>8.25</v>
      </c>
    </row>
    <row r="279">
      <c r="A279" s="4">
        <v>44829.0</v>
      </c>
      <c r="B279" s="2">
        <v>1367313.0</v>
      </c>
      <c r="C279" s="2">
        <v>3815830.0</v>
      </c>
      <c r="D279" s="2">
        <v>52.8653999999999</v>
      </c>
    </row>
    <row r="280">
      <c r="A280" s="4">
        <v>44829.0</v>
      </c>
      <c r="B280" s="2">
        <v>1173993.0</v>
      </c>
      <c r="C280" s="2">
        <v>3817387.0</v>
      </c>
      <c r="D280" s="2">
        <v>79.6938</v>
      </c>
    </row>
    <row r="281">
      <c r="A281" s="4">
        <v>44829.0</v>
      </c>
      <c r="B281" s="2">
        <v>1393623.0</v>
      </c>
      <c r="C281" s="2">
        <v>3817236.0</v>
      </c>
      <c r="D281" s="2">
        <v>117.9553</v>
      </c>
    </row>
    <row r="282">
      <c r="A282" s="4">
        <v>44829.0</v>
      </c>
      <c r="B282" s="2">
        <v>1419603.0</v>
      </c>
      <c r="C282" s="2">
        <v>3817862.0</v>
      </c>
      <c r="D282" s="2">
        <v>69.0747</v>
      </c>
    </row>
    <row r="283">
      <c r="A283" s="4">
        <v>44829.0</v>
      </c>
      <c r="B283" s="2">
        <v>1406463.0</v>
      </c>
      <c r="C283" s="2">
        <v>3816837.0</v>
      </c>
      <c r="D283" s="2">
        <v>46.8236</v>
      </c>
    </row>
    <row r="284">
      <c r="A284" s="4">
        <v>45085.0</v>
      </c>
      <c r="B284" s="2">
        <v>1128333.0</v>
      </c>
      <c r="C284" s="2">
        <v>4529617.0</v>
      </c>
      <c r="D284" s="2">
        <v>45.1625</v>
      </c>
    </row>
    <row r="285">
      <c r="A285" s="4">
        <v>45085.0</v>
      </c>
      <c r="B285" s="2">
        <v>1533183.0</v>
      </c>
      <c r="C285" s="2">
        <v>4529434.0</v>
      </c>
      <c r="D285" s="2">
        <v>46.0169</v>
      </c>
    </row>
    <row r="286">
      <c r="A286" s="4">
        <v>45085.0</v>
      </c>
      <c r="B286" s="2">
        <v>1513473.0</v>
      </c>
      <c r="C286" s="2">
        <v>4528659.0</v>
      </c>
      <c r="D286" s="2">
        <v>60.2717</v>
      </c>
    </row>
    <row r="287">
      <c r="A287" s="4">
        <v>45085.0</v>
      </c>
      <c r="B287" s="2">
        <v>426423.0</v>
      </c>
      <c r="C287" s="2">
        <v>4528986.0</v>
      </c>
      <c r="D287" s="2">
        <v>98.0017999999999</v>
      </c>
    </row>
    <row r="288">
      <c r="A288" s="4">
        <v>44830.0</v>
      </c>
      <c r="B288" s="2">
        <v>1418553.0</v>
      </c>
      <c r="C288" s="2">
        <v>3820780.0</v>
      </c>
      <c r="D288" s="2">
        <v>97.9088999999999</v>
      </c>
    </row>
    <row r="289">
      <c r="A289" s="4">
        <v>44830.0</v>
      </c>
      <c r="B289" s="2">
        <v>1368123.0</v>
      </c>
      <c r="C289" s="2">
        <v>3819192.0</v>
      </c>
      <c r="D289" s="2">
        <v>61.8111999999999</v>
      </c>
    </row>
    <row r="290">
      <c r="A290" s="4">
        <v>45086.0</v>
      </c>
      <c r="B290" s="2">
        <v>1046973.0</v>
      </c>
      <c r="C290" s="2">
        <v>4530453.0</v>
      </c>
      <c r="D290" s="2">
        <v>67.8729</v>
      </c>
    </row>
    <row r="291">
      <c r="A291" s="4">
        <v>45086.0</v>
      </c>
      <c r="B291" s="2">
        <v>1407333.0</v>
      </c>
      <c r="C291" s="2">
        <v>4530173.0</v>
      </c>
      <c r="D291" s="2">
        <v>113.776699999999</v>
      </c>
    </row>
    <row r="292">
      <c r="A292" s="4">
        <v>44831.0</v>
      </c>
      <c r="B292" s="2">
        <v>1420683.0</v>
      </c>
      <c r="C292" s="2">
        <v>3822414.0</v>
      </c>
      <c r="D292" s="2">
        <v>51.5833</v>
      </c>
    </row>
    <row r="293">
      <c r="A293" s="4">
        <v>44831.0</v>
      </c>
      <c r="B293" s="2">
        <v>1236423.0</v>
      </c>
      <c r="C293" s="2">
        <v>3823110.0</v>
      </c>
      <c r="D293" s="2">
        <v>26.1987</v>
      </c>
    </row>
    <row r="294">
      <c r="A294" s="4">
        <v>44831.0</v>
      </c>
      <c r="B294" s="2">
        <v>186663.0</v>
      </c>
      <c r="C294" s="2">
        <v>3822021.0</v>
      </c>
      <c r="D294" s="2">
        <v>93.1996999999999</v>
      </c>
    </row>
    <row r="295">
      <c r="A295" s="4">
        <v>45087.0</v>
      </c>
      <c r="B295" s="2">
        <v>1435473.0</v>
      </c>
      <c r="C295" s="2">
        <v>4532626.0</v>
      </c>
      <c r="D295" s="2">
        <v>68.3507</v>
      </c>
    </row>
    <row r="296">
      <c r="A296" s="4">
        <v>45087.0</v>
      </c>
      <c r="B296" s="2">
        <v>142833.0</v>
      </c>
      <c r="C296" s="2">
        <v>4531591.0</v>
      </c>
      <c r="D296" s="2">
        <v>41.8084</v>
      </c>
    </row>
    <row r="297">
      <c r="A297" s="4">
        <v>45087.0</v>
      </c>
      <c r="B297" s="2">
        <v>1609623.0</v>
      </c>
      <c r="C297" s="2">
        <v>4532333.0</v>
      </c>
      <c r="D297" s="2">
        <v>10.295</v>
      </c>
    </row>
    <row r="298">
      <c r="A298" s="4">
        <v>45087.0</v>
      </c>
      <c r="B298" s="2">
        <v>1609473.0</v>
      </c>
      <c r="C298" s="2">
        <v>4531745.0</v>
      </c>
      <c r="D298" s="2">
        <v>20.4313</v>
      </c>
    </row>
    <row r="299">
      <c r="A299" s="4">
        <v>44832.0</v>
      </c>
      <c r="B299" s="2">
        <v>1149063.0</v>
      </c>
      <c r="C299" s="2">
        <v>3824569.0</v>
      </c>
      <c r="D299" s="2">
        <v>81.6052</v>
      </c>
    </row>
    <row r="300">
      <c r="A300" s="4">
        <v>44832.0</v>
      </c>
      <c r="B300" s="2">
        <v>1421403.0</v>
      </c>
      <c r="C300" s="2">
        <v>3825641.0</v>
      </c>
      <c r="D300" s="2">
        <v>54.0292</v>
      </c>
    </row>
    <row r="301">
      <c r="A301" s="4">
        <v>44832.0</v>
      </c>
      <c r="B301" s="2">
        <v>1421283.0</v>
      </c>
      <c r="C301" s="2">
        <v>3825173.0</v>
      </c>
      <c r="D301" s="2">
        <v>22.6507</v>
      </c>
    </row>
    <row r="302">
      <c r="A302" s="4">
        <v>44832.0</v>
      </c>
      <c r="B302" s="2">
        <v>91623.0</v>
      </c>
      <c r="C302" s="2">
        <v>3823524.0</v>
      </c>
      <c r="D302" s="2">
        <v>34.7621</v>
      </c>
    </row>
    <row r="303">
      <c r="A303" s="4">
        <v>44832.0</v>
      </c>
      <c r="B303" s="2">
        <v>1323693.0</v>
      </c>
      <c r="C303" s="2">
        <v>3825232.0</v>
      </c>
      <c r="D303" s="2">
        <v>106.427699999999</v>
      </c>
    </row>
    <row r="304">
      <c r="A304" s="4">
        <v>44832.0</v>
      </c>
      <c r="B304" s="2">
        <v>1382673.0</v>
      </c>
      <c r="C304" s="2">
        <v>3824181.0</v>
      </c>
      <c r="D304" s="2">
        <v>36.9751</v>
      </c>
    </row>
    <row r="305">
      <c r="A305" s="4">
        <v>44832.0</v>
      </c>
      <c r="B305" s="2">
        <v>1234173.0</v>
      </c>
      <c r="C305" s="2">
        <v>3824045.0</v>
      </c>
      <c r="D305" s="2">
        <v>42.4125</v>
      </c>
    </row>
    <row r="306">
      <c r="A306" s="4">
        <v>45088.0</v>
      </c>
      <c r="B306" s="2">
        <v>1030023.0</v>
      </c>
      <c r="C306" s="2">
        <v>4534190.0</v>
      </c>
      <c r="D306" s="2">
        <v>119.296599999999</v>
      </c>
    </row>
    <row r="307">
      <c r="A307" s="4">
        <v>45088.0</v>
      </c>
      <c r="B307" s="2">
        <v>1606803.0</v>
      </c>
      <c r="C307" s="2">
        <v>4533982.0</v>
      </c>
      <c r="D307" s="2">
        <v>824.0119</v>
      </c>
    </row>
    <row r="308">
      <c r="A308" s="4">
        <v>45088.0</v>
      </c>
      <c r="B308" s="2">
        <v>1351803.0</v>
      </c>
      <c r="C308" s="2">
        <v>4535237.0</v>
      </c>
      <c r="D308" s="2">
        <v>117.210299999999</v>
      </c>
    </row>
    <row r="309">
      <c r="A309" s="4">
        <v>45088.0</v>
      </c>
      <c r="B309" s="2">
        <v>1404303.0</v>
      </c>
      <c r="C309" s="2">
        <v>4535938.0</v>
      </c>
      <c r="D309" s="2">
        <v>49.9167</v>
      </c>
    </row>
    <row r="310">
      <c r="A310" s="4">
        <v>45088.0</v>
      </c>
      <c r="B310" s="2">
        <v>1194483.0</v>
      </c>
      <c r="C310" s="2">
        <v>4535494.0</v>
      </c>
      <c r="D310" s="2">
        <v>110.7152</v>
      </c>
    </row>
    <row r="311">
      <c r="A311" s="4">
        <v>45088.0</v>
      </c>
      <c r="B311" s="2">
        <v>1610103.0</v>
      </c>
      <c r="C311" s="2">
        <v>4534664.0</v>
      </c>
      <c r="D311" s="2">
        <v>6.6</v>
      </c>
    </row>
    <row r="312">
      <c r="A312" s="4">
        <v>45088.0</v>
      </c>
      <c r="B312" s="2">
        <v>407643.0</v>
      </c>
      <c r="C312" s="2">
        <v>4534705.0</v>
      </c>
      <c r="D312" s="2">
        <v>72.4546</v>
      </c>
    </row>
    <row r="313">
      <c r="A313" s="4">
        <v>45088.0</v>
      </c>
      <c r="B313" s="2">
        <v>1267803.0</v>
      </c>
      <c r="C313" s="2">
        <v>4535619.0</v>
      </c>
      <c r="D313" s="2">
        <v>94.0475</v>
      </c>
    </row>
    <row r="314">
      <c r="A314" s="4">
        <v>44833.0</v>
      </c>
      <c r="B314" s="2">
        <v>1077423.0</v>
      </c>
      <c r="C314" s="2">
        <v>3826801.0</v>
      </c>
      <c r="D314" s="2">
        <v>172.886399999999</v>
      </c>
    </row>
    <row r="315">
      <c r="A315" s="4">
        <v>44833.0</v>
      </c>
      <c r="B315" s="2">
        <v>1328943.0</v>
      </c>
      <c r="C315" s="2">
        <v>3827937.0</v>
      </c>
      <c r="D315" s="2">
        <v>67.1820999999999</v>
      </c>
    </row>
    <row r="316">
      <c r="A316" s="4">
        <v>44833.0</v>
      </c>
      <c r="B316" s="2">
        <v>1254663.0</v>
      </c>
      <c r="C316" s="2">
        <v>3827663.0</v>
      </c>
      <c r="D316" s="2">
        <v>68.3796</v>
      </c>
    </row>
    <row r="317">
      <c r="A317" s="4">
        <v>44833.0</v>
      </c>
      <c r="B317" s="2">
        <v>1421673.0</v>
      </c>
      <c r="C317" s="2">
        <v>3827003.0</v>
      </c>
      <c r="D317" s="2">
        <v>90.6109999999999</v>
      </c>
    </row>
    <row r="318">
      <c r="A318" s="4">
        <v>44833.0</v>
      </c>
      <c r="B318" s="2">
        <v>1090473.0</v>
      </c>
      <c r="C318" s="2">
        <v>3826380.0</v>
      </c>
      <c r="D318" s="2">
        <v>96.6823</v>
      </c>
    </row>
    <row r="319">
      <c r="A319" s="4">
        <v>45089.0</v>
      </c>
      <c r="B319" s="2">
        <v>1610733.0</v>
      </c>
      <c r="C319" s="2">
        <v>4537789.0</v>
      </c>
      <c r="D319" s="2">
        <v>151.7886</v>
      </c>
    </row>
    <row r="320">
      <c r="A320" s="4">
        <v>45089.0</v>
      </c>
      <c r="B320" s="2">
        <v>221733.0</v>
      </c>
      <c r="C320" s="2">
        <v>4536665.0</v>
      </c>
      <c r="D320" s="2">
        <v>267.8019</v>
      </c>
    </row>
    <row r="321">
      <c r="A321" s="4">
        <v>45089.0</v>
      </c>
      <c r="B321" s="2">
        <v>1610673.0</v>
      </c>
      <c r="C321" s="2">
        <v>4537485.0</v>
      </c>
      <c r="D321" s="2">
        <v>34.2355</v>
      </c>
    </row>
    <row r="322">
      <c r="A322" s="4">
        <v>45089.0</v>
      </c>
      <c r="B322" s="2">
        <v>1010553.0</v>
      </c>
      <c r="C322" s="2">
        <v>4536990.0</v>
      </c>
      <c r="D322" s="2">
        <v>69.7331</v>
      </c>
    </row>
    <row r="323">
      <c r="A323" s="4">
        <v>45089.0</v>
      </c>
      <c r="B323" s="2">
        <v>1610403.0</v>
      </c>
      <c r="C323" s="2">
        <v>4536202.0</v>
      </c>
      <c r="D323" s="2">
        <v>7.0924</v>
      </c>
    </row>
    <row r="324">
      <c r="A324" s="4">
        <v>45089.0</v>
      </c>
      <c r="B324" s="2">
        <v>449253.0</v>
      </c>
      <c r="C324" s="2">
        <v>4538207.0</v>
      </c>
      <c r="D324" s="2">
        <v>22.6696</v>
      </c>
    </row>
    <row r="325">
      <c r="A325" s="4">
        <v>45089.0</v>
      </c>
      <c r="B325" s="2">
        <v>1546173.0</v>
      </c>
      <c r="C325" s="2">
        <v>4537796.0</v>
      </c>
      <c r="D325" s="2">
        <v>35.9017</v>
      </c>
    </row>
    <row r="326">
      <c r="A326" s="4">
        <v>45089.0</v>
      </c>
      <c r="B326" s="2">
        <v>1610433.0</v>
      </c>
      <c r="C326" s="2">
        <v>4536377.0</v>
      </c>
      <c r="D326" s="2">
        <v>43.4256</v>
      </c>
    </row>
    <row r="327">
      <c r="A327" s="4">
        <v>44834.0</v>
      </c>
      <c r="B327" s="2">
        <v>260853.0</v>
      </c>
      <c r="C327" s="2">
        <v>3828784.0</v>
      </c>
      <c r="D327" s="2">
        <v>104.307499999999</v>
      </c>
    </row>
    <row r="328">
      <c r="A328" s="4">
        <v>44834.0</v>
      </c>
      <c r="B328" s="2">
        <v>1330143.0</v>
      </c>
      <c r="C328" s="2">
        <v>3829176.0</v>
      </c>
      <c r="D328" s="2">
        <v>65.9252</v>
      </c>
    </row>
    <row r="329">
      <c r="A329" s="4">
        <v>44834.0</v>
      </c>
      <c r="B329" s="2">
        <v>1422243.0</v>
      </c>
      <c r="C329" s="2">
        <v>3829103.0</v>
      </c>
      <c r="D329" s="2">
        <v>5.385</v>
      </c>
    </row>
    <row r="330">
      <c r="A330" s="4">
        <v>44834.0</v>
      </c>
      <c r="B330" s="2">
        <v>1319373.0</v>
      </c>
      <c r="C330" s="2">
        <v>3829534.0</v>
      </c>
      <c r="D330" s="2">
        <v>92.393</v>
      </c>
    </row>
    <row r="331">
      <c r="A331" s="4">
        <v>44834.0</v>
      </c>
      <c r="B331" s="2">
        <v>1422333.0</v>
      </c>
      <c r="C331" s="2">
        <v>3829418.0</v>
      </c>
      <c r="D331" s="2">
        <v>38.9771999999999</v>
      </c>
    </row>
    <row r="332">
      <c r="A332" s="4">
        <v>44834.0</v>
      </c>
      <c r="B332" s="2">
        <v>1296363.0</v>
      </c>
      <c r="C332" s="2">
        <v>3830171.0</v>
      </c>
      <c r="D332" s="2">
        <v>114.3992</v>
      </c>
    </row>
    <row r="333">
      <c r="A333" s="4">
        <v>45090.0</v>
      </c>
      <c r="B333" s="2">
        <v>1405893.0</v>
      </c>
      <c r="C333" s="2">
        <v>4539615.0</v>
      </c>
      <c r="D333" s="2">
        <v>106.8501</v>
      </c>
    </row>
    <row r="334">
      <c r="A334" s="4">
        <v>45090.0</v>
      </c>
      <c r="B334" s="2">
        <v>1611003.0</v>
      </c>
      <c r="C334" s="2">
        <v>4539059.0</v>
      </c>
      <c r="D334" s="2">
        <v>23.023</v>
      </c>
    </row>
    <row r="335">
      <c r="A335" s="4">
        <v>45090.0</v>
      </c>
      <c r="B335" s="2">
        <v>1611213.0</v>
      </c>
      <c r="C335" s="2">
        <v>4540004.0</v>
      </c>
      <c r="D335" s="2">
        <v>140.6078</v>
      </c>
    </row>
    <row r="336">
      <c r="A336" s="4">
        <v>45090.0</v>
      </c>
      <c r="B336" s="2">
        <v>1610703.0</v>
      </c>
      <c r="C336" s="2">
        <v>4539835.0</v>
      </c>
      <c r="D336" s="2">
        <v>213.962</v>
      </c>
    </row>
    <row r="337">
      <c r="A337" s="4">
        <v>44835.0</v>
      </c>
      <c r="B337" s="2">
        <v>1144893.0</v>
      </c>
      <c r="C337" s="2">
        <v>3831258.0</v>
      </c>
      <c r="D337" s="2">
        <v>117.98</v>
      </c>
    </row>
    <row r="338">
      <c r="A338" s="4">
        <v>44835.0</v>
      </c>
      <c r="B338" s="2">
        <v>1423023.0</v>
      </c>
      <c r="C338" s="2">
        <v>3831993.0</v>
      </c>
      <c r="D338" s="2">
        <v>60.7433</v>
      </c>
    </row>
    <row r="339">
      <c r="A339" s="4">
        <v>44835.0</v>
      </c>
      <c r="B339" s="2">
        <v>266283.0</v>
      </c>
      <c r="C339" s="2">
        <v>3833944.0</v>
      </c>
      <c r="D339" s="2">
        <v>81.1155</v>
      </c>
    </row>
    <row r="340">
      <c r="A340" s="4">
        <v>44835.0</v>
      </c>
      <c r="B340" s="2">
        <v>228423.0</v>
      </c>
      <c r="C340" s="2">
        <v>3830742.0</v>
      </c>
      <c r="D340" s="2">
        <v>143.0506</v>
      </c>
    </row>
    <row r="341">
      <c r="A341" s="4">
        <v>44835.0</v>
      </c>
      <c r="B341" s="2">
        <v>414963.0</v>
      </c>
      <c r="C341" s="2">
        <v>3833693.0</v>
      </c>
      <c r="D341" s="2">
        <v>36.7025</v>
      </c>
    </row>
    <row r="342">
      <c r="A342" s="4">
        <v>45091.0</v>
      </c>
      <c r="B342" s="2">
        <v>1611333.0</v>
      </c>
      <c r="C342" s="2">
        <v>4540710.0</v>
      </c>
      <c r="D342" s="2">
        <v>19.125</v>
      </c>
    </row>
    <row r="343">
      <c r="A343" s="4">
        <v>45091.0</v>
      </c>
      <c r="B343" s="2">
        <v>1594203.0</v>
      </c>
      <c r="C343" s="2">
        <v>4541394.0</v>
      </c>
      <c r="D343" s="2">
        <v>120.533499999999</v>
      </c>
    </row>
    <row r="344">
      <c r="A344" s="4">
        <v>45091.0</v>
      </c>
      <c r="B344" s="2">
        <v>1556523.0</v>
      </c>
      <c r="C344" s="2">
        <v>4540853.0</v>
      </c>
      <c r="D344" s="2">
        <v>113.5736</v>
      </c>
    </row>
    <row r="345">
      <c r="A345" s="4">
        <v>45091.0</v>
      </c>
      <c r="B345" s="2">
        <v>1428633.0</v>
      </c>
      <c r="C345" s="2">
        <v>4542187.0</v>
      </c>
      <c r="D345" s="2">
        <v>148.5319</v>
      </c>
    </row>
    <row r="346">
      <c r="A346" s="4">
        <v>45091.0</v>
      </c>
      <c r="B346" s="2">
        <v>1611363.0</v>
      </c>
      <c r="C346" s="2">
        <v>4540920.0</v>
      </c>
      <c r="D346" s="2">
        <v>35.2614</v>
      </c>
    </row>
    <row r="347">
      <c r="A347" s="4">
        <v>45091.0</v>
      </c>
      <c r="B347" s="2">
        <v>1253943.0</v>
      </c>
      <c r="C347" s="2">
        <v>4540973.0</v>
      </c>
      <c r="D347" s="2">
        <v>94.8551</v>
      </c>
    </row>
    <row r="348">
      <c r="A348" s="4">
        <v>45091.0</v>
      </c>
      <c r="B348" s="2">
        <v>1611303.0</v>
      </c>
      <c r="C348" s="2">
        <v>4540602.0</v>
      </c>
      <c r="D348" s="2">
        <v>71.0679</v>
      </c>
    </row>
    <row r="349">
      <c r="A349" s="4">
        <v>45091.0</v>
      </c>
      <c r="B349" s="2">
        <v>231783.0</v>
      </c>
      <c r="C349" s="2">
        <v>4541228.0</v>
      </c>
      <c r="D349" s="2">
        <v>74.7884999999999</v>
      </c>
    </row>
    <row r="350">
      <c r="A350" s="4">
        <v>44836.0</v>
      </c>
      <c r="B350" s="2">
        <v>1319343.0</v>
      </c>
      <c r="C350" s="2">
        <v>3834936.0</v>
      </c>
      <c r="D350" s="2">
        <v>67.6475</v>
      </c>
    </row>
    <row r="351">
      <c r="A351" s="4">
        <v>44836.0</v>
      </c>
      <c r="B351" s="2">
        <v>278733.0</v>
      </c>
      <c r="C351" s="2">
        <v>3837310.0</v>
      </c>
      <c r="D351" s="2">
        <v>90.0539</v>
      </c>
    </row>
    <row r="352">
      <c r="A352" s="4">
        <v>44836.0</v>
      </c>
      <c r="B352" s="2">
        <v>262083.0</v>
      </c>
      <c r="C352" s="2">
        <v>3835410.0</v>
      </c>
      <c r="D352" s="2">
        <v>46.8713</v>
      </c>
    </row>
    <row r="353">
      <c r="A353" s="4">
        <v>44836.0</v>
      </c>
      <c r="B353" s="2">
        <v>1389153.0</v>
      </c>
      <c r="C353" s="2">
        <v>3835584.0</v>
      </c>
      <c r="D353" s="2">
        <v>7.87919999999999</v>
      </c>
    </row>
    <row r="354">
      <c r="A354" s="4">
        <v>44836.0</v>
      </c>
      <c r="B354" s="2">
        <v>1246083.0</v>
      </c>
      <c r="C354" s="2">
        <v>3836959.0</v>
      </c>
      <c r="D354" s="2">
        <v>63.0021</v>
      </c>
    </row>
    <row r="355">
      <c r="A355" s="4">
        <v>44836.0</v>
      </c>
      <c r="B355" s="2">
        <v>1238583.0</v>
      </c>
      <c r="C355" s="2">
        <v>3836579.0</v>
      </c>
      <c r="D355" s="2">
        <v>48.9514</v>
      </c>
    </row>
    <row r="356">
      <c r="A356" s="4">
        <v>44836.0</v>
      </c>
      <c r="B356" s="2">
        <v>1420083.0</v>
      </c>
      <c r="C356" s="2">
        <v>3835249.0</v>
      </c>
      <c r="D356" s="2">
        <v>63.9991</v>
      </c>
    </row>
    <row r="357">
      <c r="A357" s="4">
        <v>44836.0</v>
      </c>
      <c r="B357" s="2">
        <v>1215273.0</v>
      </c>
      <c r="C357" s="2">
        <v>3834974.0</v>
      </c>
      <c r="D357" s="2">
        <v>23.9087</v>
      </c>
    </row>
    <row r="358">
      <c r="A358" s="4">
        <v>44836.0</v>
      </c>
      <c r="B358" s="2">
        <v>996933.0</v>
      </c>
      <c r="C358" s="2">
        <v>3834937.0</v>
      </c>
      <c r="D358" s="2">
        <v>97.9648</v>
      </c>
    </row>
    <row r="359">
      <c r="A359" s="4">
        <v>44836.0</v>
      </c>
      <c r="B359" s="2">
        <v>186663.0</v>
      </c>
      <c r="C359" s="2">
        <v>3836490.0</v>
      </c>
      <c r="D359" s="2">
        <v>25.069</v>
      </c>
    </row>
    <row r="360">
      <c r="A360" s="4">
        <v>44836.0</v>
      </c>
      <c r="B360" s="2">
        <v>1423773.0</v>
      </c>
      <c r="C360" s="2">
        <v>3835164.0</v>
      </c>
      <c r="D360" s="2">
        <v>59.3841</v>
      </c>
    </row>
    <row r="361">
      <c r="A361" s="4">
        <v>45092.0</v>
      </c>
      <c r="B361" s="2">
        <v>1436763.0</v>
      </c>
      <c r="C361" s="2">
        <v>4543546.0</v>
      </c>
      <c r="D361" s="2">
        <v>68.7324</v>
      </c>
    </row>
    <row r="362">
      <c r="A362" s="4">
        <v>45092.0</v>
      </c>
      <c r="B362" s="2">
        <v>1179483.0</v>
      </c>
      <c r="C362" s="2">
        <v>4542583.0</v>
      </c>
      <c r="D362" s="2">
        <v>98.7658</v>
      </c>
    </row>
    <row r="363">
      <c r="A363" s="4">
        <v>45092.0</v>
      </c>
      <c r="B363" s="2">
        <v>1372173.0</v>
      </c>
      <c r="C363" s="2">
        <v>4542360.0</v>
      </c>
      <c r="D363" s="2">
        <v>50.925</v>
      </c>
    </row>
    <row r="364">
      <c r="A364" s="4">
        <v>44837.0</v>
      </c>
      <c r="B364" s="2">
        <v>1090473.0</v>
      </c>
      <c r="C364" s="2">
        <v>3837936.0</v>
      </c>
      <c r="D364" s="2">
        <v>50.5745</v>
      </c>
    </row>
    <row r="365">
      <c r="A365" s="4">
        <v>44837.0</v>
      </c>
      <c r="B365" s="2">
        <v>1187913.0</v>
      </c>
      <c r="C365" s="2">
        <v>3838704.0</v>
      </c>
      <c r="D365" s="2">
        <v>60.9000999999999</v>
      </c>
    </row>
    <row r="366">
      <c r="A366" s="4">
        <v>44837.0</v>
      </c>
      <c r="B366" s="2">
        <v>481893.0</v>
      </c>
      <c r="C366" s="2">
        <v>3840194.0</v>
      </c>
      <c r="D366" s="2">
        <v>65.1640999999999</v>
      </c>
    </row>
    <row r="367">
      <c r="A367" s="4">
        <v>44837.0</v>
      </c>
      <c r="B367" s="2">
        <v>1417113.0</v>
      </c>
      <c r="C367" s="2">
        <v>3838468.0</v>
      </c>
      <c r="D367" s="2">
        <v>67.7809999999999</v>
      </c>
    </row>
    <row r="368">
      <c r="A368" s="4">
        <v>44837.0</v>
      </c>
      <c r="B368" s="2">
        <v>223263.0</v>
      </c>
      <c r="C368" s="2">
        <v>3839755.0</v>
      </c>
      <c r="D368" s="2">
        <v>78.1753</v>
      </c>
    </row>
    <row r="369">
      <c r="A369" s="4">
        <v>45093.0</v>
      </c>
      <c r="B369" s="2">
        <v>186663.0</v>
      </c>
      <c r="C369" s="2">
        <v>4543649.0</v>
      </c>
      <c r="D369" s="2">
        <v>27.7342</v>
      </c>
    </row>
    <row r="370">
      <c r="A370" s="4">
        <v>45093.0</v>
      </c>
      <c r="B370" s="2">
        <v>1578423.0</v>
      </c>
      <c r="C370" s="2">
        <v>4543940.0</v>
      </c>
      <c r="D370" s="2">
        <v>105.4628</v>
      </c>
    </row>
    <row r="371">
      <c r="A371" s="4">
        <v>45093.0</v>
      </c>
      <c r="B371" s="2">
        <v>367683.0</v>
      </c>
      <c r="C371" s="2">
        <v>4544130.0</v>
      </c>
      <c r="D371" s="2">
        <v>66.8402</v>
      </c>
    </row>
    <row r="372">
      <c r="A372" s="4">
        <v>45093.0</v>
      </c>
      <c r="B372" s="2">
        <v>1612203.0</v>
      </c>
      <c r="C372" s="2">
        <v>4544558.0</v>
      </c>
      <c r="D372" s="2">
        <v>183.4583</v>
      </c>
    </row>
    <row r="373">
      <c r="A373" s="4">
        <v>44838.0</v>
      </c>
      <c r="B373" s="2">
        <v>1338723.0</v>
      </c>
      <c r="C373" s="2">
        <v>3841632.0</v>
      </c>
      <c r="D373" s="2">
        <v>57.9758</v>
      </c>
    </row>
    <row r="374">
      <c r="A374" s="4">
        <v>44838.0</v>
      </c>
      <c r="B374" s="2">
        <v>395523.0</v>
      </c>
      <c r="C374" s="2">
        <v>3841950.0</v>
      </c>
      <c r="D374" s="2">
        <v>79.7530999999999</v>
      </c>
    </row>
    <row r="375">
      <c r="A375" s="4">
        <v>44838.0</v>
      </c>
      <c r="B375" s="2">
        <v>1290123.0</v>
      </c>
      <c r="C375" s="2">
        <v>3843033.0</v>
      </c>
      <c r="D375" s="2">
        <v>168.2236</v>
      </c>
    </row>
    <row r="376">
      <c r="A376" s="4">
        <v>44838.0</v>
      </c>
      <c r="B376" s="2">
        <v>257913.0</v>
      </c>
      <c r="C376" s="2">
        <v>3841444.0</v>
      </c>
      <c r="D376" s="2">
        <v>78.676</v>
      </c>
    </row>
    <row r="377">
      <c r="A377" s="4">
        <v>44838.0</v>
      </c>
      <c r="B377" s="2">
        <v>361203.0</v>
      </c>
      <c r="C377" s="2">
        <v>3842977.0</v>
      </c>
      <c r="D377" s="2">
        <v>65.0492999999999</v>
      </c>
    </row>
    <row r="378">
      <c r="A378" s="4">
        <v>44838.0</v>
      </c>
      <c r="B378" s="2">
        <v>184683.0</v>
      </c>
      <c r="C378" s="2">
        <v>3843013.0</v>
      </c>
      <c r="D378" s="2">
        <v>85.2216</v>
      </c>
    </row>
    <row r="379">
      <c r="A379" s="4">
        <v>44838.0</v>
      </c>
      <c r="B379" s="2">
        <v>1162143.0</v>
      </c>
      <c r="C379" s="2">
        <v>3842122.0</v>
      </c>
      <c r="D379" s="2">
        <v>83.3490999999999</v>
      </c>
    </row>
    <row r="380">
      <c r="A380" s="4">
        <v>45094.0</v>
      </c>
      <c r="B380" s="2">
        <v>1478823.0</v>
      </c>
      <c r="C380" s="2">
        <v>4546023.0</v>
      </c>
      <c r="D380" s="2">
        <v>80.5332</v>
      </c>
    </row>
    <row r="381">
      <c r="A381" s="4">
        <v>45094.0</v>
      </c>
      <c r="B381" s="2">
        <v>1612473.0</v>
      </c>
      <c r="C381" s="2">
        <v>4545425.0</v>
      </c>
      <c r="D381" s="2">
        <v>35.9264</v>
      </c>
    </row>
    <row r="382">
      <c r="A382" s="4">
        <v>45094.0</v>
      </c>
      <c r="B382" s="2">
        <v>1612653.0</v>
      </c>
      <c r="C382" s="2">
        <v>4546365.0</v>
      </c>
      <c r="D382" s="2">
        <v>66.3145</v>
      </c>
    </row>
    <row r="383">
      <c r="A383" s="4">
        <v>44839.0</v>
      </c>
      <c r="B383" s="2">
        <v>1195233.0</v>
      </c>
      <c r="C383" s="2">
        <v>3845516.0</v>
      </c>
      <c r="D383" s="2">
        <v>31.3172</v>
      </c>
    </row>
    <row r="384">
      <c r="A384" s="4">
        <v>44839.0</v>
      </c>
      <c r="B384" s="2">
        <v>1426383.0</v>
      </c>
      <c r="C384" s="2">
        <v>3845540.0</v>
      </c>
      <c r="D384" s="2">
        <v>48.75</v>
      </c>
    </row>
    <row r="385">
      <c r="A385" s="4">
        <v>44839.0</v>
      </c>
      <c r="B385" s="2">
        <v>1426233.0</v>
      </c>
      <c r="C385" s="2">
        <v>3845141.0</v>
      </c>
      <c r="D385" s="2">
        <v>76.7226</v>
      </c>
    </row>
    <row r="386">
      <c r="A386" s="4">
        <v>45095.0</v>
      </c>
      <c r="B386" s="2">
        <v>1197873.0</v>
      </c>
      <c r="C386" s="2">
        <v>4548712.0</v>
      </c>
      <c r="D386" s="2">
        <v>66.4461</v>
      </c>
    </row>
    <row r="387">
      <c r="A387" s="4">
        <v>45095.0</v>
      </c>
      <c r="B387" s="2">
        <v>1611873.0</v>
      </c>
      <c r="C387" s="2">
        <v>4548972.0</v>
      </c>
      <c r="D387" s="2">
        <v>63.4201</v>
      </c>
    </row>
    <row r="388">
      <c r="A388" s="4">
        <v>45095.0</v>
      </c>
      <c r="B388" s="2">
        <v>1179483.0</v>
      </c>
      <c r="C388" s="2">
        <v>4548265.0</v>
      </c>
      <c r="D388" s="2">
        <v>42.795</v>
      </c>
    </row>
    <row r="389">
      <c r="A389" s="4">
        <v>45095.0</v>
      </c>
      <c r="B389" s="2">
        <v>1223523.0</v>
      </c>
      <c r="C389" s="2">
        <v>4548290.0</v>
      </c>
      <c r="D389" s="2">
        <v>112.4226</v>
      </c>
    </row>
    <row r="390">
      <c r="A390" s="4">
        <v>45095.0</v>
      </c>
      <c r="B390" s="2">
        <v>1606803.0</v>
      </c>
      <c r="C390" s="2">
        <v>4547709.0</v>
      </c>
      <c r="D390" s="2">
        <v>391.0725</v>
      </c>
    </row>
    <row r="391">
      <c r="A391" s="4">
        <v>44840.0</v>
      </c>
      <c r="B391" s="2">
        <v>230883.0</v>
      </c>
      <c r="C391" s="2">
        <v>3847459.0</v>
      </c>
      <c r="D391" s="2">
        <v>82.6857999999999</v>
      </c>
    </row>
    <row r="392">
      <c r="A392" s="4">
        <v>44840.0</v>
      </c>
      <c r="B392" s="2">
        <v>1128333.0</v>
      </c>
      <c r="C392" s="2">
        <v>3847213.0</v>
      </c>
      <c r="D392" s="2">
        <v>42.6449999999999</v>
      </c>
    </row>
    <row r="393">
      <c r="A393" s="4">
        <v>44840.0</v>
      </c>
      <c r="B393" s="2">
        <v>426423.0</v>
      </c>
      <c r="C393" s="2">
        <v>3846974.0</v>
      </c>
      <c r="D393" s="2">
        <v>97.0255</v>
      </c>
    </row>
    <row r="394">
      <c r="A394" s="4">
        <v>44840.0</v>
      </c>
      <c r="B394" s="2">
        <v>1296213.0</v>
      </c>
      <c r="C394" s="2">
        <v>3847578.0</v>
      </c>
      <c r="D394" s="2">
        <v>83.5134</v>
      </c>
    </row>
    <row r="395">
      <c r="A395" s="4">
        <v>45096.0</v>
      </c>
      <c r="B395" s="2">
        <v>1413543.0</v>
      </c>
      <c r="C395" s="2">
        <v>4550835.0</v>
      </c>
      <c r="D395" s="2">
        <v>83.7674</v>
      </c>
    </row>
    <row r="396">
      <c r="A396" s="4">
        <v>45096.0</v>
      </c>
      <c r="B396" s="2">
        <v>1450893.0</v>
      </c>
      <c r="C396" s="2">
        <v>4551134.0</v>
      </c>
      <c r="D396" s="2">
        <v>66.8839999999999</v>
      </c>
    </row>
    <row r="397">
      <c r="A397" s="4">
        <v>45096.0</v>
      </c>
      <c r="B397" s="2">
        <v>1450893.0</v>
      </c>
      <c r="C397" s="2">
        <v>4549421.0</v>
      </c>
      <c r="D397" s="2">
        <v>94.0681</v>
      </c>
    </row>
    <row r="398">
      <c r="A398" s="4">
        <v>45096.0</v>
      </c>
      <c r="B398" s="2">
        <v>1613673.0</v>
      </c>
      <c r="C398" s="2">
        <v>4551321.0</v>
      </c>
      <c r="D398" s="2">
        <v>19.6581999999999</v>
      </c>
    </row>
    <row r="399">
      <c r="A399" s="4">
        <v>44841.0</v>
      </c>
      <c r="B399" s="2">
        <v>217743.0</v>
      </c>
      <c r="C399" s="2">
        <v>3849361.0</v>
      </c>
      <c r="D399" s="2">
        <v>112.4275</v>
      </c>
    </row>
    <row r="400">
      <c r="A400" s="4">
        <v>44841.0</v>
      </c>
      <c r="B400" s="2">
        <v>1427553.0</v>
      </c>
      <c r="C400" s="2">
        <v>3849623.0</v>
      </c>
      <c r="D400" s="2">
        <v>77.4134</v>
      </c>
    </row>
    <row r="401">
      <c r="A401" s="4">
        <v>44841.0</v>
      </c>
      <c r="B401" s="2">
        <v>231213.0</v>
      </c>
      <c r="C401" s="2">
        <v>3849277.0</v>
      </c>
      <c r="D401" s="2">
        <v>156.3637</v>
      </c>
    </row>
    <row r="402">
      <c r="A402" s="4">
        <v>44841.0</v>
      </c>
      <c r="B402" s="2">
        <v>447933.0</v>
      </c>
      <c r="C402" s="2">
        <v>3848558.0</v>
      </c>
      <c r="D402" s="2">
        <v>16.3506</v>
      </c>
    </row>
    <row r="403">
      <c r="A403" s="4">
        <v>44841.0</v>
      </c>
      <c r="B403" s="2">
        <v>1423353.0</v>
      </c>
      <c r="C403" s="2">
        <v>3849152.0</v>
      </c>
      <c r="D403" s="2">
        <v>104.25</v>
      </c>
    </row>
    <row r="404">
      <c r="A404" s="4">
        <v>45097.0</v>
      </c>
      <c r="B404" s="2">
        <v>1292223.0</v>
      </c>
      <c r="C404" s="2">
        <v>4552442.0</v>
      </c>
      <c r="D404" s="2">
        <v>68.7437</v>
      </c>
    </row>
    <row r="405">
      <c r="A405" s="4">
        <v>45097.0</v>
      </c>
      <c r="B405" s="2">
        <v>1580073.0</v>
      </c>
      <c r="C405" s="2">
        <v>4552039.0</v>
      </c>
      <c r="D405" s="2">
        <v>40.4311</v>
      </c>
    </row>
    <row r="406">
      <c r="A406" s="4">
        <v>45097.0</v>
      </c>
      <c r="B406" s="2">
        <v>1610103.0</v>
      </c>
      <c r="C406" s="2">
        <v>4552977.0</v>
      </c>
      <c r="D406" s="2">
        <v>20.8125</v>
      </c>
    </row>
    <row r="407">
      <c r="A407" s="4">
        <v>45097.0</v>
      </c>
      <c r="B407" s="2">
        <v>1334643.0</v>
      </c>
      <c r="C407" s="2">
        <v>4551691.0</v>
      </c>
      <c r="D407" s="2">
        <v>87.1409</v>
      </c>
    </row>
    <row r="408">
      <c r="A408" s="4">
        <v>45097.0</v>
      </c>
      <c r="B408" s="2">
        <v>1613733.0</v>
      </c>
      <c r="C408" s="2">
        <v>4551674.0</v>
      </c>
      <c r="D408" s="2">
        <v>49.9167</v>
      </c>
    </row>
    <row r="409">
      <c r="A409" s="4">
        <v>44842.0</v>
      </c>
      <c r="B409" s="2">
        <v>367683.0</v>
      </c>
      <c r="C409" s="2">
        <v>3850877.0</v>
      </c>
      <c r="D409" s="2">
        <v>86.7555999999999</v>
      </c>
    </row>
    <row r="410">
      <c r="A410" s="4">
        <v>44842.0</v>
      </c>
      <c r="B410" s="2">
        <v>1427913.0</v>
      </c>
      <c r="C410" s="2">
        <v>3850954.0</v>
      </c>
      <c r="D410" s="2">
        <v>14.085</v>
      </c>
    </row>
    <row r="411">
      <c r="A411" s="4">
        <v>44842.0</v>
      </c>
      <c r="B411" s="2">
        <v>998673.0</v>
      </c>
      <c r="C411" s="2">
        <v>3849894.0</v>
      </c>
      <c r="D411" s="2">
        <v>129.0838</v>
      </c>
    </row>
    <row r="412">
      <c r="A412" s="4">
        <v>44842.0</v>
      </c>
      <c r="B412" s="2">
        <v>1428003.0</v>
      </c>
      <c r="C412" s="2">
        <v>3851413.0</v>
      </c>
      <c r="D412" s="2">
        <v>58.9731</v>
      </c>
    </row>
    <row r="413">
      <c r="A413" s="4">
        <v>44842.0</v>
      </c>
      <c r="B413" s="2">
        <v>1384563.0</v>
      </c>
      <c r="C413" s="2">
        <v>3852492.0</v>
      </c>
      <c r="D413" s="2">
        <v>48.75</v>
      </c>
    </row>
    <row r="414">
      <c r="A414" s="4">
        <v>45098.0</v>
      </c>
      <c r="B414" s="2">
        <v>1478463.0</v>
      </c>
      <c r="C414" s="2">
        <v>4554836.0</v>
      </c>
      <c r="D414" s="2">
        <v>57.2052999999999</v>
      </c>
    </row>
    <row r="415">
      <c r="A415" s="4">
        <v>45098.0</v>
      </c>
      <c r="B415" s="2">
        <v>1489683.0</v>
      </c>
      <c r="C415" s="2">
        <v>4555219.0</v>
      </c>
      <c r="D415" s="2">
        <v>47.7612</v>
      </c>
    </row>
    <row r="416">
      <c r="A416" s="4">
        <v>45098.0</v>
      </c>
      <c r="B416" s="2">
        <v>1569543.0</v>
      </c>
      <c r="C416" s="2">
        <v>4555236.0</v>
      </c>
      <c r="D416" s="2">
        <v>58.4319</v>
      </c>
    </row>
    <row r="417">
      <c r="A417" s="4">
        <v>45098.0</v>
      </c>
      <c r="B417" s="2">
        <v>1286103.0</v>
      </c>
      <c r="C417" s="2">
        <v>4554866.0</v>
      </c>
      <c r="D417" s="2">
        <v>124.6688</v>
      </c>
    </row>
    <row r="418">
      <c r="A418" s="4">
        <v>45098.0</v>
      </c>
      <c r="B418" s="2">
        <v>1433553.0</v>
      </c>
      <c r="C418" s="2">
        <v>4554325.0</v>
      </c>
      <c r="D418" s="2">
        <v>139.1781</v>
      </c>
    </row>
    <row r="419">
      <c r="A419" s="4">
        <v>45098.0</v>
      </c>
      <c r="B419" s="2">
        <v>1367703.0</v>
      </c>
      <c r="C419" s="2">
        <v>4555088.0</v>
      </c>
      <c r="D419" s="2">
        <v>82.1448</v>
      </c>
    </row>
    <row r="420">
      <c r="A420" s="4">
        <v>44843.0</v>
      </c>
      <c r="B420" s="2">
        <v>1428633.0</v>
      </c>
      <c r="C420" s="2">
        <v>3854095.0</v>
      </c>
      <c r="D420" s="2">
        <v>83.6553</v>
      </c>
    </row>
    <row r="421">
      <c r="A421" s="4">
        <v>44843.0</v>
      </c>
      <c r="B421" s="2">
        <v>1427613.0</v>
      </c>
      <c r="C421" s="2">
        <v>3855587.0</v>
      </c>
      <c r="D421" s="2">
        <v>67.4059</v>
      </c>
    </row>
    <row r="422">
      <c r="A422" s="4">
        <v>44843.0</v>
      </c>
      <c r="B422" s="2">
        <v>1429053.0</v>
      </c>
      <c r="C422" s="2">
        <v>3855690.0</v>
      </c>
      <c r="D422" s="2">
        <v>39.3050999999999</v>
      </c>
    </row>
    <row r="423">
      <c r="A423" s="4">
        <v>45099.0</v>
      </c>
      <c r="B423" s="2">
        <v>430593.0</v>
      </c>
      <c r="C423" s="2">
        <v>4556032.0</v>
      </c>
      <c r="D423" s="2">
        <v>49.7933</v>
      </c>
    </row>
    <row r="424">
      <c r="A424" s="4">
        <v>45099.0</v>
      </c>
      <c r="B424" s="2">
        <v>1387113.0</v>
      </c>
      <c r="C424" s="2">
        <v>4555712.0</v>
      </c>
      <c r="D424" s="2">
        <v>76.3453</v>
      </c>
    </row>
    <row r="425">
      <c r="A425" s="4">
        <v>45099.0</v>
      </c>
      <c r="B425" s="2">
        <v>1614843.0</v>
      </c>
      <c r="C425" s="2">
        <v>4556810.0</v>
      </c>
      <c r="D425" s="2">
        <v>39.7395</v>
      </c>
    </row>
    <row r="426">
      <c r="A426" s="4">
        <v>45099.0</v>
      </c>
      <c r="B426" s="2">
        <v>1614633.0</v>
      </c>
      <c r="C426" s="2">
        <v>4555911.0</v>
      </c>
      <c r="D426" s="2">
        <v>19.469</v>
      </c>
    </row>
    <row r="427">
      <c r="A427" s="4">
        <v>45099.0</v>
      </c>
      <c r="B427" s="2">
        <v>1604373.0</v>
      </c>
      <c r="C427" s="2">
        <v>4556535.0</v>
      </c>
      <c r="D427" s="2">
        <v>64.7815</v>
      </c>
    </row>
    <row r="428">
      <c r="A428" s="4">
        <v>44844.0</v>
      </c>
      <c r="B428" s="2">
        <v>1089273.0</v>
      </c>
      <c r="C428" s="2">
        <v>3857315.0</v>
      </c>
      <c r="D428" s="2">
        <v>32.37</v>
      </c>
    </row>
    <row r="429">
      <c r="A429" s="4">
        <v>44844.0</v>
      </c>
      <c r="B429" s="2">
        <v>1429623.0</v>
      </c>
      <c r="C429" s="2">
        <v>3858146.0</v>
      </c>
      <c r="D429" s="2">
        <v>52.4304</v>
      </c>
    </row>
    <row r="430">
      <c r="A430" s="4">
        <v>44844.0</v>
      </c>
      <c r="B430" s="2">
        <v>1409553.0</v>
      </c>
      <c r="C430" s="2">
        <v>3857767.0</v>
      </c>
      <c r="D430" s="2">
        <v>65.1464999999999</v>
      </c>
    </row>
    <row r="431">
      <c r="A431" s="4">
        <v>44844.0</v>
      </c>
      <c r="B431" s="2">
        <v>1324833.0</v>
      </c>
      <c r="C431" s="2">
        <v>3856240.0</v>
      </c>
      <c r="D431" s="2">
        <v>33.1659</v>
      </c>
    </row>
    <row r="432">
      <c r="A432" s="4">
        <v>44844.0</v>
      </c>
      <c r="B432" s="2">
        <v>1209063.0</v>
      </c>
      <c r="C432" s="2">
        <v>3857928.0</v>
      </c>
      <c r="D432" s="2">
        <v>66.7415999999999</v>
      </c>
    </row>
    <row r="433">
      <c r="A433" s="4">
        <v>45100.0</v>
      </c>
      <c r="B433" s="2">
        <v>1291233.0</v>
      </c>
      <c r="C433" s="2">
        <v>4558668.0</v>
      </c>
      <c r="D433" s="2">
        <v>152.6391</v>
      </c>
    </row>
    <row r="434">
      <c r="A434" s="4">
        <v>44845.0</v>
      </c>
      <c r="B434" s="2">
        <v>1230573.0</v>
      </c>
      <c r="C434" s="2">
        <v>3859822.0</v>
      </c>
      <c r="D434" s="2">
        <v>72.7259</v>
      </c>
    </row>
    <row r="435">
      <c r="A435" s="4">
        <v>44845.0</v>
      </c>
      <c r="B435" s="2">
        <v>986913.0</v>
      </c>
      <c r="C435" s="2">
        <v>3859667.0</v>
      </c>
      <c r="D435" s="2">
        <v>109.872099999999</v>
      </c>
    </row>
    <row r="436">
      <c r="A436" s="4">
        <v>44845.0</v>
      </c>
      <c r="B436" s="2">
        <v>1291233.0</v>
      </c>
      <c r="C436" s="2">
        <v>3861347.0</v>
      </c>
      <c r="D436" s="2">
        <v>64.103</v>
      </c>
    </row>
    <row r="437">
      <c r="A437" s="4">
        <v>45101.0</v>
      </c>
      <c r="B437" s="2">
        <v>1615773.0</v>
      </c>
      <c r="C437" s="2">
        <v>4560769.0</v>
      </c>
      <c r="D437" s="2">
        <v>13.7334</v>
      </c>
    </row>
    <row r="438">
      <c r="A438" s="4">
        <v>45101.0</v>
      </c>
      <c r="B438" s="2">
        <v>1586073.0</v>
      </c>
      <c r="C438" s="2">
        <v>4561236.0</v>
      </c>
      <c r="D438" s="2">
        <v>21.8674</v>
      </c>
    </row>
    <row r="439">
      <c r="A439" s="4">
        <v>45101.0</v>
      </c>
      <c r="B439" s="2">
        <v>1435473.0</v>
      </c>
      <c r="C439" s="2">
        <v>4559915.0</v>
      </c>
      <c r="D439" s="2">
        <v>98.6886</v>
      </c>
    </row>
    <row r="440">
      <c r="A440" s="4">
        <v>45101.0</v>
      </c>
      <c r="B440" s="2">
        <v>410973.0</v>
      </c>
      <c r="C440" s="2">
        <v>4561050.0</v>
      </c>
      <c r="D440" s="2">
        <v>60.8178999999999</v>
      </c>
    </row>
    <row r="441">
      <c r="A441" s="4">
        <v>44846.0</v>
      </c>
      <c r="B441" s="2">
        <v>1430883.0</v>
      </c>
      <c r="C441" s="2">
        <v>3863405.0</v>
      </c>
      <c r="D441" s="2">
        <v>44.5897</v>
      </c>
    </row>
    <row r="442">
      <c r="A442" s="4">
        <v>44846.0</v>
      </c>
      <c r="B442" s="2">
        <v>1405893.0</v>
      </c>
      <c r="C442" s="2">
        <v>3862682.0</v>
      </c>
      <c r="D442" s="2">
        <v>28.1514</v>
      </c>
    </row>
    <row r="443">
      <c r="A443" s="4">
        <v>44846.0</v>
      </c>
      <c r="B443" s="2">
        <v>1430913.0</v>
      </c>
      <c r="C443" s="2">
        <v>3863556.0</v>
      </c>
      <c r="D443" s="2">
        <v>39.2943</v>
      </c>
    </row>
    <row r="444">
      <c r="A444" s="4">
        <v>44846.0</v>
      </c>
      <c r="B444" s="2">
        <v>1259703.0</v>
      </c>
      <c r="C444" s="2">
        <v>3862173.0</v>
      </c>
      <c r="D444" s="2">
        <v>69.1745</v>
      </c>
    </row>
    <row r="445">
      <c r="A445" s="4">
        <v>44846.0</v>
      </c>
      <c r="B445" s="2">
        <v>184683.0</v>
      </c>
      <c r="C445" s="2">
        <v>3863850.0</v>
      </c>
      <c r="D445" s="2">
        <v>65.2229</v>
      </c>
    </row>
    <row r="446">
      <c r="A446" s="4">
        <v>44846.0</v>
      </c>
      <c r="B446" s="2">
        <v>1046163.0</v>
      </c>
      <c r="C446" s="2">
        <v>3862062.0</v>
      </c>
      <c r="D446" s="2">
        <v>67.4237</v>
      </c>
    </row>
    <row r="447">
      <c r="A447" s="4">
        <v>45102.0</v>
      </c>
      <c r="B447" s="2">
        <v>1332093.0</v>
      </c>
      <c r="C447" s="2">
        <v>4563561.0</v>
      </c>
      <c r="D447" s="2">
        <v>37.422</v>
      </c>
    </row>
    <row r="448">
      <c r="A448" s="4">
        <v>45102.0</v>
      </c>
      <c r="B448" s="2">
        <v>199083.0</v>
      </c>
      <c r="C448" s="2">
        <v>4563493.0</v>
      </c>
      <c r="D448" s="2">
        <v>82.4454</v>
      </c>
    </row>
    <row r="449">
      <c r="A449" s="4">
        <v>45102.0</v>
      </c>
      <c r="B449" s="2">
        <v>1589253.0</v>
      </c>
      <c r="C449" s="2">
        <v>4562933.0</v>
      </c>
      <c r="D449" s="2">
        <v>65.7266</v>
      </c>
    </row>
    <row r="450">
      <c r="A450" s="4">
        <v>45102.0</v>
      </c>
      <c r="B450" s="2">
        <v>1274733.0</v>
      </c>
      <c r="C450" s="2">
        <v>4564003.0</v>
      </c>
      <c r="D450" s="2">
        <v>67.7753999999999</v>
      </c>
    </row>
    <row r="451">
      <c r="A451" s="4">
        <v>45102.0</v>
      </c>
      <c r="B451" s="2">
        <v>1426383.0</v>
      </c>
      <c r="C451" s="2">
        <v>4563573.0</v>
      </c>
      <c r="D451" s="2">
        <v>114.0321</v>
      </c>
    </row>
    <row r="452">
      <c r="A452" s="4">
        <v>44847.0</v>
      </c>
      <c r="B452" s="2">
        <v>1187913.0</v>
      </c>
      <c r="C452" s="2">
        <v>3865162.0</v>
      </c>
      <c r="D452" s="2">
        <v>41.4288</v>
      </c>
    </row>
    <row r="453">
      <c r="A453" s="4">
        <v>44847.0</v>
      </c>
      <c r="B453" s="2">
        <v>1334643.0</v>
      </c>
      <c r="C453" s="2">
        <v>3864258.0</v>
      </c>
      <c r="D453" s="2">
        <v>99.4692</v>
      </c>
    </row>
    <row r="454">
      <c r="A454" s="4">
        <v>44847.0</v>
      </c>
      <c r="B454" s="2">
        <v>1010553.0</v>
      </c>
      <c r="C454" s="2">
        <v>3865028.0</v>
      </c>
      <c r="D454" s="2">
        <v>75.8929</v>
      </c>
    </row>
    <row r="455">
      <c r="A455" s="4">
        <v>44847.0</v>
      </c>
      <c r="B455" s="2">
        <v>392763.0</v>
      </c>
      <c r="C455" s="2">
        <v>3864280.0</v>
      </c>
      <c r="D455" s="2">
        <v>70.4724</v>
      </c>
    </row>
    <row r="456">
      <c r="A456" s="4">
        <v>44847.0</v>
      </c>
      <c r="B456" s="2">
        <v>1316463.0</v>
      </c>
      <c r="C456" s="2">
        <v>3865068.0</v>
      </c>
      <c r="D456" s="2">
        <v>68.922</v>
      </c>
    </row>
    <row r="457">
      <c r="A457" s="4">
        <v>44847.0</v>
      </c>
      <c r="B457" s="2">
        <v>1431063.0</v>
      </c>
      <c r="C457" s="2">
        <v>3864111.0</v>
      </c>
      <c r="D457" s="2">
        <v>30.0</v>
      </c>
    </row>
    <row r="458">
      <c r="A458" s="4">
        <v>44847.0</v>
      </c>
      <c r="B458" s="2">
        <v>1405383.0</v>
      </c>
      <c r="C458" s="2">
        <v>3865227.0</v>
      </c>
      <c r="D458" s="2">
        <v>62.3945</v>
      </c>
    </row>
    <row r="459">
      <c r="A459" s="4">
        <v>45103.0</v>
      </c>
      <c r="B459" s="2">
        <v>1541013.0</v>
      </c>
      <c r="C459" s="2">
        <v>4564426.0</v>
      </c>
      <c r="D459" s="2">
        <v>73.1945</v>
      </c>
    </row>
    <row r="460">
      <c r="A460" s="4">
        <v>45103.0</v>
      </c>
      <c r="B460" s="2">
        <v>423153.0</v>
      </c>
      <c r="C460" s="2">
        <v>4564717.0</v>
      </c>
      <c r="D460" s="2">
        <v>97.1739</v>
      </c>
    </row>
    <row r="461">
      <c r="A461" s="4">
        <v>45103.0</v>
      </c>
      <c r="B461" s="2">
        <v>1616763.0</v>
      </c>
      <c r="C461" s="2">
        <v>4565771.0</v>
      </c>
      <c r="D461" s="2">
        <v>44.2244</v>
      </c>
    </row>
    <row r="462">
      <c r="A462" s="4">
        <v>45103.0</v>
      </c>
      <c r="B462" s="2">
        <v>1615683.0</v>
      </c>
      <c r="C462" s="2">
        <v>4564535.0</v>
      </c>
      <c r="D462" s="2">
        <v>69.4763</v>
      </c>
    </row>
    <row r="463">
      <c r="A463" s="4">
        <v>45103.0</v>
      </c>
      <c r="B463" s="2">
        <v>1616823.0</v>
      </c>
      <c r="C463" s="2">
        <v>4566014.0</v>
      </c>
      <c r="D463" s="2">
        <v>65.4316</v>
      </c>
    </row>
    <row r="464">
      <c r="A464" s="4">
        <v>45103.0</v>
      </c>
      <c r="B464" s="2">
        <v>1236333.0</v>
      </c>
      <c r="C464" s="2">
        <v>4566075.0</v>
      </c>
      <c r="D464" s="2">
        <v>85.6099</v>
      </c>
    </row>
    <row r="465">
      <c r="A465" s="4">
        <v>45103.0</v>
      </c>
      <c r="B465" s="2">
        <v>1513473.0</v>
      </c>
      <c r="C465" s="2">
        <v>4564981.0</v>
      </c>
      <c r="D465" s="2">
        <v>85.0567</v>
      </c>
    </row>
    <row r="466">
      <c r="A466" s="4">
        <v>45103.0</v>
      </c>
      <c r="B466" s="2">
        <v>1616913.0</v>
      </c>
      <c r="C466" s="2">
        <v>4566442.0</v>
      </c>
      <c r="D466" s="2">
        <v>21.9200999999999</v>
      </c>
    </row>
    <row r="467">
      <c r="A467" s="4">
        <v>44848.0</v>
      </c>
      <c r="B467" s="2">
        <v>1399533.0</v>
      </c>
      <c r="C467" s="2">
        <v>3865936.0</v>
      </c>
      <c r="D467" s="2">
        <v>67.139</v>
      </c>
    </row>
    <row r="468">
      <c r="A468" s="4">
        <v>44848.0</v>
      </c>
      <c r="B468" s="2">
        <v>58503.0</v>
      </c>
      <c r="C468" s="2">
        <v>3866050.0</v>
      </c>
      <c r="D468" s="2">
        <v>33.859</v>
      </c>
    </row>
    <row r="469">
      <c r="A469" s="4">
        <v>45104.0</v>
      </c>
      <c r="B469" s="2">
        <v>1617633.0</v>
      </c>
      <c r="C469" s="2">
        <v>4569805.0</v>
      </c>
      <c r="D469" s="2">
        <v>40.9518</v>
      </c>
    </row>
    <row r="470">
      <c r="A470" s="4">
        <v>45104.0</v>
      </c>
      <c r="B470" s="2">
        <v>1061973.0</v>
      </c>
      <c r="C470" s="2">
        <v>4569425.0</v>
      </c>
      <c r="D470" s="2">
        <v>101.154799999999</v>
      </c>
    </row>
    <row r="471">
      <c r="A471" s="4">
        <v>45104.0</v>
      </c>
      <c r="B471" s="2">
        <v>1423773.0</v>
      </c>
      <c r="C471" s="2">
        <v>4569250.0</v>
      </c>
      <c r="D471" s="2">
        <v>155.4066</v>
      </c>
    </row>
    <row r="472">
      <c r="A472" s="4">
        <v>45104.0</v>
      </c>
      <c r="B472" s="2">
        <v>1501053.0</v>
      </c>
      <c r="C472" s="2">
        <v>4567074.0</v>
      </c>
      <c r="D472" s="2">
        <v>120.9336</v>
      </c>
    </row>
    <row r="473">
      <c r="A473" s="4">
        <v>45104.0</v>
      </c>
      <c r="B473" s="2">
        <v>1099653.0</v>
      </c>
      <c r="C473" s="2">
        <v>4569600.0</v>
      </c>
      <c r="D473" s="2">
        <v>75.9662999999999</v>
      </c>
    </row>
    <row r="474">
      <c r="A474" s="4">
        <v>45104.0</v>
      </c>
      <c r="B474" s="2">
        <v>1511583.0</v>
      </c>
      <c r="C474" s="2">
        <v>4569055.0</v>
      </c>
      <c r="D474" s="2">
        <v>46.0335</v>
      </c>
    </row>
    <row r="475">
      <c r="A475" s="4">
        <v>45104.0</v>
      </c>
      <c r="B475" s="2">
        <v>223263.0</v>
      </c>
      <c r="C475" s="2">
        <v>4567612.0</v>
      </c>
      <c r="D475" s="2">
        <v>110.9313</v>
      </c>
    </row>
    <row r="476">
      <c r="A476" s="4">
        <v>45104.0</v>
      </c>
      <c r="B476" s="2">
        <v>1173993.0</v>
      </c>
      <c r="C476" s="2">
        <v>4568742.0</v>
      </c>
      <c r="D476" s="2">
        <v>69.0746</v>
      </c>
    </row>
    <row r="477">
      <c r="A477" s="4">
        <v>45104.0</v>
      </c>
      <c r="B477" s="2">
        <v>1194483.0</v>
      </c>
      <c r="C477" s="2">
        <v>4566958.0</v>
      </c>
      <c r="D477" s="2">
        <v>112.443799999999</v>
      </c>
    </row>
    <row r="478">
      <c r="A478" s="4">
        <v>45104.0</v>
      </c>
      <c r="B478" s="2">
        <v>1220073.0</v>
      </c>
      <c r="C478" s="2">
        <v>4569063.0</v>
      </c>
      <c r="D478" s="2">
        <v>107.0202</v>
      </c>
    </row>
    <row r="479">
      <c r="A479" s="4">
        <v>45104.0</v>
      </c>
      <c r="B479" s="2">
        <v>1344573.0</v>
      </c>
      <c r="C479" s="2">
        <v>4568949.0</v>
      </c>
      <c r="D479" s="2">
        <v>153.0317</v>
      </c>
    </row>
    <row r="480">
      <c r="A480" s="4">
        <v>45104.0</v>
      </c>
      <c r="B480" s="2">
        <v>485253.0</v>
      </c>
      <c r="C480" s="2">
        <v>4569700.0</v>
      </c>
      <c r="D480" s="2">
        <v>107.1566</v>
      </c>
    </row>
    <row r="481">
      <c r="A481" s="4">
        <v>45104.0</v>
      </c>
      <c r="B481" s="2">
        <v>1180083.0</v>
      </c>
      <c r="C481" s="2">
        <v>4567618.0</v>
      </c>
      <c r="D481" s="2">
        <v>21.2273</v>
      </c>
    </row>
    <row r="482">
      <c r="A482" s="4">
        <v>44849.0</v>
      </c>
      <c r="B482" s="2">
        <v>1082913.0</v>
      </c>
      <c r="C482" s="2">
        <v>3868610.0</v>
      </c>
      <c r="D482" s="2">
        <v>121.9052</v>
      </c>
    </row>
    <row r="483">
      <c r="A483" s="4">
        <v>44849.0</v>
      </c>
      <c r="B483" s="2">
        <v>1381413.0</v>
      </c>
      <c r="C483" s="2">
        <v>3868701.0</v>
      </c>
      <c r="D483" s="2">
        <v>59.7446</v>
      </c>
    </row>
    <row r="484">
      <c r="A484" s="4">
        <v>44849.0</v>
      </c>
      <c r="B484" s="2">
        <v>1274733.0</v>
      </c>
      <c r="C484" s="2">
        <v>3868188.0</v>
      </c>
      <c r="D484" s="2">
        <v>129.6438</v>
      </c>
    </row>
    <row r="485">
      <c r="A485" s="4">
        <v>44849.0</v>
      </c>
      <c r="B485" s="2">
        <v>1432413.0</v>
      </c>
      <c r="C485" s="2">
        <v>3868620.0</v>
      </c>
      <c r="D485" s="2">
        <v>26.4456</v>
      </c>
    </row>
    <row r="486">
      <c r="A486" s="4">
        <v>45105.0</v>
      </c>
      <c r="B486" s="2">
        <v>1261383.0</v>
      </c>
      <c r="C486" s="2">
        <v>4572041.0</v>
      </c>
      <c r="D486" s="2">
        <v>93.0899999999999</v>
      </c>
    </row>
    <row r="487">
      <c r="A487" s="4">
        <v>45105.0</v>
      </c>
      <c r="B487" s="2">
        <v>238443.0</v>
      </c>
      <c r="C487" s="2">
        <v>4572402.0</v>
      </c>
      <c r="D487" s="2">
        <v>67.2351999999999</v>
      </c>
    </row>
    <row r="488">
      <c r="A488" s="4">
        <v>45105.0</v>
      </c>
      <c r="B488" s="2">
        <v>490203.0</v>
      </c>
      <c r="C488" s="2">
        <v>4570388.0</v>
      </c>
      <c r="D488" s="2">
        <v>80.4045</v>
      </c>
    </row>
    <row r="489">
      <c r="A489" s="4">
        <v>45105.0</v>
      </c>
      <c r="B489" s="2">
        <v>1617993.0</v>
      </c>
      <c r="C489" s="2">
        <v>4571598.0</v>
      </c>
      <c r="D489" s="2">
        <v>65.66</v>
      </c>
    </row>
    <row r="490">
      <c r="A490" s="4">
        <v>45105.0</v>
      </c>
      <c r="B490" s="2">
        <v>1198923.0</v>
      </c>
      <c r="C490" s="2">
        <v>4572824.0</v>
      </c>
      <c r="D490" s="2">
        <v>292.180099999999</v>
      </c>
    </row>
    <row r="491">
      <c r="A491" s="4">
        <v>45105.0</v>
      </c>
      <c r="B491" s="2">
        <v>484233.0</v>
      </c>
      <c r="C491" s="2">
        <v>4572701.0</v>
      </c>
      <c r="D491" s="2">
        <v>50.3927</v>
      </c>
    </row>
    <row r="492">
      <c r="A492" s="4">
        <v>45105.0</v>
      </c>
      <c r="B492" s="2">
        <v>1515603.0</v>
      </c>
      <c r="C492" s="2">
        <v>4570051.0</v>
      </c>
      <c r="D492" s="2">
        <v>41.6887999999999</v>
      </c>
    </row>
    <row r="493">
      <c r="A493" s="4">
        <v>45105.0</v>
      </c>
      <c r="B493" s="2">
        <v>1238583.0</v>
      </c>
      <c r="C493" s="2">
        <v>4571152.0</v>
      </c>
      <c r="D493" s="2">
        <v>40.9655</v>
      </c>
    </row>
    <row r="494">
      <c r="A494" s="4">
        <v>45105.0</v>
      </c>
      <c r="B494" s="2">
        <v>1081713.0</v>
      </c>
      <c r="C494" s="2">
        <v>4570681.0</v>
      </c>
      <c r="D494" s="2">
        <v>70.1501</v>
      </c>
    </row>
    <row r="495">
      <c r="A495" s="4">
        <v>45105.0</v>
      </c>
      <c r="B495" s="2">
        <v>1534623.0</v>
      </c>
      <c r="C495" s="2">
        <v>4571370.0</v>
      </c>
      <c r="D495" s="2">
        <v>273.1067</v>
      </c>
    </row>
    <row r="496">
      <c r="A496" s="4">
        <v>44850.0</v>
      </c>
      <c r="B496" s="2">
        <v>1184643.0</v>
      </c>
      <c r="C496" s="2">
        <v>3871726.0</v>
      </c>
      <c r="D496" s="2">
        <v>131.5575</v>
      </c>
    </row>
    <row r="497">
      <c r="A497" s="4">
        <v>44850.0</v>
      </c>
      <c r="B497" s="2">
        <v>473733.0</v>
      </c>
      <c r="C497" s="2">
        <v>3870098.0</v>
      </c>
      <c r="D497" s="2">
        <v>29.97</v>
      </c>
    </row>
    <row r="498">
      <c r="A498" s="4">
        <v>44850.0</v>
      </c>
      <c r="B498" s="2">
        <v>1432953.0</v>
      </c>
      <c r="C498" s="2">
        <v>3871392.0</v>
      </c>
      <c r="D498" s="2">
        <v>85.5947</v>
      </c>
    </row>
    <row r="499">
      <c r="A499" s="4">
        <v>44850.0</v>
      </c>
      <c r="B499" s="2">
        <v>1432653.0</v>
      </c>
      <c r="C499" s="2">
        <v>3869682.0</v>
      </c>
      <c r="D499" s="2">
        <v>8.8334</v>
      </c>
    </row>
    <row r="500">
      <c r="A500" s="4">
        <v>44850.0</v>
      </c>
      <c r="B500" s="2">
        <v>1197873.0</v>
      </c>
      <c r="C500" s="2">
        <v>3871515.0</v>
      </c>
      <c r="D500" s="2">
        <v>63.4906</v>
      </c>
    </row>
    <row r="501">
      <c r="A501" s="4">
        <v>44850.0</v>
      </c>
      <c r="B501" s="2">
        <v>1233843.0</v>
      </c>
      <c r="C501" s="2">
        <v>3871805.0</v>
      </c>
      <c r="D501" s="2">
        <v>19.3623</v>
      </c>
    </row>
    <row r="502">
      <c r="A502" s="4">
        <v>44850.0</v>
      </c>
      <c r="B502" s="2">
        <v>1336473.0</v>
      </c>
      <c r="C502" s="2">
        <v>3871968.0</v>
      </c>
      <c r="D502" s="2">
        <v>164.867599999999</v>
      </c>
    </row>
    <row r="503">
      <c r="A503" s="4">
        <v>44850.0</v>
      </c>
      <c r="B503" s="2">
        <v>1433163.0</v>
      </c>
      <c r="C503" s="2">
        <v>3871521.0</v>
      </c>
      <c r="D503" s="2">
        <v>26.3925</v>
      </c>
    </row>
    <row r="504">
      <c r="A504" s="4">
        <v>44850.0</v>
      </c>
      <c r="B504" s="2">
        <v>1175043.0</v>
      </c>
      <c r="C504" s="2">
        <v>3870508.0</v>
      </c>
      <c r="D504" s="2">
        <v>39.5055</v>
      </c>
    </row>
    <row r="505">
      <c r="A505" s="4">
        <v>44850.0</v>
      </c>
      <c r="B505" s="2">
        <v>1195233.0</v>
      </c>
      <c r="C505" s="2">
        <v>3871957.0</v>
      </c>
      <c r="D505" s="2">
        <v>39.1065</v>
      </c>
    </row>
    <row r="506">
      <c r="A506" s="4">
        <v>45106.0</v>
      </c>
      <c r="B506" s="2">
        <v>1510443.0</v>
      </c>
      <c r="C506" s="2">
        <v>4575371.0</v>
      </c>
      <c r="D506" s="2">
        <v>24.635</v>
      </c>
    </row>
    <row r="507">
      <c r="A507" s="4">
        <v>45106.0</v>
      </c>
      <c r="B507" s="2">
        <v>1618653.0</v>
      </c>
      <c r="C507" s="2">
        <v>4574573.0</v>
      </c>
      <c r="D507" s="2">
        <v>63.1728999999999</v>
      </c>
    </row>
    <row r="508">
      <c r="A508" s="4">
        <v>45106.0</v>
      </c>
      <c r="B508" s="2">
        <v>1545003.0</v>
      </c>
      <c r="C508" s="2">
        <v>4573331.0</v>
      </c>
      <c r="D508" s="2">
        <v>63.5878</v>
      </c>
    </row>
    <row r="509">
      <c r="A509" s="4">
        <v>44851.0</v>
      </c>
      <c r="B509" s="2">
        <v>1281333.0</v>
      </c>
      <c r="C509" s="2">
        <v>3872105.0</v>
      </c>
      <c r="D509" s="2">
        <v>35.6925</v>
      </c>
    </row>
    <row r="510">
      <c r="A510" s="4">
        <v>44851.0</v>
      </c>
      <c r="B510" s="2">
        <v>1433403.0</v>
      </c>
      <c r="C510" s="2">
        <v>3872339.0</v>
      </c>
      <c r="D510" s="2">
        <v>66.002</v>
      </c>
    </row>
    <row r="511">
      <c r="A511" s="4">
        <v>44851.0</v>
      </c>
      <c r="B511" s="2">
        <v>1433553.0</v>
      </c>
      <c r="C511" s="2">
        <v>3872940.0</v>
      </c>
      <c r="D511" s="2">
        <v>41.6475</v>
      </c>
    </row>
    <row r="512">
      <c r="A512" s="4">
        <v>44851.0</v>
      </c>
      <c r="B512" s="2">
        <v>392763.0</v>
      </c>
      <c r="C512" s="2">
        <v>3873720.0</v>
      </c>
      <c r="D512" s="2">
        <v>94.6058999999999</v>
      </c>
    </row>
    <row r="513">
      <c r="A513" s="4">
        <v>44851.0</v>
      </c>
      <c r="B513" s="2">
        <v>1125063.0</v>
      </c>
      <c r="C513" s="2">
        <v>3872670.0</v>
      </c>
      <c r="D513" s="2">
        <v>47.0165</v>
      </c>
    </row>
    <row r="514">
      <c r="A514" s="4">
        <v>44851.0</v>
      </c>
      <c r="B514" s="2">
        <v>1433913.0</v>
      </c>
      <c r="C514" s="2">
        <v>3874241.0</v>
      </c>
      <c r="D514" s="2">
        <v>6.7651</v>
      </c>
    </row>
    <row r="515">
      <c r="A515" s="4">
        <v>44851.0</v>
      </c>
      <c r="B515" s="2">
        <v>1135593.0</v>
      </c>
      <c r="C515" s="2">
        <v>3873109.0</v>
      </c>
      <c r="D515" s="2">
        <v>67.5187</v>
      </c>
    </row>
    <row r="516">
      <c r="A516" s="4">
        <v>44851.0</v>
      </c>
      <c r="B516" s="2">
        <v>1372023.0</v>
      </c>
      <c r="C516" s="2">
        <v>3873471.0</v>
      </c>
      <c r="D516" s="2">
        <v>61.2308</v>
      </c>
    </row>
    <row r="517">
      <c r="A517" s="4">
        <v>45107.0</v>
      </c>
      <c r="B517" s="2">
        <v>1475463.0</v>
      </c>
      <c r="C517" s="2">
        <v>4576425.0</v>
      </c>
      <c r="D517" s="2">
        <v>33.7735</v>
      </c>
    </row>
    <row r="518">
      <c r="A518" s="4">
        <v>45107.0</v>
      </c>
      <c r="B518" s="2">
        <v>414963.0</v>
      </c>
      <c r="C518" s="2">
        <v>4575900.0</v>
      </c>
      <c r="D518" s="2">
        <v>41.0715</v>
      </c>
    </row>
    <row r="519">
      <c r="A519" s="4">
        <v>44852.0</v>
      </c>
      <c r="B519" s="2">
        <v>1345623.0</v>
      </c>
      <c r="C519" s="2">
        <v>3876022.0</v>
      </c>
      <c r="D519" s="2">
        <v>34.7745</v>
      </c>
    </row>
    <row r="520">
      <c r="A520" s="4">
        <v>44852.0</v>
      </c>
      <c r="B520" s="2">
        <v>1434483.0</v>
      </c>
      <c r="C520" s="2">
        <v>3876262.0</v>
      </c>
      <c r="D520" s="2">
        <v>181.9381</v>
      </c>
    </row>
    <row r="521">
      <c r="A521" s="4">
        <v>44852.0</v>
      </c>
      <c r="B521" s="2">
        <v>1223523.0</v>
      </c>
      <c r="C521" s="2">
        <v>3875020.0</v>
      </c>
      <c r="D521" s="2">
        <v>138.584299999999</v>
      </c>
    </row>
    <row r="522">
      <c r="A522" s="4">
        <v>44852.0</v>
      </c>
      <c r="B522" s="2">
        <v>1333263.0</v>
      </c>
      <c r="C522" s="2">
        <v>3876152.0</v>
      </c>
      <c r="D522" s="2">
        <v>98.5063</v>
      </c>
    </row>
    <row r="523">
      <c r="A523" s="4">
        <v>45108.0</v>
      </c>
      <c r="B523" s="2">
        <v>1159653.0</v>
      </c>
      <c r="C523" s="2">
        <v>4578564.0</v>
      </c>
      <c r="D523" s="2">
        <v>66.9191</v>
      </c>
    </row>
    <row r="524">
      <c r="A524" s="4">
        <v>45108.0</v>
      </c>
      <c r="B524" s="2">
        <v>1620033.0</v>
      </c>
      <c r="C524" s="2">
        <v>4580492.0</v>
      </c>
      <c r="D524" s="2">
        <v>119.6667</v>
      </c>
    </row>
    <row r="525">
      <c r="A525" s="4">
        <v>45108.0</v>
      </c>
      <c r="B525" s="2">
        <v>1212723.0</v>
      </c>
      <c r="C525" s="2">
        <v>4579880.0</v>
      </c>
      <c r="D525" s="2">
        <v>60.8764</v>
      </c>
    </row>
    <row r="526">
      <c r="A526" s="4">
        <v>45108.0</v>
      </c>
      <c r="B526" s="2">
        <v>1589013.0</v>
      </c>
      <c r="C526" s="2">
        <v>4579877.0</v>
      </c>
      <c r="D526" s="2">
        <v>17.5346</v>
      </c>
    </row>
    <row r="527">
      <c r="A527" s="4">
        <v>45108.0</v>
      </c>
      <c r="B527" s="2">
        <v>1599033.0</v>
      </c>
      <c r="C527" s="2">
        <v>4578301.0</v>
      </c>
      <c r="D527" s="2">
        <v>139.0758</v>
      </c>
    </row>
    <row r="528">
      <c r="A528" s="4">
        <v>45108.0</v>
      </c>
      <c r="B528" s="2">
        <v>1620003.0</v>
      </c>
      <c r="C528" s="2">
        <v>4580367.0</v>
      </c>
      <c r="D528" s="2">
        <v>59.9334</v>
      </c>
    </row>
    <row r="529">
      <c r="A529" s="4">
        <v>45108.0</v>
      </c>
      <c r="B529" s="2">
        <v>1620093.0</v>
      </c>
      <c r="C529" s="2">
        <v>4580824.0</v>
      </c>
      <c r="D529" s="2">
        <v>44.3231</v>
      </c>
    </row>
    <row r="530">
      <c r="A530" s="4">
        <v>45108.0</v>
      </c>
      <c r="B530" s="2">
        <v>1578423.0</v>
      </c>
      <c r="C530" s="2">
        <v>4578576.0</v>
      </c>
      <c r="D530" s="2">
        <v>80.4834</v>
      </c>
    </row>
    <row r="531">
      <c r="A531" s="4">
        <v>45108.0</v>
      </c>
      <c r="B531" s="2">
        <v>1585893.0</v>
      </c>
      <c r="C531" s="2">
        <v>4580193.0</v>
      </c>
      <c r="D531" s="2">
        <v>74.9795</v>
      </c>
    </row>
    <row r="532">
      <c r="A532" s="4">
        <v>45108.0</v>
      </c>
      <c r="B532" s="2">
        <v>1619553.0</v>
      </c>
      <c r="C532" s="2">
        <v>4578441.0</v>
      </c>
      <c r="D532" s="2">
        <v>174.8041</v>
      </c>
    </row>
    <row r="533">
      <c r="A533" s="4">
        <v>45108.0</v>
      </c>
      <c r="B533" s="2">
        <v>1102863.0</v>
      </c>
      <c r="C533" s="2">
        <v>4578988.0</v>
      </c>
      <c r="D533" s="2">
        <v>74.0236</v>
      </c>
    </row>
    <row r="534">
      <c r="A534" s="4">
        <v>44853.0</v>
      </c>
      <c r="B534" s="2">
        <v>1434783.0</v>
      </c>
      <c r="C534" s="2">
        <v>3877396.0</v>
      </c>
      <c r="D534" s="2">
        <v>33.25</v>
      </c>
    </row>
    <row r="535">
      <c r="A535" s="4">
        <v>44853.0</v>
      </c>
      <c r="B535" s="2">
        <v>1286103.0</v>
      </c>
      <c r="C535" s="2">
        <v>3877398.0</v>
      </c>
      <c r="D535" s="2">
        <v>329.3843</v>
      </c>
    </row>
    <row r="536">
      <c r="A536" s="4">
        <v>44853.0</v>
      </c>
      <c r="B536" s="2">
        <v>1286103.0</v>
      </c>
      <c r="C536" s="2">
        <v>3877483.0</v>
      </c>
      <c r="D536" s="2">
        <v>390.3118</v>
      </c>
    </row>
    <row r="537">
      <c r="A537" s="4">
        <v>45109.0</v>
      </c>
      <c r="B537" s="2">
        <v>1089273.0</v>
      </c>
      <c r="C537" s="2">
        <v>4582242.0</v>
      </c>
      <c r="D537" s="2">
        <v>36.3332</v>
      </c>
    </row>
    <row r="538">
      <c r="A538" s="4">
        <v>45109.0</v>
      </c>
      <c r="B538" s="2">
        <v>1588233.0</v>
      </c>
      <c r="C538" s="2">
        <v>4581936.0</v>
      </c>
      <c r="D538" s="2">
        <v>80.4464</v>
      </c>
    </row>
    <row r="539">
      <c r="A539" s="4">
        <v>45109.0</v>
      </c>
      <c r="B539" s="2">
        <v>426423.0</v>
      </c>
      <c r="C539" s="2">
        <v>4582556.0</v>
      </c>
      <c r="D539" s="2">
        <v>94.7084</v>
      </c>
    </row>
    <row r="540">
      <c r="A540" s="4">
        <v>45109.0</v>
      </c>
      <c r="B540" s="2">
        <v>1620633.0</v>
      </c>
      <c r="C540" s="2">
        <v>4583351.0</v>
      </c>
      <c r="D540" s="2">
        <v>91.9709999999999</v>
      </c>
    </row>
    <row r="541">
      <c r="A541" s="4">
        <v>45109.0</v>
      </c>
      <c r="B541" s="2">
        <v>1620153.0</v>
      </c>
      <c r="C541" s="2">
        <v>4581094.0</v>
      </c>
      <c r="D541" s="2">
        <v>66.853</v>
      </c>
    </row>
    <row r="542">
      <c r="A542" s="4">
        <v>45109.0</v>
      </c>
      <c r="B542" s="2">
        <v>1620273.0</v>
      </c>
      <c r="C542" s="2">
        <v>4581710.0</v>
      </c>
      <c r="D542" s="2">
        <v>11.2472</v>
      </c>
    </row>
    <row r="543">
      <c r="A543" s="4">
        <v>45109.0</v>
      </c>
      <c r="B543" s="2">
        <v>1620123.0</v>
      </c>
      <c r="C543" s="2">
        <v>4581247.0</v>
      </c>
      <c r="D543" s="2">
        <v>90.237</v>
      </c>
    </row>
    <row r="544">
      <c r="A544" s="4">
        <v>45109.0</v>
      </c>
      <c r="B544" s="2">
        <v>1611213.0</v>
      </c>
      <c r="C544" s="2">
        <v>4583840.0</v>
      </c>
      <c r="D544" s="2">
        <v>82.4621</v>
      </c>
    </row>
    <row r="545">
      <c r="A545" s="4">
        <v>45109.0</v>
      </c>
      <c r="B545" s="2">
        <v>1416303.0</v>
      </c>
      <c r="C545" s="2">
        <v>4581596.0</v>
      </c>
      <c r="D545" s="2">
        <v>70.5482</v>
      </c>
    </row>
    <row r="546">
      <c r="A546" s="4">
        <v>44854.0</v>
      </c>
      <c r="B546" s="2">
        <v>1435443.0</v>
      </c>
      <c r="C546" s="2">
        <v>3879797.0</v>
      </c>
      <c r="D546" s="2">
        <v>10.0932</v>
      </c>
    </row>
    <row r="547">
      <c r="A547" s="4">
        <v>44854.0</v>
      </c>
      <c r="B547" s="2">
        <v>1419603.0</v>
      </c>
      <c r="C547" s="2">
        <v>3879737.0</v>
      </c>
      <c r="D547" s="2">
        <v>74.2683999999999</v>
      </c>
    </row>
    <row r="548">
      <c r="A548" s="4">
        <v>44854.0</v>
      </c>
      <c r="B548" s="2">
        <v>1435473.0</v>
      </c>
      <c r="C548" s="2">
        <v>3879867.0</v>
      </c>
      <c r="D548" s="2">
        <v>58.0649</v>
      </c>
    </row>
    <row r="549">
      <c r="A549" s="4">
        <v>45110.0</v>
      </c>
      <c r="B549" s="2">
        <v>1165353.0</v>
      </c>
      <c r="C549" s="2">
        <v>4586404.0</v>
      </c>
      <c r="D549" s="2">
        <v>59.2218</v>
      </c>
    </row>
    <row r="550">
      <c r="A550" s="4">
        <v>45110.0</v>
      </c>
      <c r="B550" s="2">
        <v>1073343.0</v>
      </c>
      <c r="C550" s="2">
        <v>4585136.0</v>
      </c>
      <c r="D550" s="2">
        <v>16.7441</v>
      </c>
    </row>
    <row r="551">
      <c r="A551" s="4">
        <v>45110.0</v>
      </c>
      <c r="B551" s="2">
        <v>1397703.0</v>
      </c>
      <c r="C551" s="2">
        <v>4585011.0</v>
      </c>
      <c r="D551" s="2">
        <v>60.2069</v>
      </c>
    </row>
    <row r="552">
      <c r="A552" s="4">
        <v>45110.0</v>
      </c>
      <c r="B552" s="2">
        <v>1620813.0</v>
      </c>
      <c r="C552" s="2">
        <v>4585889.0</v>
      </c>
      <c r="D552" s="2">
        <v>30.6251</v>
      </c>
    </row>
    <row r="553">
      <c r="A553" s="4">
        <v>45110.0</v>
      </c>
      <c r="B553" s="2">
        <v>1103823.0</v>
      </c>
      <c r="C553" s="2">
        <v>4585639.0</v>
      </c>
      <c r="D553" s="2">
        <v>97.4962</v>
      </c>
    </row>
    <row r="554">
      <c r="A554" s="4">
        <v>45110.0</v>
      </c>
      <c r="B554" s="2">
        <v>1621293.0</v>
      </c>
      <c r="C554" s="2">
        <v>4586710.0</v>
      </c>
      <c r="D554" s="2">
        <v>26.5412</v>
      </c>
    </row>
    <row r="555">
      <c r="A555" s="4">
        <v>44855.0</v>
      </c>
      <c r="B555" s="2">
        <v>186663.0</v>
      </c>
      <c r="C555" s="2">
        <v>3880316.0</v>
      </c>
      <c r="D555" s="2">
        <v>67.698</v>
      </c>
    </row>
    <row r="556">
      <c r="A556" s="4">
        <v>44855.0</v>
      </c>
      <c r="B556" s="2">
        <v>1435593.0</v>
      </c>
      <c r="C556" s="2">
        <v>3880267.0</v>
      </c>
      <c r="D556" s="2">
        <v>60.3927999999999</v>
      </c>
    </row>
    <row r="557">
      <c r="A557" s="4">
        <v>44855.0</v>
      </c>
      <c r="B557" s="2">
        <v>1234173.0</v>
      </c>
      <c r="C557" s="2">
        <v>3880354.0</v>
      </c>
      <c r="D557" s="2">
        <v>38.2275</v>
      </c>
    </row>
    <row r="558">
      <c r="A558" s="4">
        <v>44855.0</v>
      </c>
      <c r="B558" s="2">
        <v>1341843.0</v>
      </c>
      <c r="C558" s="2">
        <v>3880585.0</v>
      </c>
      <c r="D558" s="2">
        <v>83.0929999999999</v>
      </c>
    </row>
    <row r="559">
      <c r="A559" s="4">
        <v>44855.0</v>
      </c>
      <c r="B559" s="2">
        <v>1435773.0</v>
      </c>
      <c r="C559" s="2">
        <v>3880848.0</v>
      </c>
      <c r="D559" s="2">
        <v>41.875</v>
      </c>
    </row>
    <row r="560">
      <c r="A560" s="4">
        <v>44855.0</v>
      </c>
      <c r="B560" s="2">
        <v>278733.0</v>
      </c>
      <c r="C560" s="2">
        <v>3880637.0</v>
      </c>
      <c r="D560" s="2">
        <v>81.7611</v>
      </c>
    </row>
    <row r="561">
      <c r="A561" s="4">
        <v>44855.0</v>
      </c>
      <c r="B561" s="2">
        <v>1435953.0</v>
      </c>
      <c r="C561" s="2">
        <v>3881460.0</v>
      </c>
      <c r="D561" s="2">
        <v>41.3129</v>
      </c>
    </row>
    <row r="562">
      <c r="A562" s="4">
        <v>45111.0</v>
      </c>
      <c r="B562" s="2">
        <v>1223523.0</v>
      </c>
      <c r="C562" s="2">
        <v>4589348.0</v>
      </c>
      <c r="D562" s="2">
        <v>32.2562</v>
      </c>
    </row>
    <row r="563">
      <c r="A563" s="4">
        <v>45111.0</v>
      </c>
      <c r="B563" s="2">
        <v>1594203.0</v>
      </c>
      <c r="C563" s="2">
        <v>4590109.0</v>
      </c>
      <c r="D563" s="2">
        <v>149.8145</v>
      </c>
    </row>
    <row r="564">
      <c r="A564" s="4">
        <v>45111.0</v>
      </c>
      <c r="B564" s="2">
        <v>1387623.0</v>
      </c>
      <c r="C564" s="2">
        <v>4588944.0</v>
      </c>
      <c r="D564" s="2">
        <v>72.2872999999999</v>
      </c>
    </row>
    <row r="565">
      <c r="A565" s="4">
        <v>45111.0</v>
      </c>
      <c r="B565" s="2">
        <v>146283.0</v>
      </c>
      <c r="C565" s="2">
        <v>4589789.0</v>
      </c>
      <c r="D565" s="2">
        <v>148.2542</v>
      </c>
    </row>
    <row r="566">
      <c r="A566" s="4">
        <v>45111.0</v>
      </c>
      <c r="B566" s="2">
        <v>1467843.0</v>
      </c>
      <c r="C566" s="2">
        <v>4589925.0</v>
      </c>
      <c r="D566" s="2">
        <v>84.4348</v>
      </c>
    </row>
    <row r="567">
      <c r="A567" s="4">
        <v>45111.0</v>
      </c>
      <c r="B567" s="2">
        <v>1434813.0</v>
      </c>
      <c r="C567" s="2">
        <v>4588635.0</v>
      </c>
      <c r="D567" s="2">
        <v>267.5516</v>
      </c>
    </row>
    <row r="568">
      <c r="A568" s="4">
        <v>44856.0</v>
      </c>
      <c r="B568" s="2">
        <v>1342773.0</v>
      </c>
      <c r="C568" s="2">
        <v>3883812.0</v>
      </c>
      <c r="D568" s="2">
        <v>19.5499999999999</v>
      </c>
    </row>
    <row r="569">
      <c r="A569" s="4">
        <v>44856.0</v>
      </c>
      <c r="B569" s="2">
        <v>1203693.0</v>
      </c>
      <c r="C569" s="2">
        <v>3884098.0</v>
      </c>
      <c r="D569" s="2">
        <v>34.8791</v>
      </c>
    </row>
    <row r="570">
      <c r="A570" s="4">
        <v>44856.0</v>
      </c>
      <c r="B570" s="2">
        <v>1436523.0</v>
      </c>
      <c r="C570" s="2">
        <v>3883646.0</v>
      </c>
      <c r="D570" s="2">
        <v>43.6326</v>
      </c>
    </row>
    <row r="571">
      <c r="A571" s="4">
        <v>44856.0</v>
      </c>
      <c r="B571" s="2">
        <v>1238253.0</v>
      </c>
      <c r="C571" s="2">
        <v>3882474.0</v>
      </c>
      <c r="D571" s="2">
        <v>11.7534999999999</v>
      </c>
    </row>
    <row r="572">
      <c r="A572" s="4">
        <v>44856.0</v>
      </c>
      <c r="B572" s="2">
        <v>1195233.0</v>
      </c>
      <c r="C572" s="2">
        <v>3882455.0</v>
      </c>
      <c r="D572" s="2">
        <v>53.1728</v>
      </c>
    </row>
    <row r="573">
      <c r="A573" s="4">
        <v>44856.0</v>
      </c>
      <c r="B573" s="2">
        <v>1436163.0</v>
      </c>
      <c r="C573" s="2">
        <v>3882195.0</v>
      </c>
      <c r="D573" s="2">
        <v>65.9934</v>
      </c>
    </row>
    <row r="574">
      <c r="A574" s="4">
        <v>44856.0</v>
      </c>
      <c r="B574" s="2">
        <v>1173993.0</v>
      </c>
      <c r="C574" s="2">
        <v>3882076.0</v>
      </c>
      <c r="D574" s="2">
        <v>89.5659999999999</v>
      </c>
    </row>
    <row r="575">
      <c r="A575" s="4">
        <v>44856.0</v>
      </c>
      <c r="B575" s="2">
        <v>1138083.0</v>
      </c>
      <c r="C575" s="2">
        <v>3882561.0</v>
      </c>
      <c r="D575" s="2">
        <v>133.109999999999</v>
      </c>
    </row>
    <row r="576">
      <c r="A576" s="4">
        <v>44856.0</v>
      </c>
      <c r="B576" s="2">
        <v>1436313.0</v>
      </c>
      <c r="C576" s="2">
        <v>3882793.0</v>
      </c>
      <c r="D576" s="2">
        <v>94.8595</v>
      </c>
    </row>
    <row r="577">
      <c r="A577" s="4">
        <v>45112.0</v>
      </c>
      <c r="B577" s="2">
        <v>1622313.0</v>
      </c>
      <c r="C577" s="2">
        <v>4591174.0</v>
      </c>
      <c r="D577" s="2">
        <v>54.5193</v>
      </c>
    </row>
    <row r="578">
      <c r="A578" s="4">
        <v>45112.0</v>
      </c>
      <c r="B578" s="2">
        <v>1499133.0</v>
      </c>
      <c r="C578" s="2">
        <v>4592739.0</v>
      </c>
      <c r="D578" s="2">
        <v>97.594</v>
      </c>
    </row>
    <row r="579">
      <c r="A579" s="4">
        <v>45112.0</v>
      </c>
      <c r="B579" s="2">
        <v>1499133.0</v>
      </c>
      <c r="C579" s="2">
        <v>4592878.0</v>
      </c>
      <c r="D579" s="2">
        <v>99.2926</v>
      </c>
    </row>
    <row r="580">
      <c r="A580" s="4">
        <v>45112.0</v>
      </c>
      <c r="B580" s="2">
        <v>1622343.0</v>
      </c>
      <c r="C580" s="2">
        <v>4591239.0</v>
      </c>
      <c r="D580" s="2">
        <v>24.7998</v>
      </c>
    </row>
    <row r="581">
      <c r="A581" s="4">
        <v>44857.0</v>
      </c>
      <c r="B581" s="2">
        <v>221733.0</v>
      </c>
      <c r="C581" s="2">
        <v>3885934.0</v>
      </c>
      <c r="D581" s="2">
        <v>332.829</v>
      </c>
    </row>
    <row r="582">
      <c r="A582" s="4">
        <v>44857.0</v>
      </c>
      <c r="B582" s="2">
        <v>1230573.0</v>
      </c>
      <c r="C582" s="2">
        <v>3885867.0</v>
      </c>
      <c r="D582" s="2">
        <v>76.5193999999999</v>
      </c>
    </row>
    <row r="583">
      <c r="A583" s="4">
        <v>44857.0</v>
      </c>
      <c r="B583" s="2">
        <v>1348683.0</v>
      </c>
      <c r="C583" s="2">
        <v>3886923.0</v>
      </c>
      <c r="D583" s="2">
        <v>59.8436</v>
      </c>
    </row>
    <row r="584">
      <c r="A584" s="4">
        <v>44857.0</v>
      </c>
      <c r="B584" s="2">
        <v>1299153.0</v>
      </c>
      <c r="C584" s="2">
        <v>3884822.0</v>
      </c>
      <c r="D584" s="2">
        <v>39.9302</v>
      </c>
    </row>
    <row r="585">
      <c r="A585" s="4">
        <v>44857.0</v>
      </c>
      <c r="B585" s="2">
        <v>1434813.0</v>
      </c>
      <c r="C585" s="2">
        <v>3885827.0</v>
      </c>
      <c r="D585" s="2">
        <v>229.294499999999</v>
      </c>
    </row>
    <row r="586">
      <c r="A586" s="4">
        <v>44857.0</v>
      </c>
      <c r="B586" s="2">
        <v>1437213.0</v>
      </c>
      <c r="C586" s="2">
        <v>3886485.0</v>
      </c>
      <c r="D586" s="2">
        <v>18.1279</v>
      </c>
    </row>
    <row r="587">
      <c r="A587" s="4">
        <v>44857.0</v>
      </c>
      <c r="B587" s="2">
        <v>1437033.0</v>
      </c>
      <c r="C587" s="2">
        <v>3885788.0</v>
      </c>
      <c r="D587" s="2">
        <v>13.0711</v>
      </c>
    </row>
    <row r="588">
      <c r="A588" s="4">
        <v>45113.0</v>
      </c>
      <c r="B588" s="2">
        <v>184683.0</v>
      </c>
      <c r="C588" s="2">
        <v>4594086.0</v>
      </c>
      <c r="D588" s="2">
        <v>70.8517</v>
      </c>
    </row>
    <row r="589">
      <c r="A589" s="4">
        <v>45113.0</v>
      </c>
      <c r="B589" s="2">
        <v>1450893.0</v>
      </c>
      <c r="C589" s="2">
        <v>4594898.0</v>
      </c>
      <c r="D589" s="2">
        <v>63.4227</v>
      </c>
    </row>
    <row r="590">
      <c r="A590" s="4">
        <v>45113.0</v>
      </c>
      <c r="B590" s="2">
        <v>1428633.0</v>
      </c>
      <c r="C590" s="2">
        <v>4594909.0</v>
      </c>
      <c r="D590" s="2">
        <v>60.0606</v>
      </c>
    </row>
    <row r="591">
      <c r="A591" s="4">
        <v>45113.0</v>
      </c>
      <c r="B591" s="2">
        <v>1077423.0</v>
      </c>
      <c r="C591" s="2">
        <v>4594580.0</v>
      </c>
      <c r="D591" s="2">
        <v>150.0181</v>
      </c>
    </row>
    <row r="592">
      <c r="A592" s="4">
        <v>44858.0</v>
      </c>
      <c r="B592" s="2">
        <v>1310703.0</v>
      </c>
      <c r="C592" s="2">
        <v>3888872.0</v>
      </c>
      <c r="D592" s="2">
        <v>48.3039</v>
      </c>
    </row>
    <row r="593">
      <c r="A593" s="4">
        <v>44858.0</v>
      </c>
      <c r="B593" s="2">
        <v>1410513.0</v>
      </c>
      <c r="C593" s="2">
        <v>3888591.0</v>
      </c>
      <c r="D593" s="2">
        <v>61.8287</v>
      </c>
    </row>
    <row r="594">
      <c r="A594" s="4">
        <v>44858.0</v>
      </c>
      <c r="B594" s="2">
        <v>1251393.0</v>
      </c>
      <c r="C594" s="2">
        <v>3889349.0</v>
      </c>
      <c r="D594" s="2">
        <v>42.2403999999999</v>
      </c>
    </row>
    <row r="595">
      <c r="A595" s="4">
        <v>44858.0</v>
      </c>
      <c r="B595" s="2">
        <v>1253823.0</v>
      </c>
      <c r="C595" s="2">
        <v>3887853.0</v>
      </c>
      <c r="D595" s="2">
        <v>76.026</v>
      </c>
    </row>
    <row r="596">
      <c r="A596" s="4">
        <v>44858.0</v>
      </c>
      <c r="B596" s="2">
        <v>1437663.0</v>
      </c>
      <c r="C596" s="2">
        <v>3888438.0</v>
      </c>
      <c r="D596" s="2">
        <v>81.1404</v>
      </c>
    </row>
    <row r="597">
      <c r="A597" s="4">
        <v>44858.0</v>
      </c>
      <c r="B597" s="2">
        <v>156393.0</v>
      </c>
      <c r="C597" s="2">
        <v>3887464.0</v>
      </c>
      <c r="D597" s="2">
        <v>82.7924</v>
      </c>
    </row>
    <row r="598">
      <c r="A598" s="4">
        <v>44858.0</v>
      </c>
      <c r="B598" s="2">
        <v>1113423.0</v>
      </c>
      <c r="C598" s="2">
        <v>3889309.0</v>
      </c>
      <c r="D598" s="2">
        <v>65.7284</v>
      </c>
    </row>
    <row r="599">
      <c r="A599" s="4">
        <v>45114.0</v>
      </c>
      <c r="B599" s="2">
        <v>161793.0</v>
      </c>
      <c r="C599" s="2">
        <v>4595251.0</v>
      </c>
      <c r="D599" s="2">
        <v>23.2326</v>
      </c>
    </row>
    <row r="600">
      <c r="A600" s="4">
        <v>45114.0</v>
      </c>
      <c r="B600" s="2">
        <v>1128333.0</v>
      </c>
      <c r="C600" s="2">
        <v>4595540.0</v>
      </c>
      <c r="D600" s="2">
        <v>24.4417</v>
      </c>
    </row>
    <row r="601">
      <c r="A601" s="4">
        <v>45114.0</v>
      </c>
      <c r="B601" s="2">
        <v>1623573.0</v>
      </c>
      <c r="C601" s="2">
        <v>4596338.0</v>
      </c>
      <c r="D601" s="2">
        <v>27.7248</v>
      </c>
    </row>
    <row r="602">
      <c r="A602" s="4">
        <v>45114.0</v>
      </c>
      <c r="B602" s="2">
        <v>1368123.0</v>
      </c>
      <c r="C602" s="2">
        <v>4595367.0</v>
      </c>
      <c r="D602" s="2">
        <v>72.1242</v>
      </c>
    </row>
    <row r="603">
      <c r="A603" s="4">
        <v>45114.0</v>
      </c>
      <c r="B603" s="2">
        <v>1435293.0</v>
      </c>
      <c r="C603" s="2">
        <v>4595972.0</v>
      </c>
      <c r="D603" s="2">
        <v>138.9405</v>
      </c>
    </row>
    <row r="604">
      <c r="A604" s="4">
        <v>45114.0</v>
      </c>
      <c r="B604" s="2">
        <v>161793.0</v>
      </c>
      <c r="C604" s="2">
        <v>4595076.0</v>
      </c>
      <c r="D604" s="2">
        <v>139.8105</v>
      </c>
    </row>
    <row r="605">
      <c r="A605" s="4">
        <v>45114.0</v>
      </c>
      <c r="B605" s="2">
        <v>1623273.0</v>
      </c>
      <c r="C605" s="2">
        <v>4595222.0</v>
      </c>
      <c r="D605" s="2">
        <v>87.3463</v>
      </c>
    </row>
    <row r="606">
      <c r="A606" s="4">
        <v>44859.0</v>
      </c>
      <c r="B606" s="2">
        <v>1195233.0</v>
      </c>
      <c r="C606" s="2">
        <v>3891741.0</v>
      </c>
      <c r="D606" s="2">
        <v>78.0887999999999</v>
      </c>
    </row>
    <row r="607">
      <c r="A607" s="4">
        <v>44859.0</v>
      </c>
      <c r="B607" s="2">
        <v>1204983.0</v>
      </c>
      <c r="C607" s="2">
        <v>3890010.0</v>
      </c>
      <c r="D607" s="2">
        <v>64.0221</v>
      </c>
    </row>
    <row r="608">
      <c r="A608" s="4">
        <v>44859.0</v>
      </c>
      <c r="B608" s="2">
        <v>1269453.0</v>
      </c>
      <c r="C608" s="2">
        <v>3892014.0</v>
      </c>
      <c r="D608" s="2">
        <v>64.9966</v>
      </c>
    </row>
    <row r="609">
      <c r="A609" s="4">
        <v>44859.0</v>
      </c>
      <c r="B609" s="2">
        <v>1315173.0</v>
      </c>
      <c r="C609" s="2">
        <v>3892263.0</v>
      </c>
      <c r="D609" s="2">
        <v>62.8164</v>
      </c>
    </row>
    <row r="610">
      <c r="A610" s="4">
        <v>44859.0</v>
      </c>
      <c r="B610" s="2">
        <v>1261383.0</v>
      </c>
      <c r="C610" s="2">
        <v>3891325.0</v>
      </c>
      <c r="D610" s="2">
        <v>218.1049</v>
      </c>
    </row>
    <row r="611">
      <c r="A611" s="4">
        <v>45115.0</v>
      </c>
      <c r="B611" s="2">
        <v>1040313.0</v>
      </c>
      <c r="C611" s="2">
        <v>4598448.0</v>
      </c>
      <c r="D611" s="2">
        <v>156.498899999999</v>
      </c>
    </row>
    <row r="612">
      <c r="A612" s="4">
        <v>45115.0</v>
      </c>
      <c r="B612" s="2">
        <v>1624083.0</v>
      </c>
      <c r="C612" s="2">
        <v>4598507.0</v>
      </c>
      <c r="D612" s="2">
        <v>34.5653</v>
      </c>
    </row>
    <row r="613">
      <c r="A613" s="4">
        <v>45115.0</v>
      </c>
      <c r="B613" s="2">
        <v>1624113.0</v>
      </c>
      <c r="C613" s="2">
        <v>4598562.0</v>
      </c>
      <c r="D613" s="2">
        <v>19.7499</v>
      </c>
    </row>
    <row r="614">
      <c r="A614" s="4">
        <v>44860.0</v>
      </c>
      <c r="B614" s="2">
        <v>1161873.0</v>
      </c>
      <c r="C614" s="2">
        <v>3892977.0</v>
      </c>
      <c r="D614" s="2">
        <v>54.6467</v>
      </c>
    </row>
    <row r="615">
      <c r="A615" s="4">
        <v>44860.0</v>
      </c>
      <c r="B615" s="2">
        <v>1163223.0</v>
      </c>
      <c r="C615" s="2">
        <v>3894574.0</v>
      </c>
      <c r="D615" s="2">
        <v>72.9734</v>
      </c>
    </row>
    <row r="616">
      <c r="A616" s="4">
        <v>44860.0</v>
      </c>
      <c r="B616" s="2">
        <v>1438923.0</v>
      </c>
      <c r="C616" s="2">
        <v>3893639.0</v>
      </c>
      <c r="D616" s="2">
        <v>15.1564</v>
      </c>
    </row>
    <row r="617">
      <c r="A617" s="4">
        <v>44860.0</v>
      </c>
      <c r="B617" s="2">
        <v>1438983.0</v>
      </c>
      <c r="C617" s="2">
        <v>3893787.0</v>
      </c>
      <c r="D617" s="2">
        <v>18.5358</v>
      </c>
    </row>
    <row r="618">
      <c r="A618" s="4">
        <v>45116.0</v>
      </c>
      <c r="B618" s="2">
        <v>1624353.0</v>
      </c>
      <c r="C618" s="2">
        <v>4600602.0</v>
      </c>
      <c r="D618" s="2">
        <v>46.6775</v>
      </c>
    </row>
    <row r="619">
      <c r="A619" s="4">
        <v>45116.0</v>
      </c>
      <c r="B619" s="2">
        <v>1624863.0</v>
      </c>
      <c r="C619" s="2">
        <v>4601984.0</v>
      </c>
      <c r="D619" s="2">
        <v>44.726</v>
      </c>
    </row>
    <row r="620">
      <c r="A620" s="4">
        <v>45116.0</v>
      </c>
      <c r="B620" s="2">
        <v>1533183.0</v>
      </c>
      <c r="C620" s="2">
        <v>4600522.0</v>
      </c>
      <c r="D620" s="2">
        <v>38.7806999999999</v>
      </c>
    </row>
    <row r="621">
      <c r="A621" s="4">
        <v>45116.0</v>
      </c>
      <c r="B621" s="2">
        <v>1624623.0</v>
      </c>
      <c r="C621" s="2">
        <v>4600954.0</v>
      </c>
      <c r="D621" s="2">
        <v>27.0</v>
      </c>
    </row>
    <row r="622">
      <c r="A622" s="4">
        <v>45116.0</v>
      </c>
      <c r="B622" s="2">
        <v>234783.0</v>
      </c>
      <c r="C622" s="2">
        <v>4599782.0</v>
      </c>
      <c r="D622" s="2">
        <v>149.7567</v>
      </c>
    </row>
    <row r="623">
      <c r="A623" s="4">
        <v>44861.0</v>
      </c>
      <c r="B623" s="2">
        <v>1439163.0</v>
      </c>
      <c r="C623" s="2">
        <v>3895220.0</v>
      </c>
      <c r="D623" s="2">
        <v>23.0806</v>
      </c>
    </row>
    <row r="624">
      <c r="A624" s="4">
        <v>44861.0</v>
      </c>
      <c r="B624" s="2">
        <v>1439613.0</v>
      </c>
      <c r="C624" s="2">
        <v>3896424.0</v>
      </c>
      <c r="D624" s="2">
        <v>25.0417</v>
      </c>
    </row>
    <row r="625">
      <c r="A625" s="4">
        <v>44861.0</v>
      </c>
      <c r="B625" s="2">
        <v>1439313.0</v>
      </c>
      <c r="C625" s="2">
        <v>3895264.0</v>
      </c>
      <c r="D625" s="2">
        <v>71.0501</v>
      </c>
    </row>
    <row r="626">
      <c r="A626" s="4">
        <v>44861.0</v>
      </c>
      <c r="B626" s="2">
        <v>1206753.0</v>
      </c>
      <c r="C626" s="2">
        <v>3896566.0</v>
      </c>
      <c r="D626" s="2">
        <v>62.1082</v>
      </c>
    </row>
    <row r="627">
      <c r="A627" s="4">
        <v>44861.0</v>
      </c>
      <c r="B627" s="2">
        <v>1439433.0</v>
      </c>
      <c r="C627" s="2">
        <v>3895752.0</v>
      </c>
      <c r="D627" s="2">
        <v>35.6588</v>
      </c>
    </row>
    <row r="628">
      <c r="A628" s="4">
        <v>44861.0</v>
      </c>
      <c r="B628" s="2">
        <v>1433613.0</v>
      </c>
      <c r="C628" s="2">
        <v>3895575.0</v>
      </c>
      <c r="D628" s="2">
        <v>11.0175</v>
      </c>
    </row>
    <row r="629">
      <c r="A629" s="4">
        <v>45117.0</v>
      </c>
      <c r="B629" s="2">
        <v>1625283.0</v>
      </c>
      <c r="C629" s="2">
        <v>4604230.0</v>
      </c>
      <c r="D629" s="2">
        <v>80.175</v>
      </c>
    </row>
    <row r="630">
      <c r="A630" s="4">
        <v>45117.0</v>
      </c>
      <c r="B630" s="2">
        <v>1625133.0</v>
      </c>
      <c r="C630" s="2">
        <v>4603381.0</v>
      </c>
      <c r="D630" s="2">
        <v>21.989</v>
      </c>
    </row>
    <row r="631">
      <c r="A631" s="4">
        <v>45117.0</v>
      </c>
      <c r="B631" s="2">
        <v>1011633.0</v>
      </c>
      <c r="C631" s="2">
        <v>4603513.0</v>
      </c>
      <c r="D631" s="2">
        <v>98.7783</v>
      </c>
    </row>
    <row r="632">
      <c r="A632" s="4">
        <v>45117.0</v>
      </c>
      <c r="B632" s="2">
        <v>1625103.0</v>
      </c>
      <c r="C632" s="2">
        <v>4603329.0</v>
      </c>
      <c r="D632" s="2">
        <v>110.8275</v>
      </c>
    </row>
    <row r="633">
      <c r="A633" s="4">
        <v>45117.0</v>
      </c>
      <c r="B633" s="2">
        <v>1619823.0</v>
      </c>
      <c r="C633" s="2">
        <v>4603083.0</v>
      </c>
      <c r="D633" s="2">
        <v>47.2287</v>
      </c>
    </row>
    <row r="634">
      <c r="A634" s="4">
        <v>45117.0</v>
      </c>
      <c r="B634" s="2">
        <v>1151883.0</v>
      </c>
      <c r="C634" s="2">
        <v>4602978.0</v>
      </c>
      <c r="D634" s="2">
        <v>101.2817</v>
      </c>
    </row>
    <row r="635">
      <c r="A635" s="4">
        <v>44862.0</v>
      </c>
      <c r="B635" s="2">
        <v>1433223.0</v>
      </c>
      <c r="C635" s="2">
        <v>3897953.0</v>
      </c>
      <c r="D635" s="2">
        <v>25.2394</v>
      </c>
    </row>
    <row r="636">
      <c r="A636" s="4">
        <v>44862.0</v>
      </c>
      <c r="B636" s="2">
        <v>206973.0</v>
      </c>
      <c r="C636" s="2">
        <v>3897282.0</v>
      </c>
      <c r="D636" s="2">
        <v>66.7779999999999</v>
      </c>
    </row>
    <row r="637">
      <c r="A637" s="4">
        <v>45118.0</v>
      </c>
      <c r="B637" s="2">
        <v>1595253.0</v>
      </c>
      <c r="C637" s="2">
        <v>4605161.0</v>
      </c>
      <c r="D637" s="2">
        <v>70.8572</v>
      </c>
    </row>
    <row r="638">
      <c r="A638" s="4">
        <v>45118.0</v>
      </c>
      <c r="B638" s="2">
        <v>1138083.0</v>
      </c>
      <c r="C638" s="2">
        <v>4605388.0</v>
      </c>
      <c r="D638" s="2">
        <v>167.134299999999</v>
      </c>
    </row>
    <row r="639">
      <c r="A639" s="4">
        <v>45118.0</v>
      </c>
      <c r="B639" s="2">
        <v>1510383.0</v>
      </c>
      <c r="C639" s="2">
        <v>4604650.0</v>
      </c>
      <c r="D639" s="2">
        <v>96.7677</v>
      </c>
    </row>
    <row r="640">
      <c r="A640" s="4">
        <v>45118.0</v>
      </c>
      <c r="B640" s="2">
        <v>1510383.0</v>
      </c>
      <c r="C640" s="2">
        <v>4604657.0</v>
      </c>
      <c r="D640" s="2">
        <v>87.5167</v>
      </c>
    </row>
    <row r="641">
      <c r="A641" s="4">
        <v>45118.0</v>
      </c>
      <c r="B641" s="2">
        <v>1625463.0</v>
      </c>
      <c r="C641" s="2">
        <v>4605153.0</v>
      </c>
      <c r="D641" s="2">
        <v>66.9218</v>
      </c>
    </row>
    <row r="642">
      <c r="A642" s="4">
        <v>44863.0</v>
      </c>
      <c r="B642" s="2">
        <v>1412553.0</v>
      </c>
      <c r="C642" s="2">
        <v>3900652.0</v>
      </c>
      <c r="D642" s="2">
        <v>68.7084999999999</v>
      </c>
    </row>
    <row r="643">
      <c r="A643" s="4">
        <v>44863.0</v>
      </c>
      <c r="B643" s="2">
        <v>1440663.0</v>
      </c>
      <c r="C643" s="2">
        <v>3900383.0</v>
      </c>
      <c r="D643" s="2">
        <v>66.6208</v>
      </c>
    </row>
    <row r="644">
      <c r="A644" s="4">
        <v>44863.0</v>
      </c>
      <c r="B644" s="2">
        <v>1397703.0</v>
      </c>
      <c r="C644" s="2">
        <v>3901288.0</v>
      </c>
      <c r="D644" s="2">
        <v>72.4078</v>
      </c>
    </row>
    <row r="645">
      <c r="A645" s="4">
        <v>44863.0</v>
      </c>
      <c r="B645" s="2">
        <v>1440333.0</v>
      </c>
      <c r="C645" s="2">
        <v>3899138.0</v>
      </c>
      <c r="D645" s="2">
        <v>21.25</v>
      </c>
    </row>
    <row r="646">
      <c r="A646" s="4">
        <v>44863.0</v>
      </c>
      <c r="B646" s="2">
        <v>1141683.0</v>
      </c>
      <c r="C646" s="2">
        <v>3899348.0</v>
      </c>
      <c r="D646" s="2">
        <v>63.8657</v>
      </c>
    </row>
    <row r="647">
      <c r="A647" s="4">
        <v>45119.0</v>
      </c>
      <c r="B647" s="2">
        <v>1058073.0</v>
      </c>
      <c r="C647" s="2">
        <v>4606990.0</v>
      </c>
      <c r="D647" s="2">
        <v>117.9032</v>
      </c>
    </row>
    <row r="648">
      <c r="A648" s="4">
        <v>45119.0</v>
      </c>
      <c r="B648" s="2">
        <v>1626003.0</v>
      </c>
      <c r="C648" s="2">
        <v>4607622.0</v>
      </c>
      <c r="D648" s="2">
        <v>99.1667</v>
      </c>
    </row>
    <row r="649">
      <c r="A649" s="4">
        <v>45119.0</v>
      </c>
      <c r="B649" s="2">
        <v>1625793.0</v>
      </c>
      <c r="C649" s="2">
        <v>4606768.0</v>
      </c>
      <c r="D649" s="2">
        <v>17.0</v>
      </c>
    </row>
    <row r="650">
      <c r="A650" s="4">
        <v>45119.0</v>
      </c>
      <c r="B650" s="2">
        <v>1499163.0</v>
      </c>
      <c r="C650" s="2">
        <v>4606734.0</v>
      </c>
      <c r="D650" s="2">
        <v>67.8213</v>
      </c>
    </row>
    <row r="651">
      <c r="A651" s="4">
        <v>45119.0</v>
      </c>
      <c r="B651" s="2">
        <v>1433553.0</v>
      </c>
      <c r="C651" s="2">
        <v>4607891.0</v>
      </c>
      <c r="D651" s="2">
        <v>146.1334</v>
      </c>
    </row>
    <row r="652">
      <c r="A652" s="4">
        <v>45119.0</v>
      </c>
      <c r="B652" s="2">
        <v>1433553.0</v>
      </c>
      <c r="C652" s="2">
        <v>4607875.0</v>
      </c>
      <c r="D652" s="2">
        <v>164.560399999999</v>
      </c>
    </row>
    <row r="653">
      <c r="A653" s="4">
        <v>45119.0</v>
      </c>
      <c r="B653" s="2">
        <v>1319703.0</v>
      </c>
      <c r="C653" s="2">
        <v>4606995.0</v>
      </c>
      <c r="D653" s="2">
        <v>35.917</v>
      </c>
    </row>
    <row r="654">
      <c r="A654" s="4">
        <v>44864.0</v>
      </c>
      <c r="B654" s="2">
        <v>1441233.0</v>
      </c>
      <c r="C654" s="2">
        <v>3902908.0</v>
      </c>
      <c r="D654" s="2">
        <v>64.425</v>
      </c>
    </row>
    <row r="655">
      <c r="A655" s="4">
        <v>44864.0</v>
      </c>
      <c r="B655" s="2">
        <v>996933.0</v>
      </c>
      <c r="C655" s="2">
        <v>3904205.0</v>
      </c>
      <c r="D655" s="2">
        <v>117.9723</v>
      </c>
    </row>
    <row r="656">
      <c r="A656" s="4">
        <v>44864.0</v>
      </c>
      <c r="B656" s="2">
        <v>1441353.0</v>
      </c>
      <c r="C656" s="2">
        <v>3903452.0</v>
      </c>
      <c r="D656" s="2">
        <v>100.8268</v>
      </c>
    </row>
    <row r="657">
      <c r="A657" s="4">
        <v>44864.0</v>
      </c>
      <c r="B657" s="2">
        <v>1246893.0</v>
      </c>
      <c r="C657" s="2">
        <v>3903629.0</v>
      </c>
      <c r="D657" s="2">
        <v>48.1919</v>
      </c>
    </row>
    <row r="658">
      <c r="A658" s="4">
        <v>44864.0</v>
      </c>
      <c r="B658" s="2">
        <v>1399533.0</v>
      </c>
      <c r="C658" s="2">
        <v>3903176.0</v>
      </c>
      <c r="D658" s="2">
        <v>85.1447</v>
      </c>
    </row>
    <row r="659">
      <c r="A659" s="4">
        <v>44864.0</v>
      </c>
      <c r="B659" s="2">
        <v>106503.0</v>
      </c>
      <c r="C659" s="2">
        <v>3904042.0</v>
      </c>
      <c r="D659" s="2">
        <v>64.2979</v>
      </c>
    </row>
    <row r="660">
      <c r="A660" s="4">
        <v>44864.0</v>
      </c>
      <c r="B660" s="2">
        <v>1428633.0</v>
      </c>
      <c r="C660" s="2">
        <v>3904683.0</v>
      </c>
      <c r="D660" s="2">
        <v>127.192</v>
      </c>
    </row>
    <row r="661">
      <c r="A661" s="4">
        <v>44864.0</v>
      </c>
      <c r="B661" s="2">
        <v>220503.0</v>
      </c>
      <c r="C661" s="2">
        <v>3903562.0</v>
      </c>
      <c r="D661" s="2">
        <v>18.25</v>
      </c>
    </row>
    <row r="662">
      <c r="A662" s="4">
        <v>45120.0</v>
      </c>
      <c r="B662" s="2">
        <v>1626093.0</v>
      </c>
      <c r="C662" s="2">
        <v>4608120.0</v>
      </c>
      <c r="D662" s="2">
        <v>82.3749</v>
      </c>
    </row>
    <row r="663">
      <c r="A663" s="4">
        <v>44865.0</v>
      </c>
      <c r="B663" s="2">
        <v>485253.0</v>
      </c>
      <c r="C663" s="2">
        <v>3905395.0</v>
      </c>
      <c r="D663" s="2">
        <v>93.5441</v>
      </c>
    </row>
    <row r="664">
      <c r="A664" s="4">
        <v>44865.0</v>
      </c>
      <c r="B664" s="2">
        <v>1389153.0</v>
      </c>
      <c r="C664" s="2">
        <v>3906051.0</v>
      </c>
      <c r="D664" s="2">
        <v>31.8991</v>
      </c>
    </row>
    <row r="665">
      <c r="A665" s="4">
        <v>44865.0</v>
      </c>
      <c r="B665" s="2">
        <v>1441833.0</v>
      </c>
      <c r="C665" s="2">
        <v>3905465.0</v>
      </c>
      <c r="D665" s="2">
        <v>26.5269</v>
      </c>
    </row>
    <row r="666">
      <c r="A666" s="4">
        <v>44865.0</v>
      </c>
      <c r="B666" s="2">
        <v>1441923.0</v>
      </c>
      <c r="C666" s="2">
        <v>3905812.0</v>
      </c>
      <c r="D666" s="2">
        <v>10.5583</v>
      </c>
    </row>
    <row r="667">
      <c r="A667" s="4">
        <v>44865.0</v>
      </c>
      <c r="B667" s="2">
        <v>1436763.0</v>
      </c>
      <c r="C667" s="2">
        <v>3906333.0</v>
      </c>
      <c r="D667" s="2">
        <v>71.9985</v>
      </c>
    </row>
    <row r="668">
      <c r="A668" s="4">
        <v>44865.0</v>
      </c>
      <c r="B668" s="2">
        <v>1389153.0</v>
      </c>
      <c r="C668" s="2">
        <v>3906078.0</v>
      </c>
      <c r="D668" s="2">
        <v>31.8991</v>
      </c>
    </row>
    <row r="669">
      <c r="A669" s="4">
        <v>44865.0</v>
      </c>
      <c r="B669" s="2">
        <v>1238253.0</v>
      </c>
      <c r="C669" s="2">
        <v>3905482.0</v>
      </c>
      <c r="D669" s="2">
        <v>9.6882</v>
      </c>
    </row>
    <row r="670">
      <c r="A670" s="4">
        <v>44865.0</v>
      </c>
      <c r="B670" s="2">
        <v>1220583.0</v>
      </c>
      <c r="C670" s="2">
        <v>3904976.0</v>
      </c>
      <c r="D670" s="2">
        <v>72.6615999999999</v>
      </c>
    </row>
    <row r="671">
      <c r="A671" s="4">
        <v>45121.0</v>
      </c>
      <c r="B671" s="2">
        <v>1607913.0</v>
      </c>
      <c r="C671" s="2">
        <v>4609524.0</v>
      </c>
      <c r="D671" s="2">
        <v>143.387299999999</v>
      </c>
    </row>
    <row r="672">
      <c r="A672" s="4">
        <v>45121.0</v>
      </c>
      <c r="B672" s="2">
        <v>1372173.0</v>
      </c>
      <c r="C672" s="2">
        <v>4610553.0</v>
      </c>
      <c r="D672" s="2">
        <v>32.3096</v>
      </c>
    </row>
    <row r="673">
      <c r="A673" s="4">
        <v>45121.0</v>
      </c>
      <c r="B673" s="2">
        <v>1626663.0</v>
      </c>
      <c r="C673" s="2">
        <v>4610731.0</v>
      </c>
      <c r="D673" s="2">
        <v>118.32</v>
      </c>
    </row>
    <row r="674">
      <c r="A674" s="4">
        <v>45121.0</v>
      </c>
      <c r="B674" s="2">
        <v>1625403.0</v>
      </c>
      <c r="C674" s="2">
        <v>4610685.0</v>
      </c>
      <c r="D674" s="2">
        <v>69.6878</v>
      </c>
    </row>
    <row r="675">
      <c r="A675" s="4">
        <v>44866.0</v>
      </c>
      <c r="B675" s="2">
        <v>1442343.0</v>
      </c>
      <c r="C675" s="2">
        <v>3908549.0</v>
      </c>
      <c r="D675" s="2">
        <v>70.5060999999999</v>
      </c>
    </row>
    <row r="676">
      <c r="A676" s="4">
        <v>44866.0</v>
      </c>
      <c r="B676" s="2">
        <v>234783.0</v>
      </c>
      <c r="C676" s="2">
        <v>3907283.0</v>
      </c>
      <c r="D676" s="2">
        <v>101.2517</v>
      </c>
    </row>
    <row r="677">
      <c r="A677" s="4">
        <v>44866.0</v>
      </c>
      <c r="B677" s="2">
        <v>1406463.0</v>
      </c>
      <c r="C677" s="2">
        <v>3908499.0</v>
      </c>
      <c r="D677" s="2">
        <v>32.7397</v>
      </c>
    </row>
    <row r="678">
      <c r="A678" s="4">
        <v>44866.0</v>
      </c>
      <c r="B678" s="2">
        <v>1442403.0</v>
      </c>
      <c r="C678" s="2">
        <v>3907758.0</v>
      </c>
      <c r="D678" s="2">
        <v>50.5416</v>
      </c>
    </row>
    <row r="679">
      <c r="A679" s="4">
        <v>44866.0</v>
      </c>
      <c r="B679" s="2">
        <v>1228443.0</v>
      </c>
      <c r="C679" s="2">
        <v>3908769.0</v>
      </c>
      <c r="D679" s="2">
        <v>102.3735</v>
      </c>
    </row>
    <row r="680">
      <c r="A680" s="4">
        <v>44866.0</v>
      </c>
      <c r="B680" s="2">
        <v>1352493.0</v>
      </c>
      <c r="C680" s="2">
        <v>3909067.0</v>
      </c>
      <c r="D680" s="2">
        <v>31.2123</v>
      </c>
    </row>
    <row r="681">
      <c r="A681" s="4">
        <v>44866.0</v>
      </c>
      <c r="B681" s="2">
        <v>228423.0</v>
      </c>
      <c r="C681" s="2">
        <v>3909216.0</v>
      </c>
      <c r="D681" s="2">
        <v>90.5859</v>
      </c>
    </row>
    <row r="682">
      <c r="A682" s="4">
        <v>44866.0</v>
      </c>
      <c r="B682" s="2">
        <v>1304853.0</v>
      </c>
      <c r="C682" s="2">
        <v>3908033.0</v>
      </c>
      <c r="D682" s="2">
        <v>68.076</v>
      </c>
    </row>
    <row r="683">
      <c r="A683" s="4">
        <v>45122.0</v>
      </c>
      <c r="B683" s="2">
        <v>1197873.0</v>
      </c>
      <c r="C683" s="2">
        <v>4611851.0</v>
      </c>
      <c r="D683" s="2">
        <v>19.676</v>
      </c>
    </row>
    <row r="684">
      <c r="A684" s="4">
        <v>45122.0</v>
      </c>
      <c r="B684" s="2">
        <v>217743.0</v>
      </c>
      <c r="C684" s="2">
        <v>4611527.0</v>
      </c>
      <c r="D684" s="2">
        <v>167.5273</v>
      </c>
    </row>
    <row r="685">
      <c r="A685" s="4">
        <v>45122.0</v>
      </c>
      <c r="B685" s="2">
        <v>1559583.0</v>
      </c>
      <c r="C685" s="2">
        <v>4612496.0</v>
      </c>
      <c r="D685" s="2">
        <v>69.5947</v>
      </c>
    </row>
    <row r="686">
      <c r="A686" s="4">
        <v>45122.0</v>
      </c>
      <c r="B686" s="2">
        <v>361563.0</v>
      </c>
      <c r="C686" s="2">
        <v>4611145.0</v>
      </c>
      <c r="D686" s="2">
        <v>38.2515</v>
      </c>
    </row>
    <row r="687">
      <c r="A687" s="4">
        <v>45122.0</v>
      </c>
      <c r="B687" s="2">
        <v>1626933.0</v>
      </c>
      <c r="C687" s="2">
        <v>4611930.0</v>
      </c>
      <c r="D687" s="2">
        <v>43.3243</v>
      </c>
    </row>
    <row r="688">
      <c r="A688" s="4">
        <v>45122.0</v>
      </c>
      <c r="B688" s="2">
        <v>1519623.0</v>
      </c>
      <c r="C688" s="2">
        <v>4612444.0</v>
      </c>
      <c r="D688" s="2">
        <v>66.4358</v>
      </c>
    </row>
    <row r="689">
      <c r="A689" s="4">
        <v>45122.0</v>
      </c>
      <c r="B689" s="2">
        <v>1432323.0</v>
      </c>
      <c r="C689" s="2">
        <v>4610939.0</v>
      </c>
      <c r="D689" s="2">
        <v>47.0254</v>
      </c>
    </row>
    <row r="690">
      <c r="A690" s="4">
        <v>45122.0</v>
      </c>
      <c r="B690" s="2">
        <v>1626813.0</v>
      </c>
      <c r="C690" s="2">
        <v>4611429.0</v>
      </c>
      <c r="D690" s="2">
        <v>61.8246</v>
      </c>
    </row>
    <row r="691">
      <c r="A691" s="4">
        <v>44867.0</v>
      </c>
      <c r="B691" s="2">
        <v>1319373.0</v>
      </c>
      <c r="C691" s="2">
        <v>3911130.0</v>
      </c>
      <c r="D691" s="2">
        <v>84.422</v>
      </c>
    </row>
    <row r="692">
      <c r="A692" s="4">
        <v>44867.0</v>
      </c>
      <c r="B692" s="2">
        <v>1089273.0</v>
      </c>
      <c r="C692" s="2">
        <v>3910108.0</v>
      </c>
      <c r="D692" s="2">
        <v>67.9033</v>
      </c>
    </row>
    <row r="693">
      <c r="A693" s="4">
        <v>44867.0</v>
      </c>
      <c r="B693" s="2">
        <v>948573.0</v>
      </c>
      <c r="C693" s="2">
        <v>3911506.0</v>
      </c>
      <c r="D693" s="2">
        <v>75.0235</v>
      </c>
    </row>
    <row r="694">
      <c r="A694" s="4">
        <v>44867.0</v>
      </c>
      <c r="B694" s="2">
        <v>1442253.0</v>
      </c>
      <c r="C694" s="2">
        <v>3910551.0</v>
      </c>
      <c r="D694" s="2">
        <v>67.1455999999999</v>
      </c>
    </row>
    <row r="695">
      <c r="A695" s="4">
        <v>44867.0</v>
      </c>
      <c r="B695" s="2">
        <v>1435293.0</v>
      </c>
      <c r="C695" s="2">
        <v>3912184.0</v>
      </c>
      <c r="D695" s="2">
        <v>91.9965999999999</v>
      </c>
    </row>
    <row r="696">
      <c r="A696" s="4">
        <v>44867.0</v>
      </c>
      <c r="B696" s="2">
        <v>1061973.0</v>
      </c>
      <c r="C696" s="2">
        <v>3912359.0</v>
      </c>
      <c r="D696" s="2">
        <v>92.8737</v>
      </c>
    </row>
    <row r="697">
      <c r="A697" s="4">
        <v>45123.0</v>
      </c>
      <c r="B697" s="2">
        <v>1627173.0</v>
      </c>
      <c r="C697" s="2">
        <v>4613364.0</v>
      </c>
      <c r="D697" s="2">
        <v>39.422</v>
      </c>
    </row>
    <row r="698">
      <c r="A698" s="4">
        <v>45123.0</v>
      </c>
      <c r="B698" s="2">
        <v>1549083.0</v>
      </c>
      <c r="C698" s="2">
        <v>4614134.0</v>
      </c>
      <c r="D698" s="2">
        <v>40.4009999999999</v>
      </c>
    </row>
    <row r="699">
      <c r="A699" s="4">
        <v>45123.0</v>
      </c>
      <c r="B699" s="2">
        <v>1627293.0</v>
      </c>
      <c r="C699" s="2">
        <v>4614145.0</v>
      </c>
      <c r="D699" s="2">
        <v>90.6534</v>
      </c>
    </row>
    <row r="700">
      <c r="A700" s="4">
        <v>45123.0</v>
      </c>
      <c r="B700" s="2">
        <v>1360233.0</v>
      </c>
      <c r="C700" s="2">
        <v>4614503.0</v>
      </c>
      <c r="D700" s="2">
        <v>64.3358</v>
      </c>
    </row>
    <row r="701">
      <c r="A701" s="4">
        <v>45123.0</v>
      </c>
      <c r="B701" s="2">
        <v>184683.0</v>
      </c>
      <c r="C701" s="2">
        <v>4613416.0</v>
      </c>
      <c r="D701" s="2">
        <v>81.0009</v>
      </c>
    </row>
    <row r="702">
      <c r="A702" s="4">
        <v>45123.0</v>
      </c>
      <c r="B702" s="2">
        <v>1387113.0</v>
      </c>
      <c r="C702" s="2">
        <v>4614360.0</v>
      </c>
      <c r="D702" s="2">
        <v>131.3587</v>
      </c>
    </row>
    <row r="703">
      <c r="A703" s="4">
        <v>45123.0</v>
      </c>
      <c r="B703" s="2">
        <v>1592163.0</v>
      </c>
      <c r="C703" s="2">
        <v>4614780.0</v>
      </c>
      <c r="D703" s="2">
        <v>59.9844</v>
      </c>
    </row>
    <row r="704">
      <c r="A704" s="4">
        <v>44868.0</v>
      </c>
      <c r="B704" s="2">
        <v>306753.0</v>
      </c>
      <c r="C704" s="2">
        <v>3913951.0</v>
      </c>
      <c r="D704" s="2">
        <v>71.652</v>
      </c>
    </row>
    <row r="705">
      <c r="A705" s="4">
        <v>44868.0</v>
      </c>
      <c r="B705" s="2">
        <v>1296213.0</v>
      </c>
      <c r="C705" s="2">
        <v>3913641.0</v>
      </c>
      <c r="D705" s="2">
        <v>70.0951</v>
      </c>
    </row>
    <row r="706">
      <c r="A706" s="4">
        <v>45124.0</v>
      </c>
      <c r="B706" s="2">
        <v>1220583.0</v>
      </c>
      <c r="C706" s="2">
        <v>4617398.0</v>
      </c>
      <c r="D706" s="2">
        <v>65.2774999999999</v>
      </c>
    </row>
    <row r="707">
      <c r="A707" s="4">
        <v>45124.0</v>
      </c>
      <c r="B707" s="2">
        <v>1245363.0</v>
      </c>
      <c r="C707" s="2">
        <v>4617287.0</v>
      </c>
      <c r="D707" s="2">
        <v>83.8136999999999</v>
      </c>
    </row>
    <row r="708">
      <c r="A708" s="4">
        <v>45124.0</v>
      </c>
      <c r="B708" s="2">
        <v>1627773.0</v>
      </c>
      <c r="C708" s="2">
        <v>4616455.0</v>
      </c>
      <c r="D708" s="2">
        <v>12.1758</v>
      </c>
    </row>
    <row r="709">
      <c r="A709" s="4">
        <v>45124.0</v>
      </c>
      <c r="B709" s="2">
        <v>1569543.0</v>
      </c>
      <c r="C709" s="2">
        <v>4617251.0</v>
      </c>
      <c r="D709" s="2">
        <v>75.988</v>
      </c>
    </row>
    <row r="710">
      <c r="A710" s="4">
        <v>45124.0</v>
      </c>
      <c r="B710" s="2">
        <v>384483.0</v>
      </c>
      <c r="C710" s="2">
        <v>4615357.0</v>
      </c>
      <c r="D710" s="2">
        <v>154.286799999999</v>
      </c>
    </row>
    <row r="711">
      <c r="A711" s="4">
        <v>44869.0</v>
      </c>
      <c r="B711" s="2">
        <v>1144893.0</v>
      </c>
      <c r="C711" s="2">
        <v>3915769.0</v>
      </c>
      <c r="D711" s="2">
        <v>101.3501</v>
      </c>
    </row>
    <row r="712">
      <c r="A712" s="4">
        <v>44869.0</v>
      </c>
      <c r="B712" s="2">
        <v>1185843.0</v>
      </c>
      <c r="C712" s="2">
        <v>3915811.0</v>
      </c>
      <c r="D712" s="2">
        <v>73.8482</v>
      </c>
    </row>
    <row r="713">
      <c r="A713" s="4">
        <v>44869.0</v>
      </c>
      <c r="B713" s="2">
        <v>1444053.0</v>
      </c>
      <c r="C713" s="2">
        <v>3914837.0</v>
      </c>
      <c r="D713" s="2">
        <v>58.8334</v>
      </c>
    </row>
    <row r="714">
      <c r="A714" s="4">
        <v>44869.0</v>
      </c>
      <c r="B714" s="2">
        <v>1239183.0</v>
      </c>
      <c r="C714" s="2">
        <v>3915510.0</v>
      </c>
      <c r="D714" s="2">
        <v>55.1467</v>
      </c>
    </row>
    <row r="715">
      <c r="A715" s="4">
        <v>44869.0</v>
      </c>
      <c r="B715" s="2">
        <v>1272693.0</v>
      </c>
      <c r="C715" s="2">
        <v>3916383.0</v>
      </c>
      <c r="D715" s="2">
        <v>109.8844</v>
      </c>
    </row>
    <row r="716">
      <c r="A716" s="4">
        <v>45125.0</v>
      </c>
      <c r="B716" s="2">
        <v>1269453.0</v>
      </c>
      <c r="C716" s="2">
        <v>4618652.0</v>
      </c>
      <c r="D716" s="2">
        <v>65.2985</v>
      </c>
    </row>
    <row r="717">
      <c r="A717" s="4">
        <v>45125.0</v>
      </c>
      <c r="B717" s="2">
        <v>1435473.0</v>
      </c>
      <c r="C717" s="2">
        <v>4617871.0</v>
      </c>
      <c r="D717" s="2">
        <v>215.663399999999</v>
      </c>
    </row>
    <row r="718">
      <c r="A718" s="4">
        <v>45125.0</v>
      </c>
      <c r="B718" s="2">
        <v>1455903.0</v>
      </c>
      <c r="C718" s="2">
        <v>4618377.0</v>
      </c>
      <c r="D718" s="2">
        <v>74.4624</v>
      </c>
    </row>
    <row r="719">
      <c r="A719" s="4">
        <v>45125.0</v>
      </c>
      <c r="B719" s="2">
        <v>1447083.0</v>
      </c>
      <c r="C719" s="2">
        <v>4618882.0</v>
      </c>
      <c r="D719" s="2">
        <v>103.222799999999</v>
      </c>
    </row>
    <row r="720">
      <c r="A720" s="4">
        <v>44870.0</v>
      </c>
      <c r="B720" s="2">
        <v>848373.0</v>
      </c>
      <c r="C720" s="2">
        <v>3917041.0</v>
      </c>
      <c r="D720" s="2">
        <v>63.3334</v>
      </c>
    </row>
    <row r="721">
      <c r="A721" s="4">
        <v>44870.0</v>
      </c>
      <c r="B721" s="2">
        <v>1125543.0</v>
      </c>
      <c r="C721" s="2">
        <v>3919498.0</v>
      </c>
      <c r="D721" s="2">
        <v>29.5404999999999</v>
      </c>
    </row>
    <row r="722">
      <c r="A722" s="4">
        <v>44870.0</v>
      </c>
      <c r="B722" s="2">
        <v>1318413.0</v>
      </c>
      <c r="C722" s="2">
        <v>3917785.0</v>
      </c>
      <c r="D722" s="2">
        <v>68.0906</v>
      </c>
    </row>
    <row r="723">
      <c r="A723" s="4">
        <v>44870.0</v>
      </c>
      <c r="B723" s="2">
        <v>477903.0</v>
      </c>
      <c r="C723" s="2">
        <v>3917571.0</v>
      </c>
      <c r="D723" s="2">
        <v>33.27</v>
      </c>
    </row>
    <row r="724">
      <c r="A724" s="4">
        <v>44870.0</v>
      </c>
      <c r="B724" s="2">
        <v>884403.0</v>
      </c>
      <c r="C724" s="2">
        <v>3918817.0</v>
      </c>
      <c r="D724" s="2">
        <v>58.08</v>
      </c>
    </row>
    <row r="725">
      <c r="A725" s="4">
        <v>44870.0</v>
      </c>
      <c r="B725" s="2">
        <v>410973.0</v>
      </c>
      <c r="C725" s="2">
        <v>3919692.0</v>
      </c>
      <c r="D725" s="2">
        <v>59.3968</v>
      </c>
    </row>
    <row r="726">
      <c r="A726" s="4">
        <v>44870.0</v>
      </c>
      <c r="B726" s="2">
        <v>1328943.0</v>
      </c>
      <c r="C726" s="2">
        <v>3918094.0</v>
      </c>
      <c r="D726" s="2">
        <v>55.4446</v>
      </c>
    </row>
    <row r="727">
      <c r="A727" s="4">
        <v>44870.0</v>
      </c>
      <c r="B727" s="2">
        <v>1444863.0</v>
      </c>
      <c r="C727" s="2">
        <v>3917853.0</v>
      </c>
      <c r="D727" s="2">
        <v>37.5</v>
      </c>
    </row>
    <row r="728">
      <c r="A728" s="4">
        <v>45126.0</v>
      </c>
      <c r="B728" s="2">
        <v>1210233.0</v>
      </c>
      <c r="C728" s="2">
        <v>4620788.0</v>
      </c>
      <c r="D728" s="2">
        <v>69.1032</v>
      </c>
    </row>
    <row r="729">
      <c r="A729" s="4">
        <v>45126.0</v>
      </c>
      <c r="B729" s="2">
        <v>1546173.0</v>
      </c>
      <c r="C729" s="2">
        <v>4621314.0</v>
      </c>
      <c r="D729" s="2">
        <v>50.2887</v>
      </c>
    </row>
    <row r="730">
      <c r="A730" s="4">
        <v>45126.0</v>
      </c>
      <c r="B730" s="2">
        <v>1628823.0</v>
      </c>
      <c r="C730" s="2">
        <v>4621174.0</v>
      </c>
      <c r="D730" s="2">
        <v>44.9368999999999</v>
      </c>
    </row>
    <row r="731">
      <c r="A731" s="4">
        <v>45126.0</v>
      </c>
      <c r="B731" s="2">
        <v>1300023.0</v>
      </c>
      <c r="C731" s="2">
        <v>4621535.0</v>
      </c>
      <c r="D731" s="2">
        <v>66.1334</v>
      </c>
    </row>
    <row r="732">
      <c r="A732" s="4">
        <v>44871.0</v>
      </c>
      <c r="B732" s="2">
        <v>1247553.0</v>
      </c>
      <c r="C732" s="2">
        <v>3921931.0</v>
      </c>
      <c r="D732" s="2">
        <v>45.1832999999999</v>
      </c>
    </row>
    <row r="733">
      <c r="A733" s="4">
        <v>44871.0</v>
      </c>
      <c r="B733" s="2">
        <v>1194483.0</v>
      </c>
      <c r="C733" s="2">
        <v>3923334.0</v>
      </c>
      <c r="D733" s="2">
        <v>122.5394</v>
      </c>
    </row>
    <row r="734">
      <c r="A734" s="4">
        <v>44871.0</v>
      </c>
      <c r="B734" s="2">
        <v>1344573.0</v>
      </c>
      <c r="C734" s="2">
        <v>3921247.0</v>
      </c>
      <c r="D734" s="2">
        <v>341.8318</v>
      </c>
    </row>
    <row r="735">
      <c r="A735" s="4">
        <v>44871.0</v>
      </c>
      <c r="B735" s="2">
        <v>1446063.0</v>
      </c>
      <c r="C735" s="2">
        <v>3923019.0</v>
      </c>
      <c r="D735" s="2">
        <v>65.1802</v>
      </c>
    </row>
    <row r="736">
      <c r="A736" s="4">
        <v>44871.0</v>
      </c>
      <c r="B736" s="2">
        <v>1423773.0</v>
      </c>
      <c r="C736" s="2">
        <v>3920758.0</v>
      </c>
      <c r="D736" s="2">
        <v>46.5605</v>
      </c>
    </row>
    <row r="737">
      <c r="A737" s="4">
        <v>44871.0</v>
      </c>
      <c r="B737" s="2">
        <v>1239273.0</v>
      </c>
      <c r="C737" s="2">
        <v>3920722.0</v>
      </c>
      <c r="D737" s="2">
        <v>94.6251999999999</v>
      </c>
    </row>
    <row r="738">
      <c r="A738" s="4">
        <v>44871.0</v>
      </c>
      <c r="B738" s="2">
        <v>1433553.0</v>
      </c>
      <c r="C738" s="2">
        <v>3921052.0</v>
      </c>
      <c r="D738" s="2">
        <v>129.2094</v>
      </c>
    </row>
    <row r="739">
      <c r="A739" s="4">
        <v>45127.0</v>
      </c>
      <c r="B739" s="2">
        <v>1451553.0</v>
      </c>
      <c r="C739" s="2">
        <v>4623197.0</v>
      </c>
      <c r="D739" s="2">
        <v>89.1144999999999</v>
      </c>
    </row>
    <row r="740">
      <c r="A740" s="4">
        <v>45127.0</v>
      </c>
      <c r="B740" s="2">
        <v>1433223.0</v>
      </c>
      <c r="C740" s="2">
        <v>4623028.0</v>
      </c>
      <c r="D740" s="2">
        <v>17.7795</v>
      </c>
    </row>
    <row r="741">
      <c r="A741" s="4">
        <v>45127.0</v>
      </c>
      <c r="B741" s="2">
        <v>1428633.0</v>
      </c>
      <c r="C741" s="2">
        <v>4622597.0</v>
      </c>
      <c r="D741" s="2">
        <v>140.219</v>
      </c>
    </row>
    <row r="742">
      <c r="A742" s="4">
        <v>45127.0</v>
      </c>
      <c r="B742" s="2">
        <v>1324833.0</v>
      </c>
      <c r="C742" s="2">
        <v>4622351.0</v>
      </c>
      <c r="D742" s="2">
        <v>33.1659</v>
      </c>
    </row>
    <row r="743">
      <c r="A743" s="4">
        <v>44872.0</v>
      </c>
      <c r="B743" s="2">
        <v>1446603.0</v>
      </c>
      <c r="C743" s="2">
        <v>3925381.0</v>
      </c>
      <c r="D743" s="2">
        <v>9.3103</v>
      </c>
    </row>
    <row r="744">
      <c r="A744" s="4">
        <v>44872.0</v>
      </c>
      <c r="B744" s="2">
        <v>1046973.0</v>
      </c>
      <c r="C744" s="2">
        <v>3924353.0</v>
      </c>
      <c r="D744" s="2">
        <v>7.7652</v>
      </c>
    </row>
    <row r="745">
      <c r="A745" s="4">
        <v>44872.0</v>
      </c>
      <c r="B745" s="2">
        <v>1238583.0</v>
      </c>
      <c r="C745" s="2">
        <v>3924503.0</v>
      </c>
      <c r="D745" s="2">
        <v>62.3226</v>
      </c>
    </row>
    <row r="746">
      <c r="A746" s="4">
        <v>44872.0</v>
      </c>
      <c r="B746" s="2">
        <v>1344243.0</v>
      </c>
      <c r="C746" s="2">
        <v>3924264.0</v>
      </c>
      <c r="D746" s="2">
        <v>36.1245</v>
      </c>
    </row>
    <row r="747">
      <c r="A747" s="4">
        <v>45128.0</v>
      </c>
      <c r="B747" s="2">
        <v>1427553.0</v>
      </c>
      <c r="C747" s="2">
        <v>4625143.0</v>
      </c>
      <c r="D747" s="2">
        <v>43.4036</v>
      </c>
    </row>
    <row r="748">
      <c r="A748" s="4">
        <v>45128.0</v>
      </c>
      <c r="B748" s="2">
        <v>152853.0</v>
      </c>
      <c r="C748" s="2">
        <v>4625563.0</v>
      </c>
      <c r="D748" s="2">
        <v>83.8926</v>
      </c>
    </row>
    <row r="749">
      <c r="A749" s="4">
        <v>45128.0</v>
      </c>
      <c r="B749" s="2">
        <v>1376643.0</v>
      </c>
      <c r="C749" s="2">
        <v>4624263.0</v>
      </c>
      <c r="D749" s="2">
        <v>61.1245</v>
      </c>
    </row>
    <row r="750">
      <c r="A750" s="4">
        <v>44873.0</v>
      </c>
      <c r="B750" s="2">
        <v>1447083.0</v>
      </c>
      <c r="C750" s="2">
        <v>3927235.0</v>
      </c>
      <c r="D750" s="2">
        <v>143.491599999999</v>
      </c>
    </row>
    <row r="751">
      <c r="A751" s="4">
        <v>44873.0</v>
      </c>
      <c r="B751" s="2">
        <v>1237893.0</v>
      </c>
      <c r="C751" s="2">
        <v>3928077.0</v>
      </c>
      <c r="D751" s="2">
        <v>72.711</v>
      </c>
    </row>
    <row r="752">
      <c r="A752" s="4">
        <v>44873.0</v>
      </c>
      <c r="B752" s="2">
        <v>1278843.0</v>
      </c>
      <c r="C752" s="2">
        <v>3927712.0</v>
      </c>
      <c r="D752" s="2">
        <v>22.1582999999999</v>
      </c>
    </row>
    <row r="753">
      <c r="A753" s="4">
        <v>44873.0</v>
      </c>
      <c r="B753" s="2">
        <v>1291233.0</v>
      </c>
      <c r="C753" s="2">
        <v>3926911.0</v>
      </c>
      <c r="D753" s="2">
        <v>114.1033</v>
      </c>
    </row>
    <row r="754">
      <c r="A754" s="4">
        <v>45129.0</v>
      </c>
      <c r="B754" s="2">
        <v>1630293.0</v>
      </c>
      <c r="C754" s="2">
        <v>4626820.0</v>
      </c>
      <c r="D754" s="2">
        <v>10.2771</v>
      </c>
    </row>
    <row r="755">
      <c r="A755" s="4">
        <v>45129.0</v>
      </c>
      <c r="B755" s="2">
        <v>1251393.0</v>
      </c>
      <c r="C755" s="2">
        <v>4625846.0</v>
      </c>
      <c r="D755" s="2">
        <v>52.2485999999999</v>
      </c>
    </row>
    <row r="756">
      <c r="A756" s="4">
        <v>45129.0</v>
      </c>
      <c r="B756" s="2">
        <v>1478673.0</v>
      </c>
      <c r="C756" s="2">
        <v>4627909.0</v>
      </c>
      <c r="D756" s="2">
        <v>194.8039</v>
      </c>
    </row>
    <row r="757">
      <c r="A757" s="4">
        <v>45129.0</v>
      </c>
      <c r="B757" s="2">
        <v>1030023.0</v>
      </c>
      <c r="C757" s="2">
        <v>4626045.0</v>
      </c>
      <c r="D757" s="2">
        <v>113.334299999999</v>
      </c>
    </row>
    <row r="758">
      <c r="A758" s="4">
        <v>45129.0</v>
      </c>
      <c r="B758" s="2">
        <v>1630083.0</v>
      </c>
      <c r="C758" s="2">
        <v>4626084.0</v>
      </c>
      <c r="D758" s="2">
        <v>146.6593</v>
      </c>
    </row>
    <row r="759">
      <c r="A759" s="4">
        <v>45129.0</v>
      </c>
      <c r="B759" s="2">
        <v>1426383.0</v>
      </c>
      <c r="C759" s="2">
        <v>4627473.0</v>
      </c>
      <c r="D759" s="2">
        <v>73.4802</v>
      </c>
    </row>
    <row r="760">
      <c r="A760" s="4">
        <v>45129.0</v>
      </c>
      <c r="B760" s="2">
        <v>1630473.0</v>
      </c>
      <c r="C760" s="2">
        <v>4627613.0</v>
      </c>
      <c r="D760" s="2">
        <v>13.7482</v>
      </c>
    </row>
    <row r="761">
      <c r="A761" s="4">
        <v>45129.0</v>
      </c>
      <c r="B761" s="2">
        <v>1441833.0</v>
      </c>
      <c r="C761" s="2">
        <v>4627701.0</v>
      </c>
      <c r="D761" s="2">
        <v>54.7469</v>
      </c>
    </row>
    <row r="762">
      <c r="A762" s="4">
        <v>45129.0</v>
      </c>
      <c r="B762" s="2">
        <v>1381683.0</v>
      </c>
      <c r="C762" s="2">
        <v>4626619.0</v>
      </c>
      <c r="D762" s="2">
        <v>16.6074</v>
      </c>
    </row>
    <row r="763">
      <c r="A763" s="4">
        <v>45129.0</v>
      </c>
      <c r="B763" s="2">
        <v>1630143.0</v>
      </c>
      <c r="C763" s="2">
        <v>4626304.0</v>
      </c>
      <c r="D763" s="2">
        <v>18.282</v>
      </c>
    </row>
    <row r="764">
      <c r="A764" s="4">
        <v>45129.0</v>
      </c>
      <c r="B764" s="2">
        <v>1612473.0</v>
      </c>
      <c r="C764" s="2">
        <v>4626314.0</v>
      </c>
      <c r="D764" s="2">
        <v>25.0069999999999</v>
      </c>
    </row>
    <row r="765">
      <c r="A765" s="4">
        <v>45129.0</v>
      </c>
      <c r="B765" s="2">
        <v>1195233.0</v>
      </c>
      <c r="C765" s="2">
        <v>4626222.0</v>
      </c>
      <c r="D765" s="2">
        <v>60.1779</v>
      </c>
    </row>
    <row r="766">
      <c r="A766" s="4">
        <v>44874.0</v>
      </c>
      <c r="B766" s="2">
        <v>1244073.0</v>
      </c>
      <c r="C766" s="2">
        <v>3929850.0</v>
      </c>
      <c r="D766" s="2">
        <v>76.5213</v>
      </c>
    </row>
    <row r="767">
      <c r="A767" s="4">
        <v>44874.0</v>
      </c>
      <c r="B767" s="2">
        <v>1447983.0</v>
      </c>
      <c r="C767" s="2">
        <v>3930851.0</v>
      </c>
      <c r="D767" s="2">
        <v>69.4036</v>
      </c>
    </row>
    <row r="768">
      <c r="A768" s="4">
        <v>44874.0</v>
      </c>
      <c r="B768" s="2">
        <v>1345623.0</v>
      </c>
      <c r="C768" s="2">
        <v>3931499.0</v>
      </c>
      <c r="D768" s="2">
        <v>19.9166</v>
      </c>
    </row>
    <row r="769">
      <c r="A769" s="4">
        <v>44874.0</v>
      </c>
      <c r="B769" s="2">
        <v>1170063.0</v>
      </c>
      <c r="C769" s="2">
        <v>3931255.0</v>
      </c>
      <c r="D769" s="2">
        <v>67.65</v>
      </c>
    </row>
    <row r="770">
      <c r="A770" s="4">
        <v>45130.0</v>
      </c>
      <c r="B770" s="2">
        <v>1630743.0</v>
      </c>
      <c r="C770" s="2">
        <v>4628882.0</v>
      </c>
      <c r="D770" s="2">
        <v>53.5333</v>
      </c>
    </row>
    <row r="771">
      <c r="A771" s="4">
        <v>45130.0</v>
      </c>
      <c r="B771" s="2">
        <v>1204983.0</v>
      </c>
      <c r="C771" s="2">
        <v>4630820.0</v>
      </c>
      <c r="D771" s="2">
        <v>65.6536</v>
      </c>
    </row>
    <row r="772">
      <c r="A772" s="4">
        <v>45130.0</v>
      </c>
      <c r="B772" s="2">
        <v>1368123.0</v>
      </c>
      <c r="C772" s="2">
        <v>4630128.0</v>
      </c>
      <c r="D772" s="2">
        <v>50.7429</v>
      </c>
    </row>
    <row r="773">
      <c r="A773" s="4">
        <v>45130.0</v>
      </c>
      <c r="B773" s="2">
        <v>358443.0</v>
      </c>
      <c r="C773" s="2">
        <v>4630596.0</v>
      </c>
      <c r="D773" s="2">
        <v>163.0961</v>
      </c>
    </row>
    <row r="774">
      <c r="A774" s="4">
        <v>45130.0</v>
      </c>
      <c r="B774" s="2">
        <v>1505163.0</v>
      </c>
      <c r="C774" s="2">
        <v>4629481.0</v>
      </c>
      <c r="D774" s="2">
        <v>93.4596</v>
      </c>
    </row>
    <row r="775">
      <c r="A775" s="4">
        <v>44875.0</v>
      </c>
      <c r="B775" s="2">
        <v>1174743.0</v>
      </c>
      <c r="C775" s="2">
        <v>3932039.0</v>
      </c>
      <c r="D775" s="2">
        <v>67.4371999999999</v>
      </c>
    </row>
    <row r="776">
      <c r="A776" s="4">
        <v>44875.0</v>
      </c>
      <c r="B776" s="2">
        <v>1162143.0</v>
      </c>
      <c r="C776" s="2">
        <v>3931979.0</v>
      </c>
      <c r="D776" s="2">
        <v>129.9778</v>
      </c>
    </row>
    <row r="777">
      <c r="A777" s="4">
        <v>44875.0</v>
      </c>
      <c r="B777" s="2">
        <v>1236333.0</v>
      </c>
      <c r="C777" s="2">
        <v>3932140.0</v>
      </c>
      <c r="D777" s="2">
        <v>81.6552</v>
      </c>
    </row>
    <row r="778">
      <c r="A778" s="4">
        <v>44875.0</v>
      </c>
      <c r="B778" s="2">
        <v>1448643.0</v>
      </c>
      <c r="C778" s="2">
        <v>3933229.0</v>
      </c>
      <c r="D778" s="2">
        <v>72.5123</v>
      </c>
    </row>
    <row r="779">
      <c r="A779" s="4">
        <v>44875.0</v>
      </c>
      <c r="B779" s="2">
        <v>1127043.0</v>
      </c>
      <c r="C779" s="2">
        <v>3932373.0</v>
      </c>
      <c r="D779" s="2">
        <v>64.0311</v>
      </c>
    </row>
    <row r="780">
      <c r="A780" s="4">
        <v>45131.0</v>
      </c>
      <c r="B780" s="2">
        <v>1478823.0</v>
      </c>
      <c r="C780" s="2">
        <v>4633177.0</v>
      </c>
      <c r="D780" s="2">
        <v>71.2666</v>
      </c>
    </row>
    <row r="781">
      <c r="A781" s="4">
        <v>45131.0</v>
      </c>
      <c r="B781" s="2">
        <v>1624143.0</v>
      </c>
      <c r="C781" s="2">
        <v>4632411.0</v>
      </c>
      <c r="D781" s="2">
        <v>574.375</v>
      </c>
    </row>
    <row r="782">
      <c r="A782" s="4">
        <v>45131.0</v>
      </c>
      <c r="B782" s="2">
        <v>1629573.0</v>
      </c>
      <c r="C782" s="2">
        <v>4632684.0</v>
      </c>
      <c r="D782" s="2">
        <v>199.6083</v>
      </c>
    </row>
    <row r="783">
      <c r="A783" s="4">
        <v>45131.0</v>
      </c>
      <c r="B783" s="2">
        <v>1345623.0</v>
      </c>
      <c r="C783" s="2">
        <v>4633107.0</v>
      </c>
      <c r="D783" s="2">
        <v>71.126</v>
      </c>
    </row>
    <row r="784">
      <c r="A784" s="4">
        <v>45131.0</v>
      </c>
      <c r="B784" s="2">
        <v>1592163.0</v>
      </c>
      <c r="C784" s="2">
        <v>4632588.0</v>
      </c>
      <c r="D784" s="2">
        <v>60.1097999999999</v>
      </c>
    </row>
    <row r="785">
      <c r="A785" s="4">
        <v>45131.0</v>
      </c>
      <c r="B785" s="2">
        <v>221733.0</v>
      </c>
      <c r="C785" s="2">
        <v>4631817.0</v>
      </c>
      <c r="D785" s="2">
        <v>88.2702999999999</v>
      </c>
    </row>
    <row r="786">
      <c r="A786" s="4">
        <v>45131.0</v>
      </c>
      <c r="B786" s="2">
        <v>1607913.0</v>
      </c>
      <c r="C786" s="2">
        <v>4633482.0</v>
      </c>
      <c r="D786" s="2">
        <v>99.7245</v>
      </c>
    </row>
    <row r="787">
      <c r="A787" s="4">
        <v>44876.0</v>
      </c>
      <c r="B787" s="2">
        <v>257913.0</v>
      </c>
      <c r="C787" s="2">
        <v>3934957.0</v>
      </c>
      <c r="D787" s="2">
        <v>80.8978999999999</v>
      </c>
    </row>
    <row r="788">
      <c r="A788" s="4">
        <v>44876.0</v>
      </c>
      <c r="B788" s="2">
        <v>1167393.0</v>
      </c>
      <c r="C788" s="2">
        <v>3934391.0</v>
      </c>
      <c r="D788" s="2">
        <v>32.6579</v>
      </c>
    </row>
    <row r="789">
      <c r="A789" s="4">
        <v>44876.0</v>
      </c>
      <c r="B789" s="2">
        <v>1448823.0</v>
      </c>
      <c r="C789" s="2">
        <v>3933745.0</v>
      </c>
      <c r="D789" s="2">
        <v>39.4417</v>
      </c>
    </row>
    <row r="790">
      <c r="A790" s="4">
        <v>44876.0</v>
      </c>
      <c r="B790" s="2">
        <v>1165353.0</v>
      </c>
      <c r="C790" s="2">
        <v>3934837.0</v>
      </c>
      <c r="D790" s="2">
        <v>85.1386</v>
      </c>
    </row>
    <row r="791">
      <c r="A791" s="4">
        <v>44876.0</v>
      </c>
      <c r="B791" s="2">
        <v>1184643.0</v>
      </c>
      <c r="C791" s="2">
        <v>3935926.0</v>
      </c>
      <c r="D791" s="2">
        <v>192.8574</v>
      </c>
    </row>
    <row r="792">
      <c r="A792" s="4">
        <v>45132.0</v>
      </c>
      <c r="B792" s="2">
        <v>1184643.0</v>
      </c>
      <c r="C792" s="2">
        <v>4636324.0</v>
      </c>
      <c r="D792" s="2">
        <v>149.4685</v>
      </c>
    </row>
    <row r="793">
      <c r="A793" s="4">
        <v>45132.0</v>
      </c>
      <c r="B793" s="2">
        <v>1632033.0</v>
      </c>
      <c r="C793" s="2">
        <v>4634441.0</v>
      </c>
      <c r="D793" s="2">
        <v>49.335</v>
      </c>
    </row>
    <row r="794">
      <c r="A794" s="4">
        <v>45132.0</v>
      </c>
      <c r="B794" s="2">
        <v>1632333.0</v>
      </c>
      <c r="C794" s="2">
        <v>4635761.0</v>
      </c>
      <c r="D794" s="2">
        <v>62.2333</v>
      </c>
    </row>
    <row r="795">
      <c r="A795" s="4">
        <v>44877.0</v>
      </c>
      <c r="B795" s="2">
        <v>1449633.0</v>
      </c>
      <c r="C795" s="2">
        <v>3936376.0</v>
      </c>
      <c r="D795" s="2">
        <v>63.275</v>
      </c>
    </row>
    <row r="796">
      <c r="A796" s="4">
        <v>44877.0</v>
      </c>
      <c r="B796" s="2">
        <v>1238253.0</v>
      </c>
      <c r="C796" s="2">
        <v>3936175.0</v>
      </c>
      <c r="D796" s="2">
        <v>16.4076</v>
      </c>
    </row>
    <row r="797">
      <c r="A797" s="4">
        <v>44877.0</v>
      </c>
      <c r="B797" s="2">
        <v>1450413.0</v>
      </c>
      <c r="C797" s="2">
        <v>3939290.0</v>
      </c>
      <c r="D797" s="2">
        <v>34.5029</v>
      </c>
    </row>
    <row r="798">
      <c r="A798" s="4">
        <v>44877.0</v>
      </c>
      <c r="B798" s="2">
        <v>1159653.0</v>
      </c>
      <c r="C798" s="2">
        <v>3938531.0</v>
      </c>
      <c r="D798" s="2">
        <v>97.0322</v>
      </c>
    </row>
    <row r="799">
      <c r="A799" s="4">
        <v>44877.0</v>
      </c>
      <c r="B799" s="2">
        <v>1358253.0</v>
      </c>
      <c r="C799" s="2">
        <v>3939314.0</v>
      </c>
      <c r="D799" s="2">
        <v>16.8083</v>
      </c>
    </row>
    <row r="800">
      <c r="A800" s="4">
        <v>44877.0</v>
      </c>
      <c r="B800" s="2">
        <v>1128333.0</v>
      </c>
      <c r="C800" s="2">
        <v>3939047.0</v>
      </c>
      <c r="D800" s="2">
        <v>49.6833</v>
      </c>
    </row>
    <row r="801">
      <c r="A801" s="4">
        <v>45133.0</v>
      </c>
      <c r="B801" s="2">
        <v>1404303.0</v>
      </c>
      <c r="C801" s="2">
        <v>4638752.0</v>
      </c>
      <c r="D801" s="2">
        <v>11.349</v>
      </c>
    </row>
    <row r="802">
      <c r="A802" s="4">
        <v>45133.0</v>
      </c>
      <c r="B802" s="2">
        <v>1513473.0</v>
      </c>
      <c r="C802" s="2">
        <v>4637647.0</v>
      </c>
      <c r="D802" s="2">
        <v>95.3627</v>
      </c>
    </row>
    <row r="803">
      <c r="A803" s="4">
        <v>45133.0</v>
      </c>
      <c r="B803" s="2">
        <v>1349433.0</v>
      </c>
      <c r="C803" s="2">
        <v>4637953.0</v>
      </c>
      <c r="D803" s="2">
        <v>77.4003</v>
      </c>
    </row>
    <row r="804">
      <c r="A804" s="4">
        <v>45133.0</v>
      </c>
      <c r="B804" s="2">
        <v>1533183.0</v>
      </c>
      <c r="C804" s="2">
        <v>4638263.0</v>
      </c>
      <c r="D804" s="2">
        <v>45.7228</v>
      </c>
    </row>
    <row r="805">
      <c r="A805" s="4">
        <v>45133.0</v>
      </c>
      <c r="B805" s="2">
        <v>1332093.0</v>
      </c>
      <c r="C805" s="2">
        <v>4638923.0</v>
      </c>
      <c r="D805" s="2">
        <v>37.422</v>
      </c>
    </row>
    <row r="806">
      <c r="A806" s="4">
        <v>45133.0</v>
      </c>
      <c r="B806" s="2">
        <v>1262733.0</v>
      </c>
      <c r="C806" s="2">
        <v>4636545.0</v>
      </c>
      <c r="D806" s="2">
        <v>183.5677</v>
      </c>
    </row>
    <row r="807">
      <c r="A807" s="4">
        <v>44878.0</v>
      </c>
      <c r="B807" s="2">
        <v>1450893.0</v>
      </c>
      <c r="C807" s="2">
        <v>3941318.0</v>
      </c>
      <c r="D807" s="2">
        <v>21.6399</v>
      </c>
    </row>
    <row r="808">
      <c r="A808" s="4">
        <v>44878.0</v>
      </c>
      <c r="B808" s="2">
        <v>1450263.0</v>
      </c>
      <c r="C808" s="2">
        <v>3940809.0</v>
      </c>
      <c r="D808" s="2">
        <v>84.6388</v>
      </c>
    </row>
    <row r="809">
      <c r="A809" s="4">
        <v>44878.0</v>
      </c>
      <c r="B809" s="2">
        <v>1450893.0</v>
      </c>
      <c r="C809" s="2">
        <v>3941277.0</v>
      </c>
      <c r="D809" s="2">
        <v>75.042</v>
      </c>
    </row>
    <row r="810">
      <c r="A810" s="4">
        <v>44878.0</v>
      </c>
      <c r="B810" s="2">
        <v>1404093.0</v>
      </c>
      <c r="C810" s="2">
        <v>3942550.0</v>
      </c>
      <c r="D810" s="2">
        <v>75.5393</v>
      </c>
    </row>
    <row r="811">
      <c r="A811" s="4">
        <v>44878.0</v>
      </c>
      <c r="B811" s="2">
        <v>1407333.0</v>
      </c>
      <c r="C811" s="2">
        <v>3941062.0</v>
      </c>
      <c r="D811" s="2">
        <v>120.1525</v>
      </c>
    </row>
    <row r="812">
      <c r="A812" s="4">
        <v>44878.0</v>
      </c>
      <c r="B812" s="2">
        <v>1450683.0</v>
      </c>
      <c r="C812" s="2">
        <v>3940360.0</v>
      </c>
      <c r="D812" s="2">
        <v>16.6425</v>
      </c>
    </row>
    <row r="813">
      <c r="A813" s="4">
        <v>44878.0</v>
      </c>
      <c r="B813" s="2">
        <v>1040313.0</v>
      </c>
      <c r="C813" s="2">
        <v>3940758.0</v>
      </c>
      <c r="D813" s="2">
        <v>139.083299999999</v>
      </c>
    </row>
    <row r="814">
      <c r="A814" s="4">
        <v>44878.0</v>
      </c>
      <c r="B814" s="2">
        <v>1416303.0</v>
      </c>
      <c r="C814" s="2">
        <v>3939403.0</v>
      </c>
      <c r="D814" s="2">
        <v>42.537</v>
      </c>
    </row>
    <row r="815">
      <c r="A815" s="4">
        <v>44878.0</v>
      </c>
      <c r="B815" s="2">
        <v>1321473.0</v>
      </c>
      <c r="C815" s="2">
        <v>3942422.0</v>
      </c>
      <c r="D815" s="2">
        <v>9.384</v>
      </c>
    </row>
    <row r="816">
      <c r="A816" s="4">
        <v>44878.0</v>
      </c>
      <c r="B816" s="2">
        <v>1450503.0</v>
      </c>
      <c r="C816" s="2">
        <v>3939677.0</v>
      </c>
      <c r="D816" s="2">
        <v>96.6791</v>
      </c>
    </row>
    <row r="817">
      <c r="A817" s="4">
        <v>44878.0</v>
      </c>
      <c r="B817" s="2">
        <v>1450953.0</v>
      </c>
      <c r="C817" s="2">
        <v>3941345.0</v>
      </c>
      <c r="D817" s="2">
        <v>33.5209</v>
      </c>
    </row>
    <row r="818">
      <c r="A818" s="4">
        <v>44878.0</v>
      </c>
      <c r="B818" s="2">
        <v>1450713.0</v>
      </c>
      <c r="C818" s="2">
        <v>3940449.0</v>
      </c>
      <c r="D818" s="2">
        <v>20.825</v>
      </c>
    </row>
    <row r="819">
      <c r="A819" s="4">
        <v>44878.0</v>
      </c>
      <c r="B819" s="2">
        <v>1151013.0</v>
      </c>
      <c r="C819" s="2">
        <v>3939918.0</v>
      </c>
      <c r="D819" s="2">
        <v>141.214099999999</v>
      </c>
    </row>
    <row r="820">
      <c r="A820" s="4">
        <v>45134.0</v>
      </c>
      <c r="B820" s="2">
        <v>1179843.0</v>
      </c>
      <c r="C820" s="2">
        <v>4640346.0</v>
      </c>
      <c r="D820" s="2">
        <v>30.7853</v>
      </c>
    </row>
    <row r="821">
      <c r="A821" s="4">
        <v>45134.0</v>
      </c>
      <c r="B821" s="2">
        <v>1631193.0</v>
      </c>
      <c r="C821" s="2">
        <v>4640838.0</v>
      </c>
      <c r="D821" s="2">
        <v>143.9825</v>
      </c>
    </row>
    <row r="822">
      <c r="A822" s="4">
        <v>44879.0</v>
      </c>
      <c r="B822" s="2">
        <v>231843.0</v>
      </c>
      <c r="C822" s="2">
        <v>3943505.0</v>
      </c>
      <c r="D822" s="2">
        <v>55.7078</v>
      </c>
    </row>
    <row r="823">
      <c r="A823" s="4">
        <v>44879.0</v>
      </c>
      <c r="B823" s="2">
        <v>1312893.0</v>
      </c>
      <c r="C823" s="2">
        <v>3942875.0</v>
      </c>
      <c r="D823" s="2">
        <v>86.3066</v>
      </c>
    </row>
    <row r="824">
      <c r="A824" s="4">
        <v>44879.0</v>
      </c>
      <c r="B824" s="2">
        <v>1238283.0</v>
      </c>
      <c r="C824" s="2">
        <v>3943609.0</v>
      </c>
      <c r="D824" s="2">
        <v>17.4167</v>
      </c>
    </row>
    <row r="825">
      <c r="A825" s="4">
        <v>44879.0</v>
      </c>
      <c r="B825" s="2">
        <v>1451553.0</v>
      </c>
      <c r="C825" s="2">
        <v>3943849.0</v>
      </c>
      <c r="D825" s="2">
        <v>43.6764</v>
      </c>
    </row>
    <row r="826">
      <c r="A826" s="4">
        <v>44879.0</v>
      </c>
      <c r="B826" s="2">
        <v>1451793.0</v>
      </c>
      <c r="C826" s="2">
        <v>3944656.0</v>
      </c>
      <c r="D826" s="2">
        <v>20.6666</v>
      </c>
    </row>
    <row r="827">
      <c r="A827" s="4">
        <v>44879.0</v>
      </c>
      <c r="B827" s="2">
        <v>1438953.0</v>
      </c>
      <c r="C827" s="2">
        <v>3945210.0</v>
      </c>
      <c r="D827" s="2">
        <v>41.1333999999999</v>
      </c>
    </row>
    <row r="828">
      <c r="A828" s="4">
        <v>45135.0</v>
      </c>
      <c r="B828" s="2">
        <v>1578423.0</v>
      </c>
      <c r="C828" s="2">
        <v>4642619.0</v>
      </c>
      <c r="D828" s="2">
        <v>87.4668</v>
      </c>
    </row>
    <row r="829">
      <c r="A829" s="4">
        <v>45135.0</v>
      </c>
      <c r="B829" s="2">
        <v>1344573.0</v>
      </c>
      <c r="C829" s="2">
        <v>4643030.0</v>
      </c>
      <c r="D829" s="2">
        <v>99.042</v>
      </c>
    </row>
    <row r="830">
      <c r="A830" s="4">
        <v>44880.0</v>
      </c>
      <c r="B830" s="2">
        <v>1452273.0</v>
      </c>
      <c r="C830" s="2">
        <v>3946479.0</v>
      </c>
      <c r="D830" s="2">
        <v>41.3336</v>
      </c>
    </row>
    <row r="831">
      <c r="A831" s="4">
        <v>44880.0</v>
      </c>
      <c r="B831" s="2">
        <v>1039983.0</v>
      </c>
      <c r="C831" s="2">
        <v>3946319.0</v>
      </c>
      <c r="D831" s="2">
        <v>18.8091</v>
      </c>
    </row>
    <row r="832">
      <c r="A832" s="4">
        <v>44880.0</v>
      </c>
      <c r="B832" s="2">
        <v>221733.0</v>
      </c>
      <c r="C832" s="2">
        <v>3945668.0</v>
      </c>
      <c r="D832" s="2">
        <v>516.2565</v>
      </c>
    </row>
    <row r="833">
      <c r="A833" s="4">
        <v>44880.0</v>
      </c>
      <c r="B833" s="2">
        <v>1452153.0</v>
      </c>
      <c r="C833" s="2">
        <v>3946039.0</v>
      </c>
      <c r="D833" s="2">
        <v>31.1666</v>
      </c>
    </row>
    <row r="834">
      <c r="A834" s="4">
        <v>44880.0</v>
      </c>
      <c r="B834" s="2">
        <v>1287393.0</v>
      </c>
      <c r="C834" s="2">
        <v>3947535.0</v>
      </c>
      <c r="D834" s="2">
        <v>74.679</v>
      </c>
    </row>
    <row r="835">
      <c r="A835" s="4">
        <v>44880.0</v>
      </c>
      <c r="B835" s="2">
        <v>217743.0</v>
      </c>
      <c r="C835" s="2">
        <v>3947239.0</v>
      </c>
      <c r="D835" s="2">
        <v>141.9655</v>
      </c>
    </row>
    <row r="836">
      <c r="A836" s="4">
        <v>44880.0</v>
      </c>
      <c r="B836" s="2">
        <v>186663.0</v>
      </c>
      <c r="C836" s="2">
        <v>3946564.0</v>
      </c>
      <c r="D836" s="2">
        <v>90.0663</v>
      </c>
    </row>
    <row r="837">
      <c r="A837" s="4">
        <v>44880.0</v>
      </c>
      <c r="B837" s="2">
        <v>1452693.0</v>
      </c>
      <c r="C837" s="2">
        <v>3947827.0</v>
      </c>
      <c r="D837" s="2">
        <v>51.225</v>
      </c>
    </row>
    <row r="838">
      <c r="A838" s="4">
        <v>44880.0</v>
      </c>
      <c r="B838" s="2">
        <v>1063383.0</v>
      </c>
      <c r="C838" s="2">
        <v>3946210.0</v>
      </c>
      <c r="D838" s="2">
        <v>48.3767</v>
      </c>
    </row>
    <row r="839">
      <c r="A839" s="4">
        <v>44880.0</v>
      </c>
      <c r="B839" s="2">
        <v>91623.0</v>
      </c>
      <c r="C839" s="2">
        <v>3945611.0</v>
      </c>
      <c r="D839" s="2">
        <v>38.9832</v>
      </c>
    </row>
    <row r="840">
      <c r="A840" s="4">
        <v>44880.0</v>
      </c>
      <c r="B840" s="2">
        <v>474633.0</v>
      </c>
      <c r="C840" s="2">
        <v>3947384.0</v>
      </c>
      <c r="D840" s="2">
        <v>70.8438</v>
      </c>
    </row>
    <row r="841">
      <c r="A841" s="4">
        <v>44880.0</v>
      </c>
      <c r="B841" s="2">
        <v>1452093.0</v>
      </c>
      <c r="C841" s="2">
        <v>3945831.0</v>
      </c>
      <c r="D841" s="2">
        <v>10.35</v>
      </c>
    </row>
    <row r="842">
      <c r="A842" s="4">
        <v>44880.0</v>
      </c>
      <c r="B842" s="2">
        <v>1452573.0</v>
      </c>
      <c r="C842" s="2">
        <v>3947444.0</v>
      </c>
      <c r="D842" s="2">
        <v>36.52</v>
      </c>
    </row>
    <row r="843">
      <c r="A843" s="4">
        <v>45136.0</v>
      </c>
      <c r="B843" s="2">
        <v>1089273.0</v>
      </c>
      <c r="C843" s="2">
        <v>4643620.0</v>
      </c>
      <c r="D843" s="2">
        <v>47.3204999999999</v>
      </c>
    </row>
    <row r="844">
      <c r="A844" s="4">
        <v>45136.0</v>
      </c>
      <c r="B844" s="2">
        <v>228423.0</v>
      </c>
      <c r="C844" s="2">
        <v>4644082.0</v>
      </c>
      <c r="D844" s="2">
        <v>12.4167</v>
      </c>
    </row>
    <row r="845">
      <c r="A845" s="4">
        <v>45136.0</v>
      </c>
      <c r="B845" s="2">
        <v>1223523.0</v>
      </c>
      <c r="C845" s="2">
        <v>4645657.0</v>
      </c>
      <c r="D845" s="2">
        <v>132.1654</v>
      </c>
    </row>
    <row r="846">
      <c r="A846" s="4">
        <v>45136.0</v>
      </c>
      <c r="B846" s="2">
        <v>1634223.0</v>
      </c>
      <c r="C846" s="2">
        <v>4643629.0</v>
      </c>
      <c r="D846" s="2">
        <v>22.8528</v>
      </c>
    </row>
    <row r="847">
      <c r="A847" s="4">
        <v>45136.0</v>
      </c>
      <c r="B847" s="2">
        <v>1528353.0</v>
      </c>
      <c r="C847" s="2">
        <v>4643407.0</v>
      </c>
      <c r="D847" s="2">
        <v>175.5208</v>
      </c>
    </row>
    <row r="848">
      <c r="A848" s="4">
        <v>45136.0</v>
      </c>
      <c r="B848" s="2">
        <v>120693.0</v>
      </c>
      <c r="C848" s="2">
        <v>4645653.0</v>
      </c>
      <c r="D848" s="2">
        <v>18.9479</v>
      </c>
    </row>
    <row r="849">
      <c r="A849" s="4">
        <v>45136.0</v>
      </c>
      <c r="B849" s="2">
        <v>1440333.0</v>
      </c>
      <c r="C849" s="2">
        <v>4643338.0</v>
      </c>
      <c r="D849" s="2">
        <v>68.1517</v>
      </c>
    </row>
    <row r="850">
      <c r="A850" s="4">
        <v>45136.0</v>
      </c>
      <c r="B850" s="2">
        <v>1496013.0</v>
      </c>
      <c r="C850" s="2">
        <v>4643539.0</v>
      </c>
      <c r="D850" s="2">
        <v>87.2363999999999</v>
      </c>
    </row>
    <row r="851">
      <c r="A851" s="4">
        <v>45136.0</v>
      </c>
      <c r="B851" s="2">
        <v>1604373.0</v>
      </c>
      <c r="C851" s="2">
        <v>4645078.0</v>
      </c>
      <c r="D851" s="2">
        <v>57.3161999999999</v>
      </c>
    </row>
    <row r="852">
      <c r="A852" s="4">
        <v>44881.0</v>
      </c>
      <c r="B852" s="2">
        <v>1183563.0</v>
      </c>
      <c r="C852" s="2">
        <v>3950306.0</v>
      </c>
      <c r="D852" s="2">
        <v>67.1943</v>
      </c>
    </row>
    <row r="853">
      <c r="A853" s="4">
        <v>44881.0</v>
      </c>
      <c r="B853" s="2">
        <v>231213.0</v>
      </c>
      <c r="C853" s="2">
        <v>3948223.0</v>
      </c>
      <c r="D853" s="2">
        <v>152.8229</v>
      </c>
    </row>
    <row r="854">
      <c r="A854" s="4">
        <v>44881.0</v>
      </c>
      <c r="B854" s="2">
        <v>1452873.0</v>
      </c>
      <c r="C854" s="2">
        <v>3948614.0</v>
      </c>
      <c r="D854" s="2">
        <v>119.25</v>
      </c>
    </row>
    <row r="855">
      <c r="A855" s="4">
        <v>45137.0</v>
      </c>
      <c r="B855" s="2">
        <v>1533513.0</v>
      </c>
      <c r="C855" s="2">
        <v>4648256.0</v>
      </c>
      <c r="D855" s="2">
        <v>89.9096</v>
      </c>
    </row>
    <row r="856">
      <c r="A856" s="4">
        <v>45137.0</v>
      </c>
      <c r="B856" s="2">
        <v>228423.0</v>
      </c>
      <c r="C856" s="2">
        <v>4647365.0</v>
      </c>
      <c r="D856" s="2">
        <v>181.7397</v>
      </c>
    </row>
    <row r="857">
      <c r="A857" s="4">
        <v>45137.0</v>
      </c>
      <c r="B857" s="2">
        <v>1635123.0</v>
      </c>
      <c r="C857" s="2">
        <v>4647633.0</v>
      </c>
      <c r="D857" s="2">
        <v>7.92</v>
      </c>
    </row>
    <row r="858">
      <c r="A858" s="4">
        <v>45137.0</v>
      </c>
      <c r="B858" s="2">
        <v>1041153.0</v>
      </c>
      <c r="C858" s="2">
        <v>4645929.0</v>
      </c>
      <c r="D858" s="2">
        <v>59.2523</v>
      </c>
    </row>
    <row r="859">
      <c r="A859" s="4">
        <v>45137.0</v>
      </c>
      <c r="B859" s="2">
        <v>1382673.0</v>
      </c>
      <c r="C859" s="2">
        <v>4648243.0</v>
      </c>
      <c r="D859" s="2">
        <v>235.8061</v>
      </c>
    </row>
    <row r="860">
      <c r="A860" s="4">
        <v>45137.0</v>
      </c>
      <c r="B860" s="2">
        <v>1455873.0</v>
      </c>
      <c r="C860" s="2">
        <v>4647438.0</v>
      </c>
      <c r="D860" s="2">
        <v>70.52</v>
      </c>
    </row>
    <row r="861">
      <c r="A861" s="4">
        <v>45137.0</v>
      </c>
      <c r="B861" s="2">
        <v>1387113.0</v>
      </c>
      <c r="C861" s="2">
        <v>4648550.0</v>
      </c>
      <c r="D861" s="2">
        <v>305.3477</v>
      </c>
    </row>
    <row r="862">
      <c r="A862" s="4">
        <v>45137.0</v>
      </c>
      <c r="B862" s="2">
        <v>423153.0</v>
      </c>
      <c r="C862" s="2">
        <v>4646151.0</v>
      </c>
      <c r="D862" s="2">
        <v>100.9951</v>
      </c>
    </row>
    <row r="863">
      <c r="A863" s="4">
        <v>45137.0</v>
      </c>
      <c r="B863" s="2">
        <v>1149063.0</v>
      </c>
      <c r="C863" s="2">
        <v>4647479.0</v>
      </c>
      <c r="D863" s="2">
        <v>105.7982</v>
      </c>
    </row>
    <row r="864">
      <c r="A864" s="4">
        <v>45137.0</v>
      </c>
      <c r="B864" s="2">
        <v>1407573.0</v>
      </c>
      <c r="C864" s="2">
        <v>4648215.0</v>
      </c>
      <c r="D864" s="2">
        <v>41.6843</v>
      </c>
    </row>
    <row r="865">
      <c r="A865" s="4">
        <v>45137.0</v>
      </c>
      <c r="B865" s="2">
        <v>1627473.0</v>
      </c>
      <c r="C865" s="2">
        <v>4647257.0</v>
      </c>
      <c r="D865" s="2">
        <v>70.8372</v>
      </c>
    </row>
    <row r="866">
      <c r="A866" s="4">
        <v>45137.0</v>
      </c>
      <c r="B866" s="2">
        <v>1635153.0</v>
      </c>
      <c r="C866" s="2">
        <v>4647731.0</v>
      </c>
      <c r="D866" s="2">
        <v>29.902</v>
      </c>
    </row>
    <row r="867">
      <c r="A867" s="4">
        <v>45137.0</v>
      </c>
      <c r="B867" s="2">
        <v>1351803.0</v>
      </c>
      <c r="C867" s="2">
        <v>4645940.0</v>
      </c>
      <c r="D867" s="2">
        <v>42.5922</v>
      </c>
    </row>
    <row r="868">
      <c r="A868" s="4">
        <v>45137.0</v>
      </c>
      <c r="B868" s="2">
        <v>1635003.0</v>
      </c>
      <c r="C868" s="2">
        <v>4647114.0</v>
      </c>
      <c r="D868" s="2">
        <v>56.8443</v>
      </c>
    </row>
    <row r="869">
      <c r="A869" s="4">
        <v>45137.0</v>
      </c>
      <c r="B869" s="2">
        <v>1634943.0</v>
      </c>
      <c r="C869" s="2">
        <v>4646799.0</v>
      </c>
      <c r="D869" s="2">
        <v>44.1239</v>
      </c>
    </row>
    <row r="870">
      <c r="A870" s="4">
        <v>44882.0</v>
      </c>
      <c r="B870" s="2">
        <v>1453833.0</v>
      </c>
      <c r="C870" s="2">
        <v>3952126.0</v>
      </c>
      <c r="D870" s="2">
        <v>22.9388</v>
      </c>
    </row>
    <row r="871">
      <c r="A871" s="4">
        <v>44882.0</v>
      </c>
      <c r="B871" s="2">
        <v>1261383.0</v>
      </c>
      <c r="C871" s="2">
        <v>3952300.0</v>
      </c>
      <c r="D871" s="2">
        <v>118.066499999999</v>
      </c>
    </row>
    <row r="872">
      <c r="A872" s="4">
        <v>44882.0</v>
      </c>
      <c r="B872" s="2">
        <v>1410633.0</v>
      </c>
      <c r="C872" s="2">
        <v>3952067.0</v>
      </c>
      <c r="D872" s="2">
        <v>59.6977</v>
      </c>
    </row>
    <row r="873">
      <c r="A873" s="4">
        <v>44882.0</v>
      </c>
      <c r="B873" s="2">
        <v>1454043.0</v>
      </c>
      <c r="C873" s="2">
        <v>3952748.0</v>
      </c>
      <c r="D873" s="2">
        <v>23.3042</v>
      </c>
    </row>
    <row r="874">
      <c r="A874" s="4">
        <v>44882.0</v>
      </c>
      <c r="B874" s="2">
        <v>1146963.0</v>
      </c>
      <c r="C874" s="2">
        <v>3952537.0</v>
      </c>
      <c r="D874" s="2">
        <v>37.9639</v>
      </c>
    </row>
    <row r="875">
      <c r="A875" s="4">
        <v>44882.0</v>
      </c>
      <c r="B875" s="2">
        <v>1262733.0</v>
      </c>
      <c r="C875" s="2">
        <v>3952194.0</v>
      </c>
      <c r="D875" s="2">
        <v>246.717</v>
      </c>
    </row>
    <row r="876">
      <c r="A876" s="4">
        <v>44882.0</v>
      </c>
      <c r="B876" s="2">
        <v>1262733.0</v>
      </c>
      <c r="C876" s="2">
        <v>3952235.0</v>
      </c>
      <c r="D876" s="2">
        <v>201.7577</v>
      </c>
    </row>
    <row r="877">
      <c r="A877" s="4">
        <v>45138.0</v>
      </c>
      <c r="B877" s="2">
        <v>1606743.0</v>
      </c>
      <c r="C877" s="2">
        <v>4649497.0</v>
      </c>
      <c r="D877" s="2">
        <v>35.1466999999999</v>
      </c>
    </row>
    <row r="878">
      <c r="A878" s="4">
        <v>45138.0</v>
      </c>
      <c r="B878" s="2">
        <v>948573.0</v>
      </c>
      <c r="C878" s="2">
        <v>4649114.0</v>
      </c>
      <c r="D878" s="2">
        <v>53.3589999999999</v>
      </c>
    </row>
    <row r="879">
      <c r="A879" s="4">
        <v>45138.0</v>
      </c>
      <c r="B879" s="2">
        <v>1587693.0</v>
      </c>
      <c r="C879" s="2">
        <v>4650529.0</v>
      </c>
      <c r="D879" s="2">
        <v>38.7744999999999</v>
      </c>
    </row>
    <row r="880">
      <c r="A880" s="4">
        <v>45138.0</v>
      </c>
      <c r="B880" s="2">
        <v>1435293.0</v>
      </c>
      <c r="C880" s="2">
        <v>4650737.0</v>
      </c>
      <c r="D880" s="2">
        <v>145.4235</v>
      </c>
    </row>
    <row r="881">
      <c r="A881" s="4">
        <v>45138.0</v>
      </c>
      <c r="B881" s="2">
        <v>309093.0</v>
      </c>
      <c r="C881" s="2">
        <v>4650286.0</v>
      </c>
      <c r="D881" s="2">
        <v>73.1055</v>
      </c>
    </row>
    <row r="882">
      <c r="A882" s="4">
        <v>45138.0</v>
      </c>
      <c r="B882" s="2">
        <v>1635453.0</v>
      </c>
      <c r="C882" s="2">
        <v>4649194.0</v>
      </c>
      <c r="D882" s="2">
        <v>12.8798</v>
      </c>
    </row>
    <row r="883">
      <c r="A883" s="4">
        <v>44883.0</v>
      </c>
      <c r="B883" s="2">
        <v>1454583.0</v>
      </c>
      <c r="C883" s="2">
        <v>3954287.0</v>
      </c>
      <c r="D883" s="2">
        <v>35.6171</v>
      </c>
    </row>
    <row r="884">
      <c r="A884" s="4">
        <v>44883.0</v>
      </c>
      <c r="B884" s="2">
        <v>1454223.0</v>
      </c>
      <c r="C884" s="2">
        <v>3953321.0</v>
      </c>
      <c r="D884" s="2">
        <v>39.2</v>
      </c>
    </row>
    <row r="885">
      <c r="A885" s="4">
        <v>44883.0</v>
      </c>
      <c r="B885" s="2">
        <v>1454373.0</v>
      </c>
      <c r="C885" s="2">
        <v>3953728.0</v>
      </c>
      <c r="D885" s="2">
        <v>12.66</v>
      </c>
    </row>
    <row r="886">
      <c r="A886" s="4">
        <v>44883.0</v>
      </c>
      <c r="B886" s="2">
        <v>1454433.0</v>
      </c>
      <c r="C886" s="2">
        <v>3953879.0</v>
      </c>
      <c r="D886" s="2">
        <v>20.8267</v>
      </c>
    </row>
    <row r="887">
      <c r="A887" s="4">
        <v>44883.0</v>
      </c>
      <c r="B887" s="2">
        <v>1454403.0</v>
      </c>
      <c r="C887" s="2">
        <v>3953965.0</v>
      </c>
      <c r="D887" s="2">
        <v>60.8088</v>
      </c>
    </row>
    <row r="888">
      <c r="A888" s="4">
        <v>45139.0</v>
      </c>
      <c r="B888" s="2">
        <v>1636413.0</v>
      </c>
      <c r="C888" s="2">
        <v>4653204.0</v>
      </c>
      <c r="D888" s="2">
        <v>39.152</v>
      </c>
    </row>
    <row r="889">
      <c r="A889" s="4">
        <v>45139.0</v>
      </c>
      <c r="B889" s="2">
        <v>1077273.0</v>
      </c>
      <c r="C889" s="2">
        <v>4654270.0</v>
      </c>
      <c r="D889" s="2">
        <v>72.0415</v>
      </c>
    </row>
    <row r="890">
      <c r="A890" s="4">
        <v>45139.0</v>
      </c>
      <c r="B890" s="2">
        <v>1528503.0</v>
      </c>
      <c r="C890" s="2">
        <v>4653103.0</v>
      </c>
      <c r="D890" s="2">
        <v>74.4842</v>
      </c>
    </row>
    <row r="891">
      <c r="A891" s="4">
        <v>45139.0</v>
      </c>
      <c r="B891" s="2">
        <v>1376643.0</v>
      </c>
      <c r="C891" s="2">
        <v>4653721.0</v>
      </c>
      <c r="D891" s="2">
        <v>18.6698</v>
      </c>
    </row>
    <row r="892">
      <c r="A892" s="4">
        <v>44884.0</v>
      </c>
      <c r="B892" s="2">
        <v>1455873.0</v>
      </c>
      <c r="C892" s="2">
        <v>3958306.0</v>
      </c>
      <c r="D892" s="2">
        <v>66.583</v>
      </c>
    </row>
    <row r="893">
      <c r="A893" s="4">
        <v>44884.0</v>
      </c>
      <c r="B893" s="2">
        <v>278733.0</v>
      </c>
      <c r="C893" s="2">
        <v>3955423.0</v>
      </c>
      <c r="D893" s="2">
        <v>75.4546</v>
      </c>
    </row>
    <row r="894">
      <c r="A894" s="4">
        <v>44884.0</v>
      </c>
      <c r="B894" s="2">
        <v>1082913.0</v>
      </c>
      <c r="C894" s="2">
        <v>3958017.0</v>
      </c>
      <c r="D894" s="2">
        <v>123.3585</v>
      </c>
    </row>
    <row r="895">
      <c r="A895" s="4">
        <v>44884.0</v>
      </c>
      <c r="B895" s="2">
        <v>1455903.0</v>
      </c>
      <c r="C895" s="2">
        <v>3958449.0</v>
      </c>
      <c r="D895" s="2">
        <v>53.5763</v>
      </c>
    </row>
    <row r="896">
      <c r="A896" s="4">
        <v>44884.0</v>
      </c>
      <c r="B896" s="2">
        <v>367683.0</v>
      </c>
      <c r="C896" s="2">
        <v>3957860.0</v>
      </c>
      <c r="D896" s="2">
        <v>36.4139</v>
      </c>
    </row>
    <row r="897">
      <c r="A897" s="4">
        <v>45140.0</v>
      </c>
      <c r="B897" s="2">
        <v>1637013.0</v>
      </c>
      <c r="C897" s="2">
        <v>4655614.0</v>
      </c>
      <c r="D897" s="2">
        <v>43.436</v>
      </c>
    </row>
    <row r="898">
      <c r="A898" s="4">
        <v>45140.0</v>
      </c>
      <c r="B898" s="2">
        <v>1542183.0</v>
      </c>
      <c r="C898" s="2">
        <v>4654904.0</v>
      </c>
      <c r="D898" s="2">
        <v>132.5118</v>
      </c>
    </row>
    <row r="899">
      <c r="A899" s="4">
        <v>45140.0</v>
      </c>
      <c r="B899" s="2">
        <v>1284513.0</v>
      </c>
      <c r="C899" s="2">
        <v>4655071.0</v>
      </c>
      <c r="D899" s="2">
        <v>65.4408</v>
      </c>
    </row>
    <row r="900">
      <c r="A900" s="4">
        <v>45140.0</v>
      </c>
      <c r="B900" s="2">
        <v>1168623.0</v>
      </c>
      <c r="C900" s="2">
        <v>4654569.0</v>
      </c>
      <c r="D900" s="2">
        <v>92.186</v>
      </c>
    </row>
    <row r="901">
      <c r="A901" s="4">
        <v>45140.0</v>
      </c>
      <c r="B901" s="2">
        <v>184683.0</v>
      </c>
      <c r="C901" s="2">
        <v>4656097.0</v>
      </c>
      <c r="D901" s="2">
        <v>82.3158</v>
      </c>
    </row>
    <row r="902">
      <c r="A902" s="4">
        <v>45140.0</v>
      </c>
      <c r="B902" s="2">
        <v>228423.0</v>
      </c>
      <c r="C902" s="2">
        <v>4654460.0</v>
      </c>
      <c r="D902" s="2">
        <v>72.545</v>
      </c>
    </row>
    <row r="903">
      <c r="A903" s="4">
        <v>45140.0</v>
      </c>
      <c r="B903" s="2">
        <v>1588233.0</v>
      </c>
      <c r="C903" s="2">
        <v>4655230.0</v>
      </c>
      <c r="D903" s="2">
        <v>97.1374999999999</v>
      </c>
    </row>
    <row r="904">
      <c r="A904" s="4">
        <v>44885.0</v>
      </c>
      <c r="B904" s="2">
        <v>1350873.0</v>
      </c>
      <c r="C904" s="2">
        <v>3959397.0</v>
      </c>
      <c r="D904" s="2">
        <v>92.2253</v>
      </c>
    </row>
    <row r="905">
      <c r="A905" s="4">
        <v>44885.0</v>
      </c>
      <c r="B905" s="2">
        <v>1323693.0</v>
      </c>
      <c r="C905" s="2">
        <v>3961190.0</v>
      </c>
      <c r="D905" s="2">
        <v>86.1469</v>
      </c>
    </row>
    <row r="906">
      <c r="A906" s="4">
        <v>45141.0</v>
      </c>
      <c r="B906" s="2">
        <v>1637823.0</v>
      </c>
      <c r="C906" s="2">
        <v>4658853.0</v>
      </c>
      <c r="D906" s="2">
        <v>61.8351</v>
      </c>
    </row>
    <row r="907">
      <c r="A907" s="4">
        <v>45141.0</v>
      </c>
      <c r="B907" s="2">
        <v>1043823.0</v>
      </c>
      <c r="C907" s="2">
        <v>4658404.0</v>
      </c>
      <c r="D907" s="2">
        <v>63.8659</v>
      </c>
    </row>
    <row r="908">
      <c r="A908" s="4">
        <v>45141.0</v>
      </c>
      <c r="B908" s="2">
        <v>1617633.0</v>
      </c>
      <c r="C908" s="2">
        <v>4658672.0</v>
      </c>
      <c r="D908" s="2">
        <v>29.3704999999999</v>
      </c>
    </row>
    <row r="909">
      <c r="A909" s="4">
        <v>45141.0</v>
      </c>
      <c r="B909" s="2">
        <v>1372173.0</v>
      </c>
      <c r="C909" s="2">
        <v>4658791.0</v>
      </c>
      <c r="D909" s="2">
        <v>57.8463</v>
      </c>
    </row>
    <row r="910">
      <c r="A910" s="4">
        <v>45141.0</v>
      </c>
      <c r="B910" s="2">
        <v>1637853.0</v>
      </c>
      <c r="C910" s="2">
        <v>4658932.0</v>
      </c>
      <c r="D910" s="2">
        <v>34.1658</v>
      </c>
    </row>
    <row r="911">
      <c r="A911" s="4">
        <v>45141.0</v>
      </c>
      <c r="B911" s="2">
        <v>1637583.0</v>
      </c>
      <c r="C911" s="2">
        <v>4657968.0</v>
      </c>
      <c r="D911" s="2">
        <v>138.146</v>
      </c>
    </row>
    <row r="912">
      <c r="A912" s="4">
        <v>44886.0</v>
      </c>
      <c r="B912" s="2">
        <v>1457763.0</v>
      </c>
      <c r="C912" s="2">
        <v>3965487.0</v>
      </c>
      <c r="D912" s="2">
        <v>80.7912</v>
      </c>
    </row>
    <row r="913">
      <c r="A913" s="4">
        <v>44886.0</v>
      </c>
      <c r="B913" s="2">
        <v>1262643.0</v>
      </c>
      <c r="C913" s="2">
        <v>3964390.0</v>
      </c>
      <c r="D913" s="2">
        <v>38.5518</v>
      </c>
    </row>
    <row r="914">
      <c r="A914" s="4">
        <v>44886.0</v>
      </c>
      <c r="B914" s="2">
        <v>1283523.0</v>
      </c>
      <c r="C914" s="2">
        <v>3962801.0</v>
      </c>
      <c r="D914" s="2">
        <v>41.3037999999999</v>
      </c>
    </row>
    <row r="915">
      <c r="A915" s="4">
        <v>45142.0</v>
      </c>
      <c r="B915" s="2">
        <v>1595253.0</v>
      </c>
      <c r="C915" s="2">
        <v>4660697.0</v>
      </c>
      <c r="D915" s="2">
        <v>50.2129999999999</v>
      </c>
    </row>
    <row r="916">
      <c r="A916" s="4">
        <v>45142.0</v>
      </c>
      <c r="B916" s="2">
        <v>1237893.0</v>
      </c>
      <c r="C916" s="2">
        <v>4659459.0</v>
      </c>
      <c r="D916" s="2">
        <v>78.9296</v>
      </c>
    </row>
    <row r="917">
      <c r="A917" s="4">
        <v>45142.0</v>
      </c>
      <c r="B917" s="2">
        <v>1010553.0</v>
      </c>
      <c r="C917" s="2">
        <v>4659983.0</v>
      </c>
      <c r="D917" s="2">
        <v>67.9229</v>
      </c>
    </row>
    <row r="918">
      <c r="A918" s="4">
        <v>45142.0</v>
      </c>
      <c r="B918" s="2">
        <v>367683.0</v>
      </c>
      <c r="C918" s="2">
        <v>4660029.0</v>
      </c>
      <c r="D918" s="2">
        <v>52.9392</v>
      </c>
    </row>
    <row r="919">
      <c r="A919" s="4">
        <v>45142.0</v>
      </c>
      <c r="B919" s="2">
        <v>1638123.0</v>
      </c>
      <c r="C919" s="2">
        <v>4659800.0</v>
      </c>
      <c r="D919" s="2">
        <v>20.4245</v>
      </c>
    </row>
    <row r="920">
      <c r="A920" s="4">
        <v>45142.0</v>
      </c>
      <c r="B920" s="2">
        <v>143763.0</v>
      </c>
      <c r="C920" s="2">
        <v>4660330.0</v>
      </c>
      <c r="D920" s="2">
        <v>80.7208</v>
      </c>
    </row>
    <row r="921">
      <c r="A921" s="4">
        <v>44887.0</v>
      </c>
      <c r="B921" s="2">
        <v>384483.0</v>
      </c>
      <c r="C921" s="2">
        <v>3966133.0</v>
      </c>
      <c r="D921" s="2">
        <v>176.5718</v>
      </c>
    </row>
    <row r="922">
      <c r="A922" s="4">
        <v>44887.0</v>
      </c>
      <c r="B922" s="2">
        <v>1292643.0</v>
      </c>
      <c r="C922" s="2">
        <v>3966227.0</v>
      </c>
      <c r="D922" s="2">
        <v>50.5065</v>
      </c>
    </row>
    <row r="923">
      <c r="A923" s="4">
        <v>44887.0</v>
      </c>
      <c r="B923" s="2">
        <v>1418553.0</v>
      </c>
      <c r="C923" s="2">
        <v>3967386.0</v>
      </c>
      <c r="D923" s="2">
        <v>16.916</v>
      </c>
    </row>
    <row r="924">
      <c r="A924" s="4">
        <v>44887.0</v>
      </c>
      <c r="B924" s="2">
        <v>1151013.0</v>
      </c>
      <c r="C924" s="2">
        <v>3966565.0</v>
      </c>
      <c r="D924" s="2">
        <v>71.7855</v>
      </c>
    </row>
    <row r="925">
      <c r="A925" s="4">
        <v>44887.0</v>
      </c>
      <c r="B925" s="2">
        <v>1458453.0</v>
      </c>
      <c r="C925" s="2">
        <v>3968180.0</v>
      </c>
      <c r="D925" s="2">
        <v>83.3334</v>
      </c>
    </row>
    <row r="926">
      <c r="A926" s="4">
        <v>45143.0</v>
      </c>
      <c r="B926" s="2">
        <v>1594203.0</v>
      </c>
      <c r="C926" s="2">
        <v>4662481.0</v>
      </c>
      <c r="D926" s="2">
        <v>147.5287</v>
      </c>
    </row>
    <row r="927">
      <c r="A927" s="4">
        <v>45143.0</v>
      </c>
      <c r="B927" s="2">
        <v>1638903.0</v>
      </c>
      <c r="C927" s="2">
        <v>4662675.0</v>
      </c>
      <c r="D927" s="2">
        <v>29.2008</v>
      </c>
    </row>
    <row r="928">
      <c r="A928" s="4">
        <v>45143.0</v>
      </c>
      <c r="B928" s="2">
        <v>1637823.0</v>
      </c>
      <c r="C928" s="2">
        <v>4662671.0</v>
      </c>
      <c r="D928" s="2">
        <v>68.649</v>
      </c>
    </row>
    <row r="929">
      <c r="A929" s="4">
        <v>45143.0</v>
      </c>
      <c r="B929" s="2">
        <v>996933.0</v>
      </c>
      <c r="C929" s="2">
        <v>4663172.0</v>
      </c>
      <c r="D929" s="2">
        <v>216.957099999999</v>
      </c>
    </row>
    <row r="930">
      <c r="A930" s="4">
        <v>45143.0</v>
      </c>
      <c r="B930" s="2">
        <v>1440663.0</v>
      </c>
      <c r="C930" s="2">
        <v>4661860.0</v>
      </c>
      <c r="D930" s="2">
        <v>66.5414</v>
      </c>
    </row>
    <row r="931">
      <c r="A931" s="4">
        <v>45143.0</v>
      </c>
      <c r="B931" s="2">
        <v>1638933.0</v>
      </c>
      <c r="C931" s="2">
        <v>4662772.0</v>
      </c>
      <c r="D931" s="2">
        <v>60.9674</v>
      </c>
    </row>
    <row r="932">
      <c r="A932" s="4">
        <v>44888.0</v>
      </c>
      <c r="B932" s="2">
        <v>1110273.0</v>
      </c>
      <c r="C932" s="2">
        <v>3971647.0</v>
      </c>
      <c r="D932" s="2">
        <v>74.6555</v>
      </c>
    </row>
    <row r="933">
      <c r="A933" s="4">
        <v>44888.0</v>
      </c>
      <c r="B933" s="2">
        <v>1209243.0</v>
      </c>
      <c r="C933" s="2">
        <v>3971240.0</v>
      </c>
      <c r="D933" s="2">
        <v>13.9731999999999</v>
      </c>
    </row>
    <row r="934">
      <c r="A934" s="4">
        <v>44888.0</v>
      </c>
      <c r="B934" s="2">
        <v>1458753.0</v>
      </c>
      <c r="C934" s="2">
        <v>3972117.0</v>
      </c>
      <c r="D934" s="2">
        <v>12.4917</v>
      </c>
    </row>
    <row r="935">
      <c r="A935" s="4">
        <v>44888.0</v>
      </c>
      <c r="B935" s="2">
        <v>1458843.0</v>
      </c>
      <c r="C935" s="2">
        <v>3969634.0</v>
      </c>
      <c r="D935" s="2">
        <v>11.85</v>
      </c>
    </row>
    <row r="936">
      <c r="A936" s="4">
        <v>44888.0</v>
      </c>
      <c r="B936" s="2">
        <v>1174743.0</v>
      </c>
      <c r="C936" s="2">
        <v>3969187.0</v>
      </c>
      <c r="D936" s="2">
        <v>36.4347</v>
      </c>
    </row>
    <row r="937">
      <c r="A937" s="4">
        <v>44888.0</v>
      </c>
      <c r="B937" s="2">
        <v>1134153.0</v>
      </c>
      <c r="C937" s="2">
        <v>3971005.0</v>
      </c>
      <c r="D937" s="2">
        <v>66.1379</v>
      </c>
    </row>
    <row r="938">
      <c r="A938" s="4">
        <v>44888.0</v>
      </c>
      <c r="B938" s="2">
        <v>1304433.0</v>
      </c>
      <c r="C938" s="2">
        <v>3970313.0</v>
      </c>
      <c r="D938" s="2">
        <v>128.4183</v>
      </c>
    </row>
    <row r="939">
      <c r="A939" s="4">
        <v>45144.0</v>
      </c>
      <c r="B939" s="2">
        <v>1639173.0</v>
      </c>
      <c r="C939" s="2">
        <v>4663900.0</v>
      </c>
      <c r="D939" s="2">
        <v>55.4338</v>
      </c>
    </row>
    <row r="940">
      <c r="A940" s="4">
        <v>45144.0</v>
      </c>
      <c r="B940" s="2">
        <v>265773.0</v>
      </c>
      <c r="C940" s="2">
        <v>4666470.0</v>
      </c>
      <c r="D940" s="2">
        <v>87.1518</v>
      </c>
    </row>
    <row r="941">
      <c r="A941" s="4">
        <v>45144.0</v>
      </c>
      <c r="B941" s="2">
        <v>1127043.0</v>
      </c>
      <c r="C941" s="2">
        <v>4665927.0</v>
      </c>
      <c r="D941" s="2">
        <v>60.4610999999999</v>
      </c>
    </row>
    <row r="942">
      <c r="A942" s="4">
        <v>45144.0</v>
      </c>
      <c r="B942" s="2">
        <v>1282833.0</v>
      </c>
      <c r="C942" s="2">
        <v>4664357.0</v>
      </c>
      <c r="D942" s="2">
        <v>68.0925</v>
      </c>
    </row>
    <row r="943">
      <c r="A943" s="4">
        <v>45144.0</v>
      </c>
      <c r="B943" s="2">
        <v>1639203.0</v>
      </c>
      <c r="C943" s="2">
        <v>4664502.0</v>
      </c>
      <c r="D943" s="2">
        <v>67.4925</v>
      </c>
    </row>
    <row r="944">
      <c r="A944" s="4">
        <v>44889.0</v>
      </c>
      <c r="B944" s="2">
        <v>360483.0</v>
      </c>
      <c r="C944" s="2">
        <v>3975519.0</v>
      </c>
      <c r="D944" s="2">
        <v>75.3483999999999</v>
      </c>
    </row>
    <row r="945">
      <c r="A945" s="4">
        <v>44889.0</v>
      </c>
      <c r="B945" s="2">
        <v>1159653.0</v>
      </c>
      <c r="C945" s="2">
        <v>3976088.0</v>
      </c>
      <c r="D945" s="2">
        <v>71.8361999999999</v>
      </c>
    </row>
    <row r="946">
      <c r="A946" s="4">
        <v>44889.0</v>
      </c>
      <c r="B946" s="2">
        <v>1460193.0</v>
      </c>
      <c r="C946" s="2">
        <v>3974574.0</v>
      </c>
      <c r="D946" s="2">
        <v>41.9866</v>
      </c>
    </row>
    <row r="947">
      <c r="A947" s="4">
        <v>44889.0</v>
      </c>
      <c r="B947" s="2">
        <v>1460463.0</v>
      </c>
      <c r="C947" s="2">
        <v>3975356.0</v>
      </c>
      <c r="D947" s="2">
        <v>32.6</v>
      </c>
    </row>
    <row r="948">
      <c r="A948" s="4">
        <v>44889.0</v>
      </c>
      <c r="B948" s="2">
        <v>1459893.0</v>
      </c>
      <c r="C948" s="2">
        <v>3973597.0</v>
      </c>
      <c r="D948" s="2">
        <v>84.8584</v>
      </c>
    </row>
    <row r="949">
      <c r="A949" s="4">
        <v>44889.0</v>
      </c>
      <c r="B949" s="2">
        <v>1460013.0</v>
      </c>
      <c r="C949" s="2">
        <v>3974029.0</v>
      </c>
      <c r="D949" s="2">
        <v>208.4167</v>
      </c>
    </row>
    <row r="950">
      <c r="A950" s="4">
        <v>44889.0</v>
      </c>
      <c r="B950" s="2">
        <v>1460073.0</v>
      </c>
      <c r="C950" s="2">
        <v>3974237.0</v>
      </c>
      <c r="D950" s="2">
        <v>74.5584</v>
      </c>
    </row>
    <row r="951">
      <c r="A951" s="4">
        <v>44889.0</v>
      </c>
      <c r="B951" s="2">
        <v>344343.0</v>
      </c>
      <c r="C951" s="2">
        <v>3974266.0</v>
      </c>
      <c r="D951" s="2">
        <v>64.9239</v>
      </c>
    </row>
    <row r="952">
      <c r="A952" s="4">
        <v>44889.0</v>
      </c>
      <c r="B952" s="2">
        <v>360483.0</v>
      </c>
      <c r="C952" s="2">
        <v>3975252.0</v>
      </c>
      <c r="D952" s="2">
        <v>68.6091</v>
      </c>
    </row>
    <row r="953">
      <c r="A953" s="4">
        <v>44889.0</v>
      </c>
      <c r="B953" s="2">
        <v>1459533.0</v>
      </c>
      <c r="C953" s="2">
        <v>3972302.0</v>
      </c>
      <c r="D953" s="2">
        <v>71.9334</v>
      </c>
    </row>
    <row r="954">
      <c r="A954" s="4">
        <v>44889.0</v>
      </c>
      <c r="B954" s="2">
        <v>1434813.0</v>
      </c>
      <c r="C954" s="2">
        <v>3973663.0</v>
      </c>
      <c r="D954" s="2">
        <v>203.8168</v>
      </c>
    </row>
    <row r="955">
      <c r="A955" s="4">
        <v>44889.0</v>
      </c>
      <c r="B955" s="2">
        <v>1460673.0</v>
      </c>
      <c r="C955" s="2">
        <v>3976191.0</v>
      </c>
      <c r="D955" s="2">
        <v>63.7429</v>
      </c>
    </row>
    <row r="956">
      <c r="A956" s="4">
        <v>44889.0</v>
      </c>
      <c r="B956" s="2">
        <v>1334643.0</v>
      </c>
      <c r="C956" s="2">
        <v>3972835.0</v>
      </c>
      <c r="D956" s="2">
        <v>59.6816</v>
      </c>
    </row>
    <row r="957">
      <c r="A957" s="4">
        <v>44889.0</v>
      </c>
      <c r="B957" s="2">
        <v>1460043.0</v>
      </c>
      <c r="C957" s="2">
        <v>3974127.0</v>
      </c>
      <c r="D957" s="2">
        <v>63.298</v>
      </c>
    </row>
    <row r="958">
      <c r="A958" s="4">
        <v>44889.0</v>
      </c>
      <c r="B958" s="2">
        <v>217743.0</v>
      </c>
      <c r="C958" s="2">
        <v>3974130.0</v>
      </c>
      <c r="D958" s="2">
        <v>118.2195</v>
      </c>
    </row>
    <row r="959">
      <c r="A959" s="4">
        <v>45145.0</v>
      </c>
      <c r="B959" s="2">
        <v>1405893.0</v>
      </c>
      <c r="C959" s="2">
        <v>4666766.0</v>
      </c>
      <c r="D959" s="2">
        <v>80.6608</v>
      </c>
    </row>
    <row r="960">
      <c r="A960" s="4">
        <v>45145.0</v>
      </c>
      <c r="B960" s="2">
        <v>473733.0</v>
      </c>
      <c r="C960" s="2">
        <v>4668917.0</v>
      </c>
      <c r="D960" s="2">
        <v>16.65</v>
      </c>
    </row>
    <row r="961">
      <c r="A961" s="4">
        <v>45145.0</v>
      </c>
      <c r="B961" s="2">
        <v>1081023.0</v>
      </c>
      <c r="C961" s="2">
        <v>4668987.0</v>
      </c>
      <c r="D961" s="2">
        <v>34.2499</v>
      </c>
    </row>
    <row r="962">
      <c r="A962" s="4">
        <v>45145.0</v>
      </c>
      <c r="B962" s="2">
        <v>1480083.0</v>
      </c>
      <c r="C962" s="2">
        <v>4666807.0</v>
      </c>
      <c r="D962" s="2">
        <v>36.8223</v>
      </c>
    </row>
    <row r="963">
      <c r="A963" s="4">
        <v>45145.0</v>
      </c>
      <c r="B963" s="2">
        <v>231213.0</v>
      </c>
      <c r="C963" s="2">
        <v>4668559.0</v>
      </c>
      <c r="D963" s="2">
        <v>144.5763</v>
      </c>
    </row>
    <row r="964">
      <c r="A964" s="4">
        <v>45145.0</v>
      </c>
      <c r="B964" s="2">
        <v>1046973.0</v>
      </c>
      <c r="C964" s="2">
        <v>4666805.0</v>
      </c>
      <c r="D964" s="2">
        <v>64.5005</v>
      </c>
    </row>
    <row r="965">
      <c r="A965" s="4">
        <v>45145.0</v>
      </c>
      <c r="B965" s="2">
        <v>231213.0</v>
      </c>
      <c r="C965" s="2">
        <v>4668550.0</v>
      </c>
      <c r="D965" s="2">
        <v>136.1531</v>
      </c>
    </row>
    <row r="966">
      <c r="A966" s="4">
        <v>45145.0</v>
      </c>
      <c r="B966" s="2">
        <v>1567323.0</v>
      </c>
      <c r="C966" s="2">
        <v>4668733.0</v>
      </c>
      <c r="D966" s="2">
        <v>56.2729</v>
      </c>
    </row>
    <row r="967">
      <c r="A967" s="4">
        <v>45145.0</v>
      </c>
      <c r="B967" s="2">
        <v>426423.0</v>
      </c>
      <c r="C967" s="2">
        <v>4667231.0</v>
      </c>
      <c r="D967" s="2">
        <v>108.608</v>
      </c>
    </row>
    <row r="968">
      <c r="A968" s="4">
        <v>44890.0</v>
      </c>
      <c r="B968" s="2">
        <v>1461063.0</v>
      </c>
      <c r="C968" s="2">
        <v>3977576.0</v>
      </c>
      <c r="D968" s="2">
        <v>111.824999999999</v>
      </c>
    </row>
    <row r="969">
      <c r="A969" s="4">
        <v>44890.0</v>
      </c>
      <c r="B969" s="2">
        <v>1460913.0</v>
      </c>
      <c r="C969" s="2">
        <v>3976866.0</v>
      </c>
      <c r="D969" s="2">
        <v>70.5014999999999</v>
      </c>
    </row>
    <row r="970">
      <c r="A970" s="4">
        <v>44890.0</v>
      </c>
      <c r="B970" s="2">
        <v>1214823.0</v>
      </c>
      <c r="C970" s="2">
        <v>3977822.0</v>
      </c>
      <c r="D970" s="2">
        <v>65.1018</v>
      </c>
    </row>
    <row r="971">
      <c r="A971" s="4">
        <v>44890.0</v>
      </c>
      <c r="B971" s="2">
        <v>1461543.0</v>
      </c>
      <c r="C971" s="2">
        <v>3978652.0</v>
      </c>
      <c r="D971" s="2">
        <v>97.8279999999999</v>
      </c>
    </row>
    <row r="972">
      <c r="A972" s="4">
        <v>45146.0</v>
      </c>
      <c r="B972" s="2">
        <v>161793.0</v>
      </c>
      <c r="C972" s="2">
        <v>4669921.0</v>
      </c>
      <c r="D972" s="2">
        <v>77.6872</v>
      </c>
    </row>
    <row r="973">
      <c r="A973" s="4">
        <v>45146.0</v>
      </c>
      <c r="B973" s="2">
        <v>1640553.0</v>
      </c>
      <c r="C973" s="2">
        <v>4669740.0</v>
      </c>
      <c r="D973" s="2">
        <v>106.213999999999</v>
      </c>
    </row>
    <row r="974">
      <c r="A974" s="4">
        <v>45146.0</v>
      </c>
      <c r="B974" s="2">
        <v>1640733.0</v>
      </c>
      <c r="C974" s="2">
        <v>4670445.0</v>
      </c>
      <c r="D974" s="2">
        <v>20.0001</v>
      </c>
    </row>
    <row r="975">
      <c r="A975" s="4">
        <v>44891.0</v>
      </c>
      <c r="B975" s="2">
        <v>1462173.0</v>
      </c>
      <c r="C975" s="2">
        <v>3980657.0</v>
      </c>
      <c r="D975" s="2">
        <v>16.6878</v>
      </c>
    </row>
    <row r="976">
      <c r="A976" s="4">
        <v>44891.0</v>
      </c>
      <c r="B976" s="2">
        <v>1458573.0</v>
      </c>
      <c r="C976" s="2">
        <v>3982827.0</v>
      </c>
      <c r="D976" s="2">
        <v>17.1349999999999</v>
      </c>
    </row>
    <row r="977">
      <c r="A977" s="4">
        <v>44891.0</v>
      </c>
      <c r="B977" s="2">
        <v>1462053.0</v>
      </c>
      <c r="C977" s="2">
        <v>3980258.0</v>
      </c>
      <c r="D977" s="2">
        <v>64.0875</v>
      </c>
    </row>
    <row r="978">
      <c r="A978" s="4">
        <v>44891.0</v>
      </c>
      <c r="B978" s="2">
        <v>371613.0</v>
      </c>
      <c r="C978" s="2">
        <v>3982090.0</v>
      </c>
      <c r="D978" s="2">
        <v>97.9398</v>
      </c>
    </row>
    <row r="979">
      <c r="A979" s="4">
        <v>44891.0</v>
      </c>
      <c r="B979" s="2">
        <v>1462593.0</v>
      </c>
      <c r="C979" s="2">
        <v>3982111.0</v>
      </c>
      <c r="D979" s="2">
        <v>325.8875</v>
      </c>
    </row>
    <row r="980">
      <c r="A980" s="4">
        <v>44891.0</v>
      </c>
      <c r="B980" s="2">
        <v>63723.0</v>
      </c>
      <c r="C980" s="2">
        <v>3983152.0</v>
      </c>
      <c r="D980" s="2">
        <v>344.25</v>
      </c>
    </row>
    <row r="981">
      <c r="A981" s="4">
        <v>44891.0</v>
      </c>
      <c r="B981" s="2">
        <v>1452513.0</v>
      </c>
      <c r="C981" s="2">
        <v>3981137.0</v>
      </c>
      <c r="D981" s="2">
        <v>322.5001</v>
      </c>
    </row>
    <row r="982">
      <c r="A982" s="4">
        <v>44891.0</v>
      </c>
      <c r="B982" s="2">
        <v>267663.0</v>
      </c>
      <c r="C982" s="2">
        <v>3980370.0</v>
      </c>
      <c r="D982" s="2">
        <v>51.4336</v>
      </c>
    </row>
    <row r="983">
      <c r="A983" s="4">
        <v>44891.0</v>
      </c>
      <c r="B983" s="2">
        <v>1244343.0</v>
      </c>
      <c r="C983" s="2">
        <v>3983558.0</v>
      </c>
      <c r="D983" s="2">
        <v>66.0006</v>
      </c>
    </row>
    <row r="984">
      <c r="A984" s="4">
        <v>44891.0</v>
      </c>
      <c r="B984" s="2">
        <v>1462473.0</v>
      </c>
      <c r="C984" s="2">
        <v>3981645.0</v>
      </c>
      <c r="D984" s="2">
        <v>16.7629</v>
      </c>
    </row>
    <row r="985">
      <c r="A985" s="4">
        <v>44891.0</v>
      </c>
      <c r="B985" s="2">
        <v>1461903.0</v>
      </c>
      <c r="C985" s="2">
        <v>3979804.0</v>
      </c>
      <c r="D985" s="2">
        <v>102.160099999999</v>
      </c>
    </row>
    <row r="986">
      <c r="A986" s="4">
        <v>45147.0</v>
      </c>
      <c r="B986" s="2">
        <v>1299153.0</v>
      </c>
      <c r="C986" s="2">
        <v>4672050.0</v>
      </c>
      <c r="D986" s="2">
        <v>94.0576</v>
      </c>
    </row>
    <row r="987">
      <c r="A987" s="4">
        <v>45147.0</v>
      </c>
      <c r="B987" s="2">
        <v>1641183.0</v>
      </c>
      <c r="C987" s="2">
        <v>4671988.0</v>
      </c>
      <c r="D987" s="2">
        <v>89.411</v>
      </c>
    </row>
    <row r="988">
      <c r="A988" s="4">
        <v>45147.0</v>
      </c>
      <c r="B988" s="2">
        <v>1626093.0</v>
      </c>
      <c r="C988" s="2">
        <v>4671769.0</v>
      </c>
      <c r="D988" s="2">
        <v>93.6892</v>
      </c>
    </row>
    <row r="989">
      <c r="A989" s="4">
        <v>45147.0</v>
      </c>
      <c r="B989" s="2">
        <v>1641513.0</v>
      </c>
      <c r="C989" s="2">
        <v>4673132.0</v>
      </c>
      <c r="D989" s="2">
        <v>30.2195</v>
      </c>
    </row>
    <row r="990">
      <c r="A990" s="4">
        <v>44892.0</v>
      </c>
      <c r="B990" s="2">
        <v>1426383.0</v>
      </c>
      <c r="C990" s="2">
        <v>3985849.0</v>
      </c>
      <c r="D990" s="2">
        <v>76.0563</v>
      </c>
    </row>
    <row r="991">
      <c r="A991" s="4">
        <v>44892.0</v>
      </c>
      <c r="B991" s="2">
        <v>68943.0</v>
      </c>
      <c r="C991" s="2">
        <v>3984125.0</v>
      </c>
      <c r="D991" s="2">
        <v>58.3884</v>
      </c>
    </row>
    <row r="992">
      <c r="A992" s="4">
        <v>44892.0</v>
      </c>
      <c r="B992" s="2">
        <v>327903.0</v>
      </c>
      <c r="C992" s="2">
        <v>3983659.0</v>
      </c>
      <c r="D992" s="2">
        <v>12.1365</v>
      </c>
    </row>
    <row r="993">
      <c r="A993" s="4">
        <v>44892.0</v>
      </c>
      <c r="B993" s="2">
        <v>1224573.0</v>
      </c>
      <c r="C993" s="2">
        <v>3987087.0</v>
      </c>
      <c r="D993" s="2">
        <v>26.7286</v>
      </c>
    </row>
    <row r="994">
      <c r="A994" s="4">
        <v>44892.0</v>
      </c>
      <c r="B994" s="2">
        <v>1338723.0</v>
      </c>
      <c r="C994" s="2">
        <v>3985614.0</v>
      </c>
      <c r="D994" s="2">
        <v>57.8189</v>
      </c>
    </row>
    <row r="995">
      <c r="A995" s="4">
        <v>44892.0</v>
      </c>
      <c r="B995" s="2">
        <v>1463253.0</v>
      </c>
      <c r="C995" s="2">
        <v>3984636.0</v>
      </c>
      <c r="D995" s="2">
        <v>9.8499</v>
      </c>
    </row>
    <row r="996">
      <c r="A996" s="4">
        <v>44892.0</v>
      </c>
      <c r="B996" s="2">
        <v>1267803.0</v>
      </c>
      <c r="C996" s="2">
        <v>3985853.0</v>
      </c>
      <c r="D996" s="2">
        <v>74.756</v>
      </c>
    </row>
    <row r="997">
      <c r="A997" s="4">
        <v>44892.0</v>
      </c>
      <c r="B997" s="2">
        <v>1463703.0</v>
      </c>
      <c r="C997" s="2">
        <v>3986301.0</v>
      </c>
      <c r="D997" s="2">
        <v>41.9375</v>
      </c>
    </row>
    <row r="998">
      <c r="A998" s="4">
        <v>44892.0</v>
      </c>
      <c r="B998" s="2">
        <v>1418703.0</v>
      </c>
      <c r="C998" s="2">
        <v>3986530.0</v>
      </c>
      <c r="D998" s="2">
        <v>71.0182</v>
      </c>
    </row>
    <row r="999">
      <c r="A999" s="4">
        <v>44892.0</v>
      </c>
      <c r="B999" s="2">
        <v>444303.0</v>
      </c>
      <c r="C999" s="2">
        <v>3983994.0</v>
      </c>
      <c r="D999" s="2">
        <v>127.905499999999</v>
      </c>
    </row>
    <row r="1000">
      <c r="A1000" s="4">
        <v>45148.0</v>
      </c>
      <c r="B1000" s="2">
        <v>1641753.0</v>
      </c>
      <c r="C1000" s="2">
        <v>4674057.0</v>
      </c>
      <c r="D1000" s="2">
        <v>10.4</v>
      </c>
    </row>
    <row r="1001">
      <c r="A1001" s="4">
        <v>45148.0</v>
      </c>
      <c r="B1001" s="2">
        <v>1641843.0</v>
      </c>
      <c r="C1001" s="2">
        <v>4675843.0</v>
      </c>
      <c r="D1001" s="2">
        <v>11.9166</v>
      </c>
    </row>
    <row r="1002">
      <c r="A1002" s="4">
        <v>45148.0</v>
      </c>
      <c r="B1002" s="2">
        <v>228423.0</v>
      </c>
      <c r="C1002" s="2">
        <v>4675123.0</v>
      </c>
      <c r="D1002" s="2">
        <v>85.9376</v>
      </c>
    </row>
    <row r="1003">
      <c r="A1003" s="4">
        <v>45148.0</v>
      </c>
      <c r="B1003" s="2">
        <v>184683.0</v>
      </c>
      <c r="C1003" s="2">
        <v>4675314.0</v>
      </c>
      <c r="D1003" s="2">
        <v>31.2847999999999</v>
      </c>
    </row>
    <row r="1004">
      <c r="A1004" s="4">
        <v>45148.0</v>
      </c>
      <c r="B1004" s="2">
        <v>257913.0</v>
      </c>
      <c r="C1004" s="2">
        <v>4675400.0</v>
      </c>
      <c r="D1004" s="2">
        <v>314.5555</v>
      </c>
    </row>
    <row r="1005">
      <c r="A1005" s="4">
        <v>44893.0</v>
      </c>
      <c r="B1005" s="2">
        <v>1272693.0</v>
      </c>
      <c r="C1005" s="2">
        <v>3990319.0</v>
      </c>
      <c r="D1005" s="2">
        <v>86.8436</v>
      </c>
    </row>
    <row r="1006">
      <c r="A1006" s="4">
        <v>44893.0</v>
      </c>
      <c r="B1006" s="2">
        <v>257913.0</v>
      </c>
      <c r="C1006" s="2">
        <v>3990593.0</v>
      </c>
      <c r="D1006" s="2">
        <v>101.363599999999</v>
      </c>
    </row>
    <row r="1007">
      <c r="A1007" s="4">
        <v>44893.0</v>
      </c>
      <c r="B1007" s="2">
        <v>1333323.0</v>
      </c>
      <c r="C1007" s="2">
        <v>3989424.0</v>
      </c>
      <c r="D1007" s="2">
        <v>88.5</v>
      </c>
    </row>
    <row r="1008">
      <c r="A1008" s="4">
        <v>44893.0</v>
      </c>
      <c r="B1008" s="2">
        <v>1151013.0</v>
      </c>
      <c r="C1008" s="2">
        <v>3988227.0</v>
      </c>
      <c r="D1008" s="2">
        <v>32.167</v>
      </c>
    </row>
    <row r="1009">
      <c r="A1009" s="4">
        <v>44893.0</v>
      </c>
      <c r="B1009" s="2">
        <v>862653.0</v>
      </c>
      <c r="C1009" s="2">
        <v>3990329.0</v>
      </c>
      <c r="D1009" s="2">
        <v>28.35</v>
      </c>
    </row>
    <row r="1010">
      <c r="A1010" s="4">
        <v>44893.0</v>
      </c>
      <c r="B1010" s="2">
        <v>1464993.0</v>
      </c>
      <c r="C1010" s="2">
        <v>3990641.0</v>
      </c>
      <c r="D1010" s="2">
        <v>48.4193</v>
      </c>
    </row>
    <row r="1011">
      <c r="A1011" s="4">
        <v>44893.0</v>
      </c>
      <c r="B1011" s="2">
        <v>1410513.0</v>
      </c>
      <c r="C1011" s="2">
        <v>3989266.0</v>
      </c>
      <c r="D1011" s="2">
        <v>64.7627</v>
      </c>
    </row>
    <row r="1012">
      <c r="A1012" s="4">
        <v>45149.0</v>
      </c>
      <c r="B1012" s="2">
        <v>1232733.0</v>
      </c>
      <c r="C1012" s="2">
        <v>4677239.0</v>
      </c>
      <c r="D1012" s="2">
        <v>82.3167</v>
      </c>
    </row>
    <row r="1013">
      <c r="A1013" s="4">
        <v>45149.0</v>
      </c>
      <c r="B1013" s="2">
        <v>1618173.0</v>
      </c>
      <c r="C1013" s="2">
        <v>4676595.0</v>
      </c>
      <c r="D1013" s="2">
        <v>133.8948</v>
      </c>
    </row>
    <row r="1014">
      <c r="A1014" s="4">
        <v>44894.0</v>
      </c>
      <c r="B1014" s="2">
        <v>1387113.0</v>
      </c>
      <c r="C1014" s="2">
        <v>3993406.0</v>
      </c>
      <c r="D1014" s="2">
        <v>357.191099999999</v>
      </c>
    </row>
    <row r="1015">
      <c r="A1015" s="4">
        <v>44894.0</v>
      </c>
      <c r="B1015" s="2">
        <v>1407333.0</v>
      </c>
      <c r="C1015" s="2">
        <v>3991213.0</v>
      </c>
      <c r="D1015" s="2">
        <v>100.674099999999</v>
      </c>
    </row>
    <row r="1016">
      <c r="A1016" s="4">
        <v>44894.0</v>
      </c>
      <c r="B1016" s="2">
        <v>1131483.0</v>
      </c>
      <c r="C1016" s="2">
        <v>3991176.0</v>
      </c>
      <c r="D1016" s="2">
        <v>38.06</v>
      </c>
    </row>
    <row r="1017">
      <c r="A1017" s="4">
        <v>44894.0</v>
      </c>
      <c r="B1017" s="2">
        <v>1465833.0</v>
      </c>
      <c r="C1017" s="2">
        <v>3993080.0</v>
      </c>
      <c r="D1017" s="2">
        <v>32.9972</v>
      </c>
    </row>
    <row r="1018">
      <c r="A1018" s="4">
        <v>44894.0</v>
      </c>
      <c r="B1018" s="2">
        <v>1247553.0</v>
      </c>
      <c r="C1018" s="2">
        <v>3991617.0</v>
      </c>
      <c r="D1018" s="2">
        <v>42.4899</v>
      </c>
    </row>
    <row r="1019">
      <c r="A1019" s="4">
        <v>44894.0</v>
      </c>
      <c r="B1019" s="2">
        <v>234783.0</v>
      </c>
      <c r="C1019" s="2">
        <v>3993595.0</v>
      </c>
      <c r="D1019" s="2">
        <v>105.6231</v>
      </c>
    </row>
    <row r="1020">
      <c r="A1020" s="4">
        <v>44894.0</v>
      </c>
      <c r="B1020" s="2">
        <v>1290003.0</v>
      </c>
      <c r="C1020" s="2">
        <v>3992489.0</v>
      </c>
      <c r="D1020" s="2">
        <v>21.48</v>
      </c>
    </row>
    <row r="1021">
      <c r="A1021" s="4">
        <v>44894.0</v>
      </c>
      <c r="B1021" s="2">
        <v>199323.0</v>
      </c>
      <c r="C1021" s="2">
        <v>3994044.0</v>
      </c>
      <c r="D1021" s="2">
        <v>49.5000999999999</v>
      </c>
    </row>
    <row r="1022">
      <c r="A1022" s="4">
        <v>45150.0</v>
      </c>
      <c r="B1022" s="2">
        <v>1643073.0</v>
      </c>
      <c r="C1022" s="2">
        <v>4678426.0</v>
      </c>
      <c r="D1022" s="2">
        <v>6.256</v>
      </c>
    </row>
    <row r="1023">
      <c r="A1023" s="4">
        <v>45150.0</v>
      </c>
      <c r="B1023" s="2">
        <v>1643133.0</v>
      </c>
      <c r="C1023" s="2">
        <v>4678687.0</v>
      </c>
      <c r="D1023" s="2">
        <v>11.4952</v>
      </c>
    </row>
    <row r="1024">
      <c r="A1024" s="4">
        <v>45150.0</v>
      </c>
      <c r="B1024" s="2">
        <v>430593.0</v>
      </c>
      <c r="C1024" s="2">
        <v>4678565.0</v>
      </c>
      <c r="D1024" s="2">
        <v>105.666699999999</v>
      </c>
    </row>
    <row r="1025">
      <c r="A1025" s="4">
        <v>44895.0</v>
      </c>
      <c r="B1025" s="2">
        <v>1292223.0</v>
      </c>
      <c r="C1025" s="2">
        <v>3995292.0</v>
      </c>
      <c r="D1025" s="2">
        <v>47.724</v>
      </c>
    </row>
    <row r="1026">
      <c r="A1026" s="4">
        <v>44895.0</v>
      </c>
      <c r="B1026" s="2">
        <v>1209063.0</v>
      </c>
      <c r="C1026" s="2">
        <v>3995349.0</v>
      </c>
      <c r="D1026" s="2">
        <v>131.223699999999</v>
      </c>
    </row>
    <row r="1027">
      <c r="A1027" s="4">
        <v>44895.0</v>
      </c>
      <c r="B1027" s="2">
        <v>1466943.0</v>
      </c>
      <c r="C1027" s="2">
        <v>3996624.0</v>
      </c>
      <c r="D1027" s="2">
        <v>3.0028</v>
      </c>
    </row>
    <row r="1028">
      <c r="A1028" s="4">
        <v>44895.0</v>
      </c>
      <c r="B1028" s="2">
        <v>1466373.0</v>
      </c>
      <c r="C1028" s="2">
        <v>3994933.0</v>
      </c>
      <c r="D1028" s="2">
        <v>22.0</v>
      </c>
    </row>
    <row r="1029">
      <c r="A1029" s="4">
        <v>44895.0</v>
      </c>
      <c r="B1029" s="2">
        <v>1466163.0</v>
      </c>
      <c r="C1029" s="2">
        <v>3994616.0</v>
      </c>
      <c r="D1029" s="2">
        <v>11.5833</v>
      </c>
    </row>
    <row r="1030">
      <c r="A1030" s="4">
        <v>44895.0</v>
      </c>
      <c r="B1030" s="2">
        <v>1466463.0</v>
      </c>
      <c r="C1030" s="2">
        <v>3995170.0</v>
      </c>
      <c r="D1030" s="2">
        <v>56.445</v>
      </c>
    </row>
    <row r="1031">
      <c r="A1031" s="4">
        <v>44895.0</v>
      </c>
      <c r="B1031" s="2">
        <v>1466613.0</v>
      </c>
      <c r="C1031" s="2">
        <v>3996789.0</v>
      </c>
      <c r="D1031" s="2">
        <v>92.2423</v>
      </c>
    </row>
    <row r="1032">
      <c r="A1032" s="4">
        <v>44895.0</v>
      </c>
      <c r="B1032" s="2">
        <v>1466853.0</v>
      </c>
      <c r="C1032" s="2">
        <v>3996411.0</v>
      </c>
      <c r="D1032" s="2">
        <v>28.2225</v>
      </c>
    </row>
    <row r="1033">
      <c r="A1033" s="4">
        <v>44895.0</v>
      </c>
      <c r="B1033" s="2">
        <v>1466523.0</v>
      </c>
      <c r="C1033" s="2">
        <v>3995450.0</v>
      </c>
      <c r="D1033" s="2">
        <v>44.8425</v>
      </c>
    </row>
    <row r="1034">
      <c r="A1034" s="4">
        <v>44895.0</v>
      </c>
      <c r="B1034" s="2">
        <v>1467123.0</v>
      </c>
      <c r="C1034" s="2">
        <v>3997190.0</v>
      </c>
      <c r="D1034" s="2">
        <v>69.6075</v>
      </c>
    </row>
    <row r="1035">
      <c r="A1035" s="4">
        <v>45151.0</v>
      </c>
      <c r="B1035" s="2">
        <v>437733.0</v>
      </c>
      <c r="C1035" s="2">
        <v>4682303.0</v>
      </c>
      <c r="D1035" s="2">
        <v>77.2661</v>
      </c>
    </row>
    <row r="1036">
      <c r="A1036" s="4">
        <v>45151.0</v>
      </c>
      <c r="B1036" s="2">
        <v>1544043.0</v>
      </c>
      <c r="C1036" s="2">
        <v>4681648.0</v>
      </c>
      <c r="D1036" s="2">
        <v>66.8125</v>
      </c>
    </row>
    <row r="1037">
      <c r="A1037" s="4">
        <v>45151.0</v>
      </c>
      <c r="B1037" s="2">
        <v>1643583.0</v>
      </c>
      <c r="C1037" s="2">
        <v>4680565.0</v>
      </c>
      <c r="D1037" s="2">
        <v>46.3658999999999</v>
      </c>
    </row>
    <row r="1038">
      <c r="A1038" s="4">
        <v>44896.0</v>
      </c>
      <c r="B1038" s="2">
        <v>1467363.0</v>
      </c>
      <c r="C1038" s="2">
        <v>3997952.0</v>
      </c>
      <c r="D1038" s="2">
        <v>59.7134999999999</v>
      </c>
    </row>
    <row r="1039">
      <c r="A1039" s="4">
        <v>44896.0</v>
      </c>
      <c r="B1039" s="2">
        <v>1467843.0</v>
      </c>
      <c r="C1039" s="2">
        <v>3999329.0</v>
      </c>
      <c r="D1039" s="2">
        <v>19.3212</v>
      </c>
    </row>
    <row r="1040">
      <c r="A1040" s="4">
        <v>44896.0</v>
      </c>
      <c r="B1040" s="2">
        <v>1428633.0</v>
      </c>
      <c r="C1040" s="2">
        <v>3999863.0</v>
      </c>
      <c r="D1040" s="2">
        <v>241.0729</v>
      </c>
    </row>
    <row r="1041">
      <c r="A1041" s="4">
        <v>44896.0</v>
      </c>
      <c r="B1041" s="2">
        <v>1121103.0</v>
      </c>
      <c r="C1041" s="2">
        <v>3998352.0</v>
      </c>
      <c r="D1041" s="2">
        <v>98.5841</v>
      </c>
    </row>
    <row r="1042">
      <c r="A1042" s="4">
        <v>45152.0</v>
      </c>
      <c r="B1042" s="2">
        <v>1644243.0</v>
      </c>
      <c r="C1042" s="2">
        <v>4683078.0</v>
      </c>
      <c r="D1042" s="2">
        <v>40.0128</v>
      </c>
    </row>
    <row r="1043">
      <c r="A1043" s="4">
        <v>45152.0</v>
      </c>
      <c r="B1043" s="2">
        <v>257913.0</v>
      </c>
      <c r="C1043" s="2">
        <v>4683671.0</v>
      </c>
      <c r="D1043" s="2">
        <v>91.5920999999999</v>
      </c>
    </row>
    <row r="1044">
      <c r="A1044" s="4">
        <v>45152.0</v>
      </c>
      <c r="B1044" s="2">
        <v>1544253.0</v>
      </c>
      <c r="C1044" s="2">
        <v>4682660.0</v>
      </c>
      <c r="D1044" s="2">
        <v>88.5985999999999</v>
      </c>
    </row>
    <row r="1045">
      <c r="A1045" s="4">
        <v>45152.0</v>
      </c>
      <c r="B1045" s="2">
        <v>1644393.0</v>
      </c>
      <c r="C1045" s="2">
        <v>4683637.0</v>
      </c>
      <c r="D1045" s="2">
        <v>9.6493</v>
      </c>
    </row>
    <row r="1046">
      <c r="A1046" s="4">
        <v>45152.0</v>
      </c>
      <c r="B1046" s="2">
        <v>1163223.0</v>
      </c>
      <c r="C1046" s="2">
        <v>4684549.0</v>
      </c>
      <c r="D1046" s="2">
        <v>86.626</v>
      </c>
    </row>
    <row r="1047">
      <c r="A1047" s="4">
        <v>45152.0</v>
      </c>
      <c r="B1047" s="2">
        <v>234033.0</v>
      </c>
      <c r="C1047" s="2">
        <v>4684055.0</v>
      </c>
      <c r="D1047" s="2">
        <v>64.5055999999999</v>
      </c>
    </row>
    <row r="1048">
      <c r="A1048" s="4">
        <v>45152.0</v>
      </c>
      <c r="B1048" s="2">
        <v>1644363.0</v>
      </c>
      <c r="C1048" s="2">
        <v>4683510.0</v>
      </c>
      <c r="D1048" s="2">
        <v>19.5336</v>
      </c>
    </row>
    <row r="1049">
      <c r="A1049" s="4">
        <v>44897.0</v>
      </c>
      <c r="B1049" s="2">
        <v>1291233.0</v>
      </c>
      <c r="C1049" s="2">
        <v>4002439.0</v>
      </c>
      <c r="D1049" s="2">
        <v>70.338</v>
      </c>
    </row>
    <row r="1050">
      <c r="A1050" s="4">
        <v>44897.0</v>
      </c>
      <c r="B1050" s="2">
        <v>1345623.0</v>
      </c>
      <c r="C1050" s="2">
        <v>4000346.0</v>
      </c>
      <c r="D1050" s="2">
        <v>77.2766</v>
      </c>
    </row>
    <row r="1051">
      <c r="A1051" s="4">
        <v>44897.0</v>
      </c>
      <c r="B1051" s="2">
        <v>1351803.0</v>
      </c>
      <c r="C1051" s="2">
        <v>4002538.0</v>
      </c>
      <c r="D1051" s="2">
        <v>81.2314</v>
      </c>
    </row>
    <row r="1052">
      <c r="A1052" s="4">
        <v>44897.0</v>
      </c>
      <c r="B1052" s="2">
        <v>1367313.0</v>
      </c>
      <c r="C1052" s="2">
        <v>4001558.0</v>
      </c>
      <c r="D1052" s="2">
        <v>99.3431</v>
      </c>
    </row>
    <row r="1053">
      <c r="A1053" s="4">
        <v>44897.0</v>
      </c>
      <c r="B1053" s="2">
        <v>146283.0</v>
      </c>
      <c r="C1053" s="2">
        <v>4000725.0</v>
      </c>
      <c r="D1053" s="2">
        <v>95.5836</v>
      </c>
    </row>
    <row r="1054">
      <c r="A1054" s="4">
        <v>45153.0</v>
      </c>
      <c r="B1054" s="2">
        <v>1644843.0</v>
      </c>
      <c r="C1054" s="2">
        <v>4685329.0</v>
      </c>
      <c r="D1054" s="2">
        <v>52.2654</v>
      </c>
    </row>
    <row r="1055">
      <c r="A1055" s="4">
        <v>45153.0</v>
      </c>
      <c r="B1055" s="2">
        <v>1179483.0</v>
      </c>
      <c r="C1055" s="2">
        <v>4685987.0</v>
      </c>
      <c r="D1055" s="2">
        <v>87.4134</v>
      </c>
    </row>
    <row r="1056">
      <c r="A1056" s="4">
        <v>45153.0</v>
      </c>
      <c r="B1056" s="2">
        <v>1645173.0</v>
      </c>
      <c r="C1056" s="2">
        <v>4686480.0</v>
      </c>
      <c r="D1056" s="2">
        <v>15.675</v>
      </c>
    </row>
    <row r="1057">
      <c r="A1057" s="4">
        <v>45153.0</v>
      </c>
      <c r="B1057" s="2">
        <v>1645023.0</v>
      </c>
      <c r="C1057" s="2">
        <v>4685952.0</v>
      </c>
      <c r="D1057" s="2">
        <v>9.2327</v>
      </c>
    </row>
    <row r="1058">
      <c r="A1058" s="4">
        <v>44898.0</v>
      </c>
      <c r="B1058" s="2">
        <v>1452273.0</v>
      </c>
      <c r="C1058" s="2">
        <v>4003954.0</v>
      </c>
      <c r="D1058" s="2">
        <v>66.1849</v>
      </c>
    </row>
    <row r="1059">
      <c r="A1059" s="4">
        <v>44898.0</v>
      </c>
      <c r="B1059" s="2">
        <v>1184643.0</v>
      </c>
      <c r="C1059" s="2">
        <v>4006067.0</v>
      </c>
      <c r="D1059" s="2">
        <v>140.1898</v>
      </c>
    </row>
    <row r="1060">
      <c r="A1060" s="4">
        <v>44898.0</v>
      </c>
      <c r="B1060" s="2">
        <v>1469883.0</v>
      </c>
      <c r="C1060" s="2">
        <v>4005323.0</v>
      </c>
      <c r="D1060" s="2">
        <v>38.1792</v>
      </c>
    </row>
    <row r="1061">
      <c r="A1061" s="4">
        <v>44898.0</v>
      </c>
      <c r="B1061" s="2">
        <v>1470033.0</v>
      </c>
      <c r="C1061" s="2">
        <v>4005802.0</v>
      </c>
      <c r="D1061" s="2">
        <v>48.75</v>
      </c>
    </row>
    <row r="1062">
      <c r="A1062" s="4">
        <v>44898.0</v>
      </c>
      <c r="B1062" s="2">
        <v>246153.0</v>
      </c>
      <c r="C1062" s="2">
        <v>4004867.0</v>
      </c>
      <c r="D1062" s="2">
        <v>62.1538</v>
      </c>
    </row>
    <row r="1063">
      <c r="A1063" s="4">
        <v>44898.0</v>
      </c>
      <c r="B1063" s="2">
        <v>1469763.0</v>
      </c>
      <c r="C1063" s="2">
        <v>4004997.0</v>
      </c>
      <c r="D1063" s="2">
        <v>36.675</v>
      </c>
    </row>
    <row r="1064">
      <c r="A1064" s="4">
        <v>44898.0</v>
      </c>
      <c r="B1064" s="2">
        <v>948573.0</v>
      </c>
      <c r="C1064" s="2">
        <v>4006028.0</v>
      </c>
      <c r="D1064" s="2">
        <v>78.3416</v>
      </c>
    </row>
    <row r="1065">
      <c r="A1065" s="4">
        <v>44898.0</v>
      </c>
      <c r="B1065" s="2">
        <v>1469943.0</v>
      </c>
      <c r="C1065" s="2">
        <v>4005516.0</v>
      </c>
      <c r="D1065" s="2">
        <v>46.1779</v>
      </c>
    </row>
    <row r="1066">
      <c r="A1066" s="4">
        <v>45154.0</v>
      </c>
      <c r="B1066" s="2">
        <v>1413543.0</v>
      </c>
      <c r="C1066" s="2">
        <v>4686937.0</v>
      </c>
      <c r="D1066" s="2">
        <v>58.527</v>
      </c>
    </row>
    <row r="1067">
      <c r="A1067" s="4">
        <v>45154.0</v>
      </c>
      <c r="B1067" s="2">
        <v>1612353.0</v>
      </c>
      <c r="C1067" s="2">
        <v>4688002.0</v>
      </c>
      <c r="D1067" s="2">
        <v>62.777</v>
      </c>
    </row>
    <row r="1068">
      <c r="A1068" s="4">
        <v>45154.0</v>
      </c>
      <c r="B1068" s="2">
        <v>474633.0</v>
      </c>
      <c r="C1068" s="2">
        <v>4686611.0</v>
      </c>
      <c r="D1068" s="2">
        <v>196.3156</v>
      </c>
    </row>
    <row r="1069">
      <c r="A1069" s="4">
        <v>45154.0</v>
      </c>
      <c r="B1069" s="2">
        <v>1645323.0</v>
      </c>
      <c r="C1069" s="2">
        <v>4686964.0</v>
      </c>
      <c r="D1069" s="2">
        <v>8.1989</v>
      </c>
    </row>
    <row r="1070">
      <c r="A1070" s="4">
        <v>45154.0</v>
      </c>
      <c r="B1070" s="2">
        <v>1505073.0</v>
      </c>
      <c r="C1070" s="2">
        <v>4687238.0</v>
      </c>
      <c r="D1070" s="2">
        <v>52.2018</v>
      </c>
    </row>
    <row r="1071">
      <c r="A1071" s="4">
        <v>45154.0</v>
      </c>
      <c r="B1071" s="2">
        <v>1173993.0</v>
      </c>
      <c r="C1071" s="2">
        <v>4686606.0</v>
      </c>
      <c r="D1071" s="2">
        <v>112.0381</v>
      </c>
    </row>
    <row r="1072">
      <c r="A1072" s="4">
        <v>45154.0</v>
      </c>
      <c r="B1072" s="2">
        <v>1626093.0</v>
      </c>
      <c r="C1072" s="2">
        <v>4687653.0</v>
      </c>
      <c r="D1072" s="2">
        <v>12.4167</v>
      </c>
    </row>
    <row r="1073">
      <c r="A1073" s="4">
        <v>45154.0</v>
      </c>
      <c r="B1073" s="2">
        <v>1645383.0</v>
      </c>
      <c r="C1073" s="2">
        <v>4687160.0</v>
      </c>
      <c r="D1073" s="2">
        <v>21.3671</v>
      </c>
    </row>
    <row r="1074">
      <c r="A1074" s="4">
        <v>45154.0</v>
      </c>
      <c r="B1074" s="2">
        <v>1626093.0</v>
      </c>
      <c r="C1074" s="2">
        <v>4687705.0</v>
      </c>
      <c r="D1074" s="2">
        <v>84.6699999999999</v>
      </c>
    </row>
    <row r="1075">
      <c r="A1075" s="4">
        <v>44899.0</v>
      </c>
      <c r="B1075" s="2">
        <v>1470573.0</v>
      </c>
      <c r="C1075" s="2">
        <v>4008038.0</v>
      </c>
      <c r="D1075" s="2">
        <v>93.3967</v>
      </c>
    </row>
    <row r="1076">
      <c r="A1076" s="4">
        <v>44899.0</v>
      </c>
      <c r="B1076" s="2">
        <v>1372173.0</v>
      </c>
      <c r="C1076" s="2">
        <v>4007285.0</v>
      </c>
      <c r="D1076" s="2">
        <v>155.6825</v>
      </c>
    </row>
    <row r="1077">
      <c r="A1077" s="4">
        <v>44899.0</v>
      </c>
      <c r="B1077" s="2">
        <v>1442403.0</v>
      </c>
      <c r="C1077" s="2">
        <v>4009684.0</v>
      </c>
      <c r="D1077" s="2">
        <v>77.2259999999999</v>
      </c>
    </row>
    <row r="1078">
      <c r="A1078" s="4">
        <v>44899.0</v>
      </c>
      <c r="B1078" s="2">
        <v>491733.0</v>
      </c>
      <c r="C1078" s="2">
        <v>4007006.0</v>
      </c>
      <c r="D1078" s="2">
        <v>77.152</v>
      </c>
    </row>
    <row r="1079">
      <c r="A1079" s="4">
        <v>44899.0</v>
      </c>
      <c r="B1079" s="2">
        <v>996933.0</v>
      </c>
      <c r="C1079" s="2">
        <v>4010106.0</v>
      </c>
      <c r="D1079" s="2">
        <v>100.401099999999</v>
      </c>
    </row>
    <row r="1080">
      <c r="A1080" s="4">
        <v>44899.0</v>
      </c>
      <c r="B1080" s="2">
        <v>1107963.0</v>
      </c>
      <c r="C1080" s="2">
        <v>4007959.0</v>
      </c>
      <c r="D1080" s="2">
        <v>59.9925</v>
      </c>
    </row>
    <row r="1081">
      <c r="A1081" s="4">
        <v>44899.0</v>
      </c>
      <c r="B1081" s="2">
        <v>1469433.0</v>
      </c>
      <c r="C1081" s="2">
        <v>4010500.0</v>
      </c>
      <c r="D1081" s="2">
        <v>39.9179</v>
      </c>
    </row>
    <row r="1082">
      <c r="A1082" s="4">
        <v>44899.0</v>
      </c>
      <c r="B1082" s="2">
        <v>1471263.0</v>
      </c>
      <c r="C1082" s="2">
        <v>4010295.0</v>
      </c>
      <c r="D1082" s="2">
        <v>41.2624</v>
      </c>
    </row>
    <row r="1083">
      <c r="A1083" s="4">
        <v>44899.0</v>
      </c>
      <c r="B1083" s="2">
        <v>331473.0</v>
      </c>
      <c r="C1083" s="2">
        <v>4007571.0</v>
      </c>
      <c r="D1083" s="2">
        <v>32.3</v>
      </c>
    </row>
    <row r="1084">
      <c r="A1084" s="4">
        <v>44899.0</v>
      </c>
      <c r="B1084" s="2">
        <v>1409553.0</v>
      </c>
      <c r="C1084" s="2">
        <v>4009146.0</v>
      </c>
      <c r="D1084" s="2">
        <v>79.1791</v>
      </c>
    </row>
    <row r="1085">
      <c r="A1085" s="4">
        <v>44899.0</v>
      </c>
      <c r="B1085" s="2">
        <v>1470933.0</v>
      </c>
      <c r="C1085" s="2">
        <v>4009272.0</v>
      </c>
      <c r="D1085" s="2">
        <v>6.654</v>
      </c>
    </row>
    <row r="1086">
      <c r="A1086" s="4">
        <v>44899.0</v>
      </c>
      <c r="B1086" s="2">
        <v>1470453.0</v>
      </c>
      <c r="C1086" s="2">
        <v>4007612.0</v>
      </c>
      <c r="D1086" s="2">
        <v>17.9583</v>
      </c>
    </row>
    <row r="1087">
      <c r="A1087" s="4">
        <v>44899.0</v>
      </c>
      <c r="B1087" s="2">
        <v>1469103.0</v>
      </c>
      <c r="C1087" s="2">
        <v>4006946.0</v>
      </c>
      <c r="D1087" s="2">
        <v>37.9167</v>
      </c>
    </row>
    <row r="1088">
      <c r="A1088" s="4">
        <v>44899.0</v>
      </c>
      <c r="B1088" s="2">
        <v>1470813.0</v>
      </c>
      <c r="C1088" s="2">
        <v>4008851.0</v>
      </c>
      <c r="D1088" s="2">
        <v>35.9751</v>
      </c>
    </row>
    <row r="1089">
      <c r="A1089" s="4">
        <v>45155.0</v>
      </c>
      <c r="B1089" s="2">
        <v>33993.0</v>
      </c>
      <c r="C1089" s="2">
        <v>4690255.0</v>
      </c>
      <c r="D1089" s="2">
        <v>85.1846</v>
      </c>
    </row>
    <row r="1090">
      <c r="A1090" s="4">
        <v>45155.0</v>
      </c>
      <c r="B1090" s="2">
        <v>1645653.0</v>
      </c>
      <c r="C1090" s="2">
        <v>4689754.0</v>
      </c>
      <c r="D1090" s="2">
        <v>18.9479</v>
      </c>
    </row>
    <row r="1091">
      <c r="A1091" s="4">
        <v>45155.0</v>
      </c>
      <c r="B1091" s="2">
        <v>1547883.0</v>
      </c>
      <c r="C1091" s="2">
        <v>4689610.0</v>
      </c>
      <c r="D1091" s="2">
        <v>73.32</v>
      </c>
    </row>
    <row r="1092">
      <c r="A1092" s="4">
        <v>45155.0</v>
      </c>
      <c r="B1092" s="2">
        <v>1645953.0</v>
      </c>
      <c r="C1092" s="2">
        <v>4689101.0</v>
      </c>
      <c r="D1092" s="2">
        <v>85.8358999999999</v>
      </c>
    </row>
    <row r="1093">
      <c r="A1093" s="4">
        <v>45155.0</v>
      </c>
      <c r="B1093" s="2">
        <v>1390533.0</v>
      </c>
      <c r="C1093" s="2">
        <v>4690235.0</v>
      </c>
      <c r="D1093" s="2">
        <v>44.381</v>
      </c>
    </row>
    <row r="1094">
      <c r="A1094" s="4">
        <v>45155.0</v>
      </c>
      <c r="B1094" s="2">
        <v>474633.0</v>
      </c>
      <c r="C1094" s="2">
        <v>4690570.0</v>
      </c>
      <c r="D1094" s="2">
        <v>115.09</v>
      </c>
    </row>
    <row r="1095">
      <c r="A1095" s="4">
        <v>44900.0</v>
      </c>
      <c r="B1095" s="2">
        <v>366003.0</v>
      </c>
      <c r="C1095" s="2">
        <v>4011808.0</v>
      </c>
      <c r="D1095" s="2">
        <v>115.4126</v>
      </c>
    </row>
    <row r="1096">
      <c r="A1096" s="4">
        <v>44900.0</v>
      </c>
      <c r="B1096" s="2">
        <v>1380573.0</v>
      </c>
      <c r="C1096" s="2">
        <v>4013326.0</v>
      </c>
      <c r="D1096" s="2">
        <v>42.4292</v>
      </c>
    </row>
    <row r="1097">
      <c r="A1097" s="4">
        <v>44900.0</v>
      </c>
      <c r="B1097" s="2">
        <v>1471713.0</v>
      </c>
      <c r="C1097" s="2">
        <v>4011952.0</v>
      </c>
      <c r="D1097" s="2">
        <v>20.175</v>
      </c>
    </row>
    <row r="1098">
      <c r="A1098" s="4">
        <v>44900.0</v>
      </c>
      <c r="B1098" s="2">
        <v>1384563.0</v>
      </c>
      <c r="C1098" s="2">
        <v>4011836.0</v>
      </c>
      <c r="D1098" s="2">
        <v>68.0625</v>
      </c>
    </row>
    <row r="1099">
      <c r="A1099" s="4">
        <v>44900.0</v>
      </c>
      <c r="B1099" s="2">
        <v>1471743.0</v>
      </c>
      <c r="C1099" s="2">
        <v>4012023.0</v>
      </c>
      <c r="D1099" s="2">
        <v>60.6479999999999</v>
      </c>
    </row>
    <row r="1100">
      <c r="A1100" s="4">
        <v>45156.0</v>
      </c>
      <c r="B1100" s="2">
        <v>1423773.0</v>
      </c>
      <c r="C1100" s="2">
        <v>4691349.0</v>
      </c>
      <c r="D1100" s="2">
        <v>150.446299999999</v>
      </c>
    </row>
    <row r="1101">
      <c r="A1101" s="4">
        <v>45156.0</v>
      </c>
      <c r="B1101" s="2">
        <v>415473.0</v>
      </c>
      <c r="C1101" s="2">
        <v>4691795.0</v>
      </c>
      <c r="D1101" s="2">
        <v>107.8204</v>
      </c>
    </row>
    <row r="1102">
      <c r="A1102" s="4">
        <v>45156.0</v>
      </c>
      <c r="B1102" s="2">
        <v>1162143.0</v>
      </c>
      <c r="C1102" s="2">
        <v>4691630.0</v>
      </c>
      <c r="D1102" s="2">
        <v>74.6696</v>
      </c>
    </row>
    <row r="1103">
      <c r="A1103" s="4">
        <v>45156.0</v>
      </c>
      <c r="B1103" s="2">
        <v>1646493.0</v>
      </c>
      <c r="C1103" s="2">
        <v>4691084.0</v>
      </c>
      <c r="D1103" s="2">
        <v>69.0149</v>
      </c>
    </row>
    <row r="1104">
      <c r="A1104" s="4">
        <v>44901.0</v>
      </c>
      <c r="B1104" s="2">
        <v>1473093.0</v>
      </c>
      <c r="C1104" s="2">
        <v>4016205.0</v>
      </c>
      <c r="D1104" s="2">
        <v>92.9167</v>
      </c>
    </row>
    <row r="1105">
      <c r="A1105" s="4">
        <v>44901.0</v>
      </c>
      <c r="B1105" s="2">
        <v>1010553.0</v>
      </c>
      <c r="C1105" s="2">
        <v>4014420.0</v>
      </c>
      <c r="D1105" s="2">
        <v>62.3351999999999</v>
      </c>
    </row>
    <row r="1106">
      <c r="A1106" s="4">
        <v>44901.0</v>
      </c>
      <c r="B1106" s="2">
        <v>1194483.0</v>
      </c>
      <c r="C1106" s="2">
        <v>4016506.0</v>
      </c>
      <c r="D1106" s="2">
        <v>170.7121</v>
      </c>
    </row>
    <row r="1107">
      <c r="A1107" s="4">
        <v>44901.0</v>
      </c>
      <c r="B1107" s="2">
        <v>1472523.0</v>
      </c>
      <c r="C1107" s="2">
        <v>4014390.0</v>
      </c>
      <c r="D1107" s="2">
        <v>72.4923</v>
      </c>
    </row>
    <row r="1108">
      <c r="A1108" s="4">
        <v>44901.0</v>
      </c>
      <c r="B1108" s="2">
        <v>1423773.0</v>
      </c>
      <c r="C1108" s="2">
        <v>4016499.0</v>
      </c>
      <c r="D1108" s="2">
        <v>62.4375</v>
      </c>
    </row>
    <row r="1109">
      <c r="A1109" s="4">
        <v>44901.0</v>
      </c>
      <c r="B1109" s="2">
        <v>262083.0</v>
      </c>
      <c r="C1109" s="2">
        <v>4016946.0</v>
      </c>
      <c r="D1109" s="2">
        <v>83.7278</v>
      </c>
    </row>
    <row r="1110">
      <c r="A1110" s="4">
        <v>44901.0</v>
      </c>
      <c r="B1110" s="2">
        <v>481893.0</v>
      </c>
      <c r="C1110" s="2">
        <v>4016511.0</v>
      </c>
      <c r="D1110" s="2">
        <v>86.5527</v>
      </c>
    </row>
    <row r="1111">
      <c r="A1111" s="4">
        <v>45157.0</v>
      </c>
      <c r="B1111" s="2">
        <v>1261383.0</v>
      </c>
      <c r="C1111" s="2">
        <v>4692921.0</v>
      </c>
      <c r="D1111" s="2">
        <v>96.0688</v>
      </c>
    </row>
    <row r="1112">
      <c r="A1112" s="4">
        <v>44902.0</v>
      </c>
      <c r="B1112" s="2">
        <v>1100373.0</v>
      </c>
      <c r="C1112" s="2">
        <v>4019008.0</v>
      </c>
      <c r="D1112" s="2">
        <v>77.6687999999999</v>
      </c>
    </row>
    <row r="1113">
      <c r="A1113" s="4">
        <v>44902.0</v>
      </c>
      <c r="B1113" s="2">
        <v>1473153.0</v>
      </c>
      <c r="C1113" s="2">
        <v>4020411.0</v>
      </c>
      <c r="D1113" s="2">
        <v>23.2949</v>
      </c>
    </row>
    <row r="1114">
      <c r="A1114" s="4">
        <v>44902.0</v>
      </c>
      <c r="B1114" s="2">
        <v>1387443.0</v>
      </c>
      <c r="C1114" s="2">
        <v>4018343.0</v>
      </c>
      <c r="D1114" s="2">
        <v>105.5512</v>
      </c>
    </row>
    <row r="1115">
      <c r="A1115" s="4">
        <v>44902.0</v>
      </c>
      <c r="B1115" s="2">
        <v>63723.0</v>
      </c>
      <c r="C1115" s="2">
        <v>4020568.0</v>
      </c>
      <c r="D1115" s="2">
        <v>122.8697</v>
      </c>
    </row>
    <row r="1116">
      <c r="A1116" s="4">
        <v>44902.0</v>
      </c>
      <c r="B1116" s="2">
        <v>1468563.0</v>
      </c>
      <c r="C1116" s="2">
        <v>4019589.0</v>
      </c>
      <c r="D1116" s="2">
        <v>3.6598</v>
      </c>
    </row>
    <row r="1117">
      <c r="A1117" s="4">
        <v>44902.0</v>
      </c>
      <c r="B1117" s="2">
        <v>1473483.0</v>
      </c>
      <c r="C1117" s="2">
        <v>4017448.0</v>
      </c>
      <c r="D1117" s="2">
        <v>73.1721</v>
      </c>
    </row>
    <row r="1118">
      <c r="A1118" s="4">
        <v>44902.0</v>
      </c>
      <c r="B1118" s="2">
        <v>171213.0</v>
      </c>
      <c r="C1118" s="2">
        <v>4019026.0</v>
      </c>
      <c r="D1118" s="2">
        <v>79.2667</v>
      </c>
    </row>
    <row r="1119">
      <c r="A1119" s="4">
        <v>45158.0</v>
      </c>
      <c r="B1119" s="2">
        <v>1534623.0</v>
      </c>
      <c r="C1119" s="2">
        <v>4696189.0</v>
      </c>
      <c r="D1119" s="2">
        <v>75.9503999999999</v>
      </c>
    </row>
    <row r="1120">
      <c r="A1120" s="4">
        <v>45158.0</v>
      </c>
      <c r="B1120" s="2">
        <v>1648083.0</v>
      </c>
      <c r="C1120" s="2">
        <v>4696980.0</v>
      </c>
      <c r="D1120" s="2">
        <v>23.128</v>
      </c>
    </row>
    <row r="1121">
      <c r="A1121" s="4">
        <v>45158.0</v>
      </c>
      <c r="B1121" s="2">
        <v>1647693.0</v>
      </c>
      <c r="C1121" s="2">
        <v>4695449.0</v>
      </c>
      <c r="D1121" s="2">
        <v>9.6161</v>
      </c>
    </row>
    <row r="1122">
      <c r="A1122" s="4">
        <v>45158.0</v>
      </c>
      <c r="B1122" s="2">
        <v>1644393.0</v>
      </c>
      <c r="C1122" s="2">
        <v>4695216.0</v>
      </c>
      <c r="D1122" s="2">
        <v>11.9224</v>
      </c>
    </row>
    <row r="1123">
      <c r="A1123" s="4">
        <v>45158.0</v>
      </c>
      <c r="B1123" s="2">
        <v>1648203.0</v>
      </c>
      <c r="C1123" s="2">
        <v>4697493.0</v>
      </c>
      <c r="D1123" s="2">
        <v>15.25</v>
      </c>
    </row>
    <row r="1124">
      <c r="A1124" s="4">
        <v>44903.0</v>
      </c>
      <c r="B1124" s="2">
        <v>1228443.0</v>
      </c>
      <c r="C1124" s="2">
        <v>4022569.0</v>
      </c>
      <c r="D1124" s="2">
        <v>78.8339</v>
      </c>
    </row>
    <row r="1125">
      <c r="A1125" s="4">
        <v>44903.0</v>
      </c>
      <c r="B1125" s="2">
        <v>1474983.0</v>
      </c>
      <c r="C1125" s="2">
        <v>4022626.0</v>
      </c>
      <c r="D1125" s="2">
        <v>55.575</v>
      </c>
    </row>
    <row r="1126">
      <c r="A1126" s="4">
        <v>44903.0</v>
      </c>
      <c r="B1126" s="2">
        <v>1474443.0</v>
      </c>
      <c r="C1126" s="2">
        <v>4022339.0</v>
      </c>
      <c r="D1126" s="2">
        <v>36.8414</v>
      </c>
    </row>
    <row r="1127">
      <c r="A1127" s="4">
        <v>44903.0</v>
      </c>
      <c r="B1127" s="2">
        <v>1430133.0</v>
      </c>
      <c r="C1127" s="2">
        <v>4021719.0</v>
      </c>
      <c r="D1127" s="2">
        <v>18.0008999999999</v>
      </c>
    </row>
    <row r="1128">
      <c r="A1128" s="4">
        <v>44903.0</v>
      </c>
      <c r="B1128" s="2">
        <v>1474593.0</v>
      </c>
      <c r="C1128" s="2">
        <v>4021385.0</v>
      </c>
      <c r="D1128" s="2">
        <v>85.5411</v>
      </c>
    </row>
    <row r="1129">
      <c r="A1129" s="4">
        <v>44903.0</v>
      </c>
      <c r="B1129" s="2">
        <v>1173993.0</v>
      </c>
      <c r="C1129" s="2">
        <v>4022747.0</v>
      </c>
      <c r="D1129" s="2">
        <v>71.6751</v>
      </c>
    </row>
    <row r="1130">
      <c r="A1130" s="4">
        <v>44903.0</v>
      </c>
      <c r="B1130" s="2">
        <v>1474503.0</v>
      </c>
      <c r="C1130" s="2">
        <v>4021061.0</v>
      </c>
      <c r="D1130" s="2">
        <v>20.6824999999999</v>
      </c>
    </row>
    <row r="1131">
      <c r="A1131" s="4">
        <v>44903.0</v>
      </c>
      <c r="B1131" s="2">
        <v>1077423.0</v>
      </c>
      <c r="C1131" s="2">
        <v>4021493.0</v>
      </c>
      <c r="D1131" s="2">
        <v>198.4296</v>
      </c>
    </row>
    <row r="1132">
      <c r="A1132" s="4">
        <v>44903.0</v>
      </c>
      <c r="B1132" s="2">
        <v>1077273.0</v>
      </c>
      <c r="C1132" s="2">
        <v>4022907.0</v>
      </c>
      <c r="D1132" s="2">
        <v>83.3219</v>
      </c>
    </row>
    <row r="1133">
      <c r="A1133" s="4">
        <v>44903.0</v>
      </c>
      <c r="B1133" s="2">
        <v>1468713.0</v>
      </c>
      <c r="C1133" s="2">
        <v>4020664.0</v>
      </c>
      <c r="D1133" s="2">
        <v>40.7078999999999</v>
      </c>
    </row>
    <row r="1134">
      <c r="A1134" s="4">
        <v>44903.0</v>
      </c>
      <c r="B1134" s="2">
        <v>1387683.0</v>
      </c>
      <c r="C1134" s="2">
        <v>4020853.0</v>
      </c>
      <c r="D1134" s="2">
        <v>28.6476999999999</v>
      </c>
    </row>
    <row r="1135">
      <c r="A1135" s="4">
        <v>44903.0</v>
      </c>
      <c r="B1135" s="2">
        <v>1474893.0</v>
      </c>
      <c r="C1135" s="2">
        <v>4022334.0</v>
      </c>
      <c r="D1135" s="2">
        <v>84.3749</v>
      </c>
    </row>
    <row r="1136">
      <c r="A1136" s="4">
        <v>45159.0</v>
      </c>
      <c r="B1136" s="2">
        <v>223263.0</v>
      </c>
      <c r="C1136" s="2">
        <v>4698300.0</v>
      </c>
      <c r="D1136" s="2">
        <v>92.7081999999999</v>
      </c>
    </row>
    <row r="1137">
      <c r="A1137" s="4">
        <v>45159.0</v>
      </c>
      <c r="B1137" s="2">
        <v>1077813.0</v>
      </c>
      <c r="C1137" s="2">
        <v>4699880.0</v>
      </c>
      <c r="D1137" s="2">
        <v>98.6315</v>
      </c>
    </row>
    <row r="1138">
      <c r="A1138" s="4">
        <v>45159.0</v>
      </c>
      <c r="B1138" s="2">
        <v>1648683.0</v>
      </c>
      <c r="C1138" s="2">
        <v>4699361.0</v>
      </c>
      <c r="D1138" s="2">
        <v>197.889499999999</v>
      </c>
    </row>
    <row r="1139">
      <c r="A1139" s="4">
        <v>44904.0</v>
      </c>
      <c r="B1139" s="2">
        <v>1475313.0</v>
      </c>
      <c r="C1139" s="2">
        <v>4023677.0</v>
      </c>
      <c r="D1139" s="2">
        <v>12.0207</v>
      </c>
    </row>
    <row r="1140">
      <c r="A1140" s="4">
        <v>44904.0</v>
      </c>
      <c r="B1140" s="2">
        <v>1465233.0</v>
      </c>
      <c r="C1140" s="2">
        <v>4024430.0</v>
      </c>
      <c r="D1140" s="2">
        <v>126.3172</v>
      </c>
    </row>
    <row r="1141">
      <c r="A1141" s="4">
        <v>44904.0</v>
      </c>
      <c r="B1141" s="2">
        <v>1415343.0</v>
      </c>
      <c r="C1141" s="2">
        <v>4025279.0</v>
      </c>
      <c r="D1141" s="2">
        <v>44.078</v>
      </c>
    </row>
    <row r="1142">
      <c r="A1142" s="4">
        <v>44904.0</v>
      </c>
      <c r="B1142" s="2">
        <v>1475463.0</v>
      </c>
      <c r="C1142" s="2">
        <v>4024196.0</v>
      </c>
      <c r="D1142" s="2">
        <v>141.3025</v>
      </c>
    </row>
    <row r="1143">
      <c r="A1143" s="4">
        <v>44904.0</v>
      </c>
      <c r="B1143" s="2">
        <v>1475553.0</v>
      </c>
      <c r="C1143" s="2">
        <v>4024494.0</v>
      </c>
      <c r="D1143" s="2">
        <v>48.477</v>
      </c>
    </row>
    <row r="1144">
      <c r="A1144" s="4">
        <v>44904.0</v>
      </c>
      <c r="B1144" s="2">
        <v>1452273.0</v>
      </c>
      <c r="C1144" s="2">
        <v>4023277.0</v>
      </c>
      <c r="D1144" s="2">
        <v>29.0259</v>
      </c>
    </row>
    <row r="1145">
      <c r="A1145" s="4">
        <v>44904.0</v>
      </c>
      <c r="B1145" s="2">
        <v>1341843.0</v>
      </c>
      <c r="C1145" s="2">
        <v>4024374.0</v>
      </c>
      <c r="D1145" s="2">
        <v>130.3084</v>
      </c>
    </row>
    <row r="1146">
      <c r="A1146" s="4">
        <v>44904.0</v>
      </c>
      <c r="B1146" s="2">
        <v>331473.0</v>
      </c>
      <c r="C1146" s="2">
        <v>4024198.0</v>
      </c>
      <c r="D1146" s="2">
        <v>56.0053999999999</v>
      </c>
    </row>
    <row r="1147">
      <c r="A1147" s="4">
        <v>44904.0</v>
      </c>
      <c r="B1147" s="2">
        <v>1223673.0</v>
      </c>
      <c r="C1147" s="2">
        <v>4025543.0</v>
      </c>
      <c r="D1147" s="2">
        <v>72.3163</v>
      </c>
    </row>
    <row r="1148">
      <c r="A1148" s="4">
        <v>44904.0</v>
      </c>
      <c r="B1148" s="2">
        <v>1475793.0</v>
      </c>
      <c r="C1148" s="2">
        <v>4025196.0</v>
      </c>
      <c r="D1148" s="2">
        <v>29.925</v>
      </c>
    </row>
    <row r="1149">
      <c r="A1149" s="4">
        <v>44904.0</v>
      </c>
      <c r="B1149" s="2">
        <v>1381413.0</v>
      </c>
      <c r="C1149" s="2">
        <v>4025102.0</v>
      </c>
      <c r="D1149" s="2">
        <v>66.8181</v>
      </c>
    </row>
    <row r="1150">
      <c r="A1150" s="4">
        <v>45160.0</v>
      </c>
      <c r="B1150" s="2">
        <v>1442343.0</v>
      </c>
      <c r="C1150" s="2">
        <v>4701878.0</v>
      </c>
      <c r="D1150" s="2">
        <v>38.6432</v>
      </c>
    </row>
    <row r="1151">
      <c r="A1151" s="4">
        <v>45160.0</v>
      </c>
      <c r="B1151" s="2">
        <v>1649283.0</v>
      </c>
      <c r="C1151" s="2">
        <v>4701920.0</v>
      </c>
      <c r="D1151" s="2">
        <v>38.8649</v>
      </c>
    </row>
    <row r="1152">
      <c r="A1152" s="4">
        <v>44905.0</v>
      </c>
      <c r="B1152" s="2">
        <v>1476003.0</v>
      </c>
      <c r="C1152" s="2">
        <v>4025909.0</v>
      </c>
      <c r="D1152" s="2">
        <v>15.1277</v>
      </c>
    </row>
    <row r="1153">
      <c r="A1153" s="4">
        <v>44905.0</v>
      </c>
      <c r="B1153" s="2">
        <v>1476873.0</v>
      </c>
      <c r="C1153" s="2">
        <v>4028939.0</v>
      </c>
      <c r="D1153" s="2">
        <v>27.7004</v>
      </c>
    </row>
    <row r="1154">
      <c r="A1154" s="4">
        <v>44905.0</v>
      </c>
      <c r="B1154" s="2">
        <v>228423.0</v>
      </c>
      <c r="C1154" s="2">
        <v>4028317.0</v>
      </c>
      <c r="D1154" s="2">
        <v>73.6312</v>
      </c>
    </row>
    <row r="1155">
      <c r="A1155" s="4">
        <v>44905.0</v>
      </c>
      <c r="B1155" s="2">
        <v>1196013.0</v>
      </c>
      <c r="C1155" s="2">
        <v>4026811.0</v>
      </c>
      <c r="D1155" s="2">
        <v>206.8749</v>
      </c>
    </row>
    <row r="1156">
      <c r="A1156" s="4">
        <v>44905.0</v>
      </c>
      <c r="B1156" s="2">
        <v>1475943.0</v>
      </c>
      <c r="C1156" s="2">
        <v>4025730.0</v>
      </c>
      <c r="D1156" s="2">
        <v>62.1948</v>
      </c>
    </row>
    <row r="1157">
      <c r="A1157" s="4">
        <v>44905.0</v>
      </c>
      <c r="B1157" s="2">
        <v>1476093.0</v>
      </c>
      <c r="C1157" s="2">
        <v>4026203.0</v>
      </c>
      <c r="D1157" s="2">
        <v>132.6</v>
      </c>
    </row>
    <row r="1158">
      <c r="A1158" s="4">
        <v>44905.0</v>
      </c>
      <c r="B1158" s="2">
        <v>1455903.0</v>
      </c>
      <c r="C1158" s="2">
        <v>4025983.0</v>
      </c>
      <c r="D1158" s="2">
        <v>53.5405</v>
      </c>
    </row>
    <row r="1159">
      <c r="A1159" s="4">
        <v>45161.0</v>
      </c>
      <c r="B1159" s="2">
        <v>1046973.0</v>
      </c>
      <c r="C1159" s="2">
        <v>4703155.0</v>
      </c>
      <c r="D1159" s="2">
        <v>90.6004</v>
      </c>
    </row>
    <row r="1160">
      <c r="A1160" s="4">
        <v>45161.0</v>
      </c>
      <c r="B1160" s="2">
        <v>1649883.0</v>
      </c>
      <c r="C1160" s="2">
        <v>4704267.0</v>
      </c>
      <c r="D1160" s="2">
        <v>130.5506</v>
      </c>
    </row>
    <row r="1161">
      <c r="A1161" s="4">
        <v>45161.0</v>
      </c>
      <c r="B1161" s="2">
        <v>1649583.0</v>
      </c>
      <c r="C1161" s="2">
        <v>4703018.0</v>
      </c>
      <c r="D1161" s="2">
        <v>108.130299999999</v>
      </c>
    </row>
    <row r="1162">
      <c r="A1162" s="4">
        <v>45161.0</v>
      </c>
      <c r="B1162" s="2">
        <v>1478463.0</v>
      </c>
      <c r="C1162" s="2">
        <v>4702751.0</v>
      </c>
      <c r="D1162" s="2">
        <v>128.1686</v>
      </c>
    </row>
    <row r="1163">
      <c r="A1163" s="4">
        <v>45161.0</v>
      </c>
      <c r="B1163" s="2">
        <v>1262733.0</v>
      </c>
      <c r="C1163" s="2">
        <v>4702486.0</v>
      </c>
      <c r="D1163" s="2">
        <v>172.7696</v>
      </c>
    </row>
    <row r="1164">
      <c r="A1164" s="4">
        <v>45161.0</v>
      </c>
      <c r="B1164" s="2">
        <v>1626933.0</v>
      </c>
      <c r="C1164" s="2">
        <v>4704319.0</v>
      </c>
      <c r="D1164" s="2">
        <v>43.3249</v>
      </c>
    </row>
    <row r="1165">
      <c r="A1165" s="4">
        <v>44906.0</v>
      </c>
      <c r="B1165" s="2">
        <v>273093.0</v>
      </c>
      <c r="C1165" s="2">
        <v>4030975.0</v>
      </c>
      <c r="D1165" s="2">
        <v>47.4269</v>
      </c>
    </row>
    <row r="1166">
      <c r="A1166" s="4">
        <v>44906.0</v>
      </c>
      <c r="B1166" s="2">
        <v>1477293.0</v>
      </c>
      <c r="C1166" s="2">
        <v>4030602.0</v>
      </c>
      <c r="D1166" s="2">
        <v>180.1413</v>
      </c>
    </row>
    <row r="1167">
      <c r="A1167" s="4">
        <v>44906.0</v>
      </c>
      <c r="B1167" s="2">
        <v>1380573.0</v>
      </c>
      <c r="C1167" s="2">
        <v>4032266.0</v>
      </c>
      <c r="D1167" s="2">
        <v>35.2528</v>
      </c>
    </row>
    <row r="1168">
      <c r="A1168" s="4">
        <v>44906.0</v>
      </c>
      <c r="B1168" s="2">
        <v>1477113.0</v>
      </c>
      <c r="C1168" s="2">
        <v>4029804.0</v>
      </c>
      <c r="D1168" s="2">
        <v>135.8293</v>
      </c>
    </row>
    <row r="1169">
      <c r="A1169" s="4">
        <v>44906.0</v>
      </c>
      <c r="B1169" s="2">
        <v>473733.0</v>
      </c>
      <c r="C1169" s="2">
        <v>4030154.0</v>
      </c>
      <c r="D1169" s="2">
        <v>43.6017</v>
      </c>
    </row>
    <row r="1170">
      <c r="A1170" s="4">
        <v>44906.0</v>
      </c>
      <c r="B1170" s="2">
        <v>1316463.0</v>
      </c>
      <c r="C1170" s="2">
        <v>4029873.0</v>
      </c>
      <c r="D1170" s="2">
        <v>60.4117</v>
      </c>
    </row>
    <row r="1171">
      <c r="A1171" s="4">
        <v>45162.0</v>
      </c>
      <c r="B1171" s="2">
        <v>1650423.0</v>
      </c>
      <c r="C1171" s="2">
        <v>4706089.0</v>
      </c>
      <c r="D1171" s="2">
        <v>49.394</v>
      </c>
    </row>
    <row r="1172">
      <c r="A1172" s="4">
        <v>45162.0</v>
      </c>
      <c r="B1172" s="2">
        <v>1433553.0</v>
      </c>
      <c r="C1172" s="2">
        <v>4705228.0</v>
      </c>
      <c r="D1172" s="2">
        <v>313.1614</v>
      </c>
    </row>
    <row r="1173">
      <c r="A1173" s="4">
        <v>45162.0</v>
      </c>
      <c r="B1173" s="2">
        <v>1409553.0</v>
      </c>
      <c r="C1173" s="2">
        <v>4705800.0</v>
      </c>
      <c r="D1173" s="2">
        <v>73.3752</v>
      </c>
    </row>
    <row r="1174">
      <c r="A1174" s="4">
        <v>45162.0</v>
      </c>
      <c r="B1174" s="2">
        <v>1428633.0</v>
      </c>
      <c r="C1174" s="2">
        <v>4706711.0</v>
      </c>
      <c r="D1174" s="2">
        <v>123.124</v>
      </c>
    </row>
    <row r="1175">
      <c r="A1175" s="4">
        <v>45162.0</v>
      </c>
      <c r="B1175" s="2">
        <v>1650513.0</v>
      </c>
      <c r="C1175" s="2">
        <v>4706389.0</v>
      </c>
      <c r="D1175" s="2">
        <v>68.6789</v>
      </c>
    </row>
    <row r="1176">
      <c r="A1176" s="4">
        <v>44907.0</v>
      </c>
      <c r="B1176" s="2">
        <v>1478673.0</v>
      </c>
      <c r="C1176" s="2">
        <v>4035694.0</v>
      </c>
      <c r="D1176" s="2">
        <v>70.6282</v>
      </c>
    </row>
    <row r="1177">
      <c r="A1177" s="4">
        <v>44907.0</v>
      </c>
      <c r="B1177" s="2">
        <v>1478643.0</v>
      </c>
      <c r="C1177" s="2">
        <v>4035510.0</v>
      </c>
      <c r="D1177" s="2">
        <v>56.2417</v>
      </c>
    </row>
    <row r="1178">
      <c r="A1178" s="4">
        <v>44907.0</v>
      </c>
      <c r="B1178" s="2">
        <v>231843.0</v>
      </c>
      <c r="C1178" s="2">
        <v>4033941.0</v>
      </c>
      <c r="D1178" s="2">
        <v>58.6119</v>
      </c>
    </row>
    <row r="1179">
      <c r="A1179" s="4">
        <v>44907.0</v>
      </c>
      <c r="B1179" s="2">
        <v>1156593.0</v>
      </c>
      <c r="C1179" s="2">
        <v>4035703.0</v>
      </c>
      <c r="D1179" s="2">
        <v>41.9072</v>
      </c>
    </row>
    <row r="1180">
      <c r="A1180" s="4">
        <v>44907.0</v>
      </c>
      <c r="B1180" s="2">
        <v>1399533.0</v>
      </c>
      <c r="C1180" s="2">
        <v>4036394.0</v>
      </c>
      <c r="D1180" s="2">
        <v>38.9478</v>
      </c>
    </row>
    <row r="1181">
      <c r="A1181" s="4">
        <v>44907.0</v>
      </c>
      <c r="B1181" s="2">
        <v>217743.0</v>
      </c>
      <c r="C1181" s="2">
        <v>4035852.0</v>
      </c>
      <c r="D1181" s="2">
        <v>91.7561999999999</v>
      </c>
    </row>
    <row r="1182">
      <c r="A1182" s="4">
        <v>44907.0</v>
      </c>
      <c r="B1182" s="2">
        <v>1478823.0</v>
      </c>
      <c r="C1182" s="2">
        <v>4036085.0</v>
      </c>
      <c r="D1182" s="2">
        <v>73.1158</v>
      </c>
    </row>
    <row r="1183">
      <c r="A1183" s="4">
        <v>44907.0</v>
      </c>
      <c r="B1183" s="2">
        <v>251463.0</v>
      </c>
      <c r="C1183" s="2">
        <v>4034866.0</v>
      </c>
      <c r="D1183" s="2">
        <v>82.388</v>
      </c>
    </row>
    <row r="1184">
      <c r="A1184" s="4">
        <v>44907.0</v>
      </c>
      <c r="B1184" s="2">
        <v>1478463.0</v>
      </c>
      <c r="C1184" s="2">
        <v>4035032.0</v>
      </c>
      <c r="D1184" s="2">
        <v>42.3512</v>
      </c>
    </row>
    <row r="1185">
      <c r="A1185" s="4">
        <v>45163.0</v>
      </c>
      <c r="B1185" s="2">
        <v>1304853.0</v>
      </c>
      <c r="C1185" s="2">
        <v>4707279.0</v>
      </c>
      <c r="D1185" s="2">
        <v>67.1517</v>
      </c>
    </row>
    <row r="1186">
      <c r="A1186" s="4">
        <v>45163.0</v>
      </c>
      <c r="B1186" s="2">
        <v>1304793.0</v>
      </c>
      <c r="C1186" s="2">
        <v>4707041.0</v>
      </c>
      <c r="D1186" s="2">
        <v>26.3333999999999</v>
      </c>
    </row>
    <row r="1187">
      <c r="A1187" s="4">
        <v>45163.0</v>
      </c>
      <c r="B1187" s="2">
        <v>1465233.0</v>
      </c>
      <c r="C1187" s="2">
        <v>4708468.0</v>
      </c>
      <c r="D1187" s="2">
        <v>114.9534</v>
      </c>
    </row>
    <row r="1188">
      <c r="A1188" s="4">
        <v>45163.0</v>
      </c>
      <c r="B1188" s="2">
        <v>126813.0</v>
      </c>
      <c r="C1188" s="2">
        <v>4707561.0</v>
      </c>
      <c r="D1188" s="2">
        <v>44.6137</v>
      </c>
    </row>
    <row r="1189">
      <c r="A1189" s="4">
        <v>45163.0</v>
      </c>
      <c r="B1189" s="2">
        <v>1321323.0</v>
      </c>
      <c r="C1189" s="2">
        <v>4708079.0</v>
      </c>
      <c r="D1189" s="2">
        <v>32.6666</v>
      </c>
    </row>
    <row r="1190">
      <c r="A1190" s="4">
        <v>45163.0</v>
      </c>
      <c r="B1190" s="2">
        <v>1128333.0</v>
      </c>
      <c r="C1190" s="2">
        <v>4707060.0</v>
      </c>
      <c r="D1190" s="2">
        <v>11.4124</v>
      </c>
    </row>
    <row r="1191">
      <c r="A1191" s="4">
        <v>44908.0</v>
      </c>
      <c r="B1191" s="2">
        <v>1479873.0</v>
      </c>
      <c r="C1191" s="2">
        <v>4039658.0</v>
      </c>
      <c r="D1191" s="2">
        <v>17.4583</v>
      </c>
    </row>
    <row r="1192">
      <c r="A1192" s="4">
        <v>44908.0</v>
      </c>
      <c r="B1192" s="2">
        <v>1416303.0</v>
      </c>
      <c r="C1192" s="2">
        <v>4040207.0</v>
      </c>
      <c r="D1192" s="2">
        <v>39.5811</v>
      </c>
    </row>
    <row r="1193">
      <c r="A1193" s="4">
        <v>44908.0</v>
      </c>
      <c r="B1193" s="2">
        <v>278733.0</v>
      </c>
      <c r="C1193" s="2">
        <v>4040226.0</v>
      </c>
      <c r="D1193" s="2">
        <v>114.988599999999</v>
      </c>
    </row>
    <row r="1194">
      <c r="A1194" s="4">
        <v>44908.0</v>
      </c>
      <c r="B1194" s="2">
        <v>1261023.0</v>
      </c>
      <c r="C1194" s="2">
        <v>4038942.0</v>
      </c>
      <c r="D1194" s="2">
        <v>46.7335999999999</v>
      </c>
    </row>
    <row r="1195">
      <c r="A1195" s="4">
        <v>44908.0</v>
      </c>
      <c r="B1195" s="2">
        <v>1479513.0</v>
      </c>
      <c r="C1195" s="2">
        <v>4038439.0</v>
      </c>
      <c r="D1195" s="2">
        <v>84.5131</v>
      </c>
    </row>
    <row r="1196">
      <c r="A1196" s="4">
        <v>44908.0</v>
      </c>
      <c r="B1196" s="2">
        <v>1455873.0</v>
      </c>
      <c r="C1196" s="2">
        <v>4039501.0</v>
      </c>
      <c r="D1196" s="2">
        <v>71.8034</v>
      </c>
    </row>
    <row r="1197">
      <c r="A1197" s="4">
        <v>44908.0</v>
      </c>
      <c r="B1197" s="2">
        <v>1407333.0</v>
      </c>
      <c r="C1197" s="2">
        <v>4038619.0</v>
      </c>
      <c r="D1197" s="2">
        <v>28.4982</v>
      </c>
    </row>
    <row r="1198">
      <c r="A1198" s="4">
        <v>44908.0</v>
      </c>
      <c r="B1198" s="2">
        <v>257913.0</v>
      </c>
      <c r="C1198" s="2">
        <v>4037617.0</v>
      </c>
      <c r="D1198" s="2">
        <v>101.7464</v>
      </c>
    </row>
    <row r="1199">
      <c r="A1199" s="4">
        <v>44908.0</v>
      </c>
      <c r="B1199" s="2">
        <v>363183.0</v>
      </c>
      <c r="C1199" s="2">
        <v>4038733.0</v>
      </c>
      <c r="D1199" s="2">
        <v>39.7919</v>
      </c>
    </row>
    <row r="1200">
      <c r="A1200" s="4">
        <v>44908.0</v>
      </c>
      <c r="B1200" s="2">
        <v>1479183.0</v>
      </c>
      <c r="C1200" s="2">
        <v>4037370.0</v>
      </c>
      <c r="D1200" s="2">
        <v>56.0</v>
      </c>
    </row>
    <row r="1201">
      <c r="A1201" s="4">
        <v>44908.0</v>
      </c>
      <c r="B1201" s="2">
        <v>1479543.0</v>
      </c>
      <c r="C1201" s="2">
        <v>4038541.0</v>
      </c>
      <c r="D1201" s="2">
        <v>19.3334</v>
      </c>
    </row>
    <row r="1202">
      <c r="A1202" s="4">
        <v>44908.0</v>
      </c>
      <c r="B1202" s="2">
        <v>1480083.0</v>
      </c>
      <c r="C1202" s="2">
        <v>4040331.0</v>
      </c>
      <c r="D1202" s="2">
        <v>35.825</v>
      </c>
    </row>
    <row r="1203">
      <c r="A1203" s="4">
        <v>45164.0</v>
      </c>
      <c r="B1203" s="2">
        <v>1341843.0</v>
      </c>
      <c r="C1203" s="2">
        <v>4710768.0</v>
      </c>
      <c r="D1203" s="2">
        <v>88.9565</v>
      </c>
    </row>
    <row r="1204">
      <c r="A1204" s="4">
        <v>45164.0</v>
      </c>
      <c r="B1204" s="2">
        <v>1651563.0</v>
      </c>
      <c r="C1204" s="2">
        <v>4711071.0</v>
      </c>
      <c r="D1204" s="2">
        <v>12.1887</v>
      </c>
    </row>
    <row r="1205">
      <c r="A1205" s="4">
        <v>45164.0</v>
      </c>
      <c r="B1205" s="2">
        <v>1532013.0</v>
      </c>
      <c r="C1205" s="2">
        <v>4709634.0</v>
      </c>
      <c r="D1205" s="2">
        <v>23.0128</v>
      </c>
    </row>
    <row r="1206">
      <c r="A1206" s="4">
        <v>45164.0</v>
      </c>
      <c r="B1206" s="2">
        <v>1543983.0</v>
      </c>
      <c r="C1206" s="2">
        <v>4708898.0</v>
      </c>
      <c r="D1206" s="2">
        <v>63.5375</v>
      </c>
    </row>
    <row r="1207">
      <c r="A1207" s="4">
        <v>45164.0</v>
      </c>
      <c r="B1207" s="2">
        <v>1651653.0</v>
      </c>
      <c r="C1207" s="2">
        <v>4710517.0</v>
      </c>
      <c r="D1207" s="2">
        <v>112.4401</v>
      </c>
    </row>
    <row r="1208">
      <c r="A1208" s="4">
        <v>45164.0</v>
      </c>
      <c r="B1208" s="2">
        <v>1651263.0</v>
      </c>
      <c r="C1208" s="2">
        <v>4708865.0</v>
      </c>
      <c r="D1208" s="2">
        <v>41.8413</v>
      </c>
    </row>
    <row r="1209">
      <c r="A1209" s="4">
        <v>45164.0</v>
      </c>
      <c r="B1209" s="2">
        <v>1538703.0</v>
      </c>
      <c r="C1209" s="2">
        <v>4709398.0</v>
      </c>
      <c r="D1209" s="2">
        <v>4.1879</v>
      </c>
    </row>
    <row r="1210">
      <c r="A1210" s="4">
        <v>45164.0</v>
      </c>
      <c r="B1210" s="2">
        <v>1410633.0</v>
      </c>
      <c r="C1210" s="2">
        <v>4708943.0</v>
      </c>
      <c r="D1210" s="2">
        <v>97.0736</v>
      </c>
    </row>
    <row r="1211">
      <c r="A1211" s="4">
        <v>45164.0</v>
      </c>
      <c r="B1211" s="2">
        <v>1165353.0</v>
      </c>
      <c r="C1211" s="2">
        <v>4710364.0</v>
      </c>
      <c r="D1211" s="2">
        <v>95.1606</v>
      </c>
    </row>
    <row r="1212">
      <c r="A1212" s="4">
        <v>44909.0</v>
      </c>
      <c r="B1212" s="2">
        <v>1416123.0</v>
      </c>
      <c r="C1212" s="2">
        <v>4041106.0</v>
      </c>
      <c r="D1212" s="2">
        <v>106.0856</v>
      </c>
    </row>
    <row r="1213">
      <c r="A1213" s="4">
        <v>44909.0</v>
      </c>
      <c r="B1213" s="2">
        <v>1089273.0</v>
      </c>
      <c r="C1213" s="2">
        <v>4040926.0</v>
      </c>
      <c r="D1213" s="2">
        <v>52.1</v>
      </c>
    </row>
    <row r="1214">
      <c r="A1214" s="4">
        <v>44909.0</v>
      </c>
      <c r="B1214" s="2">
        <v>1328943.0</v>
      </c>
      <c r="C1214" s="2">
        <v>4042431.0</v>
      </c>
      <c r="D1214" s="2">
        <v>49.7555999999999</v>
      </c>
    </row>
    <row r="1215">
      <c r="A1215" s="4">
        <v>44909.0</v>
      </c>
      <c r="B1215" s="2">
        <v>1480473.0</v>
      </c>
      <c r="C1215" s="2">
        <v>4041967.0</v>
      </c>
      <c r="D1215" s="2">
        <v>31.4925</v>
      </c>
    </row>
    <row r="1216">
      <c r="A1216" s="4">
        <v>44909.0</v>
      </c>
      <c r="B1216" s="2">
        <v>1480353.0</v>
      </c>
      <c r="C1216" s="2">
        <v>4041550.0</v>
      </c>
      <c r="D1216" s="2">
        <v>68.5612</v>
      </c>
    </row>
    <row r="1217">
      <c r="A1217" s="4">
        <v>44909.0</v>
      </c>
      <c r="B1217" s="2">
        <v>1387113.0</v>
      </c>
      <c r="C1217" s="2">
        <v>4041382.0</v>
      </c>
      <c r="D1217" s="2">
        <v>164.142799999999</v>
      </c>
    </row>
    <row r="1218">
      <c r="A1218" s="4">
        <v>45165.0</v>
      </c>
      <c r="B1218" s="2">
        <v>1077423.0</v>
      </c>
      <c r="C1218" s="2">
        <v>4712542.0</v>
      </c>
      <c r="D1218" s="2">
        <v>119.003899999999</v>
      </c>
    </row>
    <row r="1219">
      <c r="A1219" s="4">
        <v>45165.0</v>
      </c>
      <c r="B1219" s="2">
        <v>1236333.0</v>
      </c>
      <c r="C1219" s="2">
        <v>4713823.0</v>
      </c>
      <c r="D1219" s="2">
        <v>102.9797</v>
      </c>
    </row>
    <row r="1220">
      <c r="A1220" s="4">
        <v>45165.0</v>
      </c>
      <c r="B1220" s="2">
        <v>1291233.0</v>
      </c>
      <c r="C1220" s="2">
        <v>4712933.0</v>
      </c>
      <c r="D1220" s="2">
        <v>120.0454</v>
      </c>
    </row>
    <row r="1221">
      <c r="A1221" s="4">
        <v>45165.0</v>
      </c>
      <c r="B1221" s="2">
        <v>1040313.0</v>
      </c>
      <c r="C1221" s="2">
        <v>4712007.0</v>
      </c>
      <c r="D1221" s="2">
        <v>103.644199999999</v>
      </c>
    </row>
    <row r="1222">
      <c r="A1222" s="4">
        <v>45165.0</v>
      </c>
      <c r="B1222" s="2">
        <v>1652043.0</v>
      </c>
      <c r="C1222" s="2">
        <v>4711975.0</v>
      </c>
      <c r="D1222" s="2">
        <v>50.9309</v>
      </c>
    </row>
    <row r="1223">
      <c r="A1223" s="4">
        <v>45165.0</v>
      </c>
      <c r="B1223" s="2">
        <v>273093.0</v>
      </c>
      <c r="C1223" s="2">
        <v>4713264.0</v>
      </c>
      <c r="D1223" s="2">
        <v>96.2704</v>
      </c>
    </row>
    <row r="1224">
      <c r="A1224" s="4">
        <v>45165.0</v>
      </c>
      <c r="B1224" s="2">
        <v>1575603.0</v>
      </c>
      <c r="C1224" s="2">
        <v>4712349.0</v>
      </c>
      <c r="D1224" s="2">
        <v>306.5299</v>
      </c>
    </row>
    <row r="1225">
      <c r="A1225" s="4">
        <v>45165.0</v>
      </c>
      <c r="B1225" s="2">
        <v>1652463.0</v>
      </c>
      <c r="C1225" s="2">
        <v>4713658.0</v>
      </c>
      <c r="D1225" s="2">
        <v>4.9331</v>
      </c>
    </row>
    <row r="1226">
      <c r="A1226" s="4">
        <v>44910.0</v>
      </c>
      <c r="B1226" s="2">
        <v>1481313.0</v>
      </c>
      <c r="C1226" s="2">
        <v>4045268.0</v>
      </c>
      <c r="D1226" s="2">
        <v>66.6</v>
      </c>
    </row>
    <row r="1227">
      <c r="A1227" s="4">
        <v>44910.0</v>
      </c>
      <c r="B1227" s="2">
        <v>1387113.0</v>
      </c>
      <c r="C1227" s="2">
        <v>4044266.0</v>
      </c>
      <c r="D1227" s="2">
        <v>73.1244</v>
      </c>
    </row>
    <row r="1228">
      <c r="A1228" s="4">
        <v>44910.0</v>
      </c>
      <c r="B1228" s="2">
        <v>884283.0</v>
      </c>
      <c r="C1228" s="2">
        <v>4046727.0</v>
      </c>
      <c r="D1228" s="2">
        <v>43.4171</v>
      </c>
    </row>
    <row r="1229">
      <c r="A1229" s="4">
        <v>44910.0</v>
      </c>
      <c r="B1229" s="2">
        <v>1410633.0</v>
      </c>
      <c r="C1229" s="2">
        <v>4044672.0</v>
      </c>
      <c r="D1229" s="2">
        <v>73.5037</v>
      </c>
    </row>
    <row r="1230">
      <c r="A1230" s="4">
        <v>44910.0</v>
      </c>
      <c r="B1230" s="2">
        <v>1481583.0</v>
      </c>
      <c r="C1230" s="2">
        <v>4046046.0</v>
      </c>
      <c r="D1230" s="2">
        <v>67.6144</v>
      </c>
    </row>
    <row r="1231">
      <c r="A1231" s="4">
        <v>44910.0</v>
      </c>
      <c r="B1231" s="2">
        <v>392763.0</v>
      </c>
      <c r="C1231" s="2">
        <v>4046396.0</v>
      </c>
      <c r="D1231" s="2">
        <v>130.4408</v>
      </c>
    </row>
    <row r="1232">
      <c r="A1232" s="4">
        <v>44910.0</v>
      </c>
      <c r="B1232" s="2">
        <v>1304433.0</v>
      </c>
      <c r="C1232" s="2">
        <v>4045701.0</v>
      </c>
      <c r="D1232" s="2">
        <v>100.4021</v>
      </c>
    </row>
    <row r="1233">
      <c r="A1233" s="4">
        <v>44910.0</v>
      </c>
      <c r="B1233" s="2">
        <v>1479333.0</v>
      </c>
      <c r="C1233" s="2">
        <v>4046499.0</v>
      </c>
      <c r="D1233" s="2">
        <v>16.5833</v>
      </c>
    </row>
    <row r="1234">
      <c r="A1234" s="4">
        <v>44910.0</v>
      </c>
      <c r="B1234" s="2">
        <v>1262733.0</v>
      </c>
      <c r="C1234" s="2">
        <v>4044714.0</v>
      </c>
      <c r="D1234" s="2">
        <v>140.3748</v>
      </c>
    </row>
    <row r="1235">
      <c r="A1235" s="4">
        <v>45166.0</v>
      </c>
      <c r="B1235" s="2">
        <v>1651503.0</v>
      </c>
      <c r="C1235" s="2">
        <v>4716428.0</v>
      </c>
      <c r="D1235" s="2">
        <v>77.3119</v>
      </c>
    </row>
    <row r="1236">
      <c r="A1236" s="4">
        <v>45166.0</v>
      </c>
      <c r="B1236" s="2">
        <v>1652943.0</v>
      </c>
      <c r="C1236" s="2">
        <v>4715654.0</v>
      </c>
      <c r="D1236" s="2">
        <v>33.8264</v>
      </c>
    </row>
    <row r="1237">
      <c r="A1237" s="4">
        <v>45166.0</v>
      </c>
      <c r="B1237" s="2">
        <v>1527813.0</v>
      </c>
      <c r="C1237" s="2">
        <v>4716784.0</v>
      </c>
      <c r="D1237" s="2">
        <v>64.5844</v>
      </c>
    </row>
    <row r="1238">
      <c r="A1238" s="4">
        <v>45166.0</v>
      </c>
      <c r="B1238" s="2">
        <v>1652793.0</v>
      </c>
      <c r="C1238" s="2">
        <v>4715050.0</v>
      </c>
      <c r="D1238" s="2">
        <v>22.8928</v>
      </c>
    </row>
    <row r="1239">
      <c r="A1239" s="4">
        <v>44911.0</v>
      </c>
      <c r="B1239" s="2">
        <v>1153263.0</v>
      </c>
      <c r="C1239" s="2">
        <v>4048925.0</v>
      </c>
      <c r="D1239" s="2">
        <v>80.2059999999999</v>
      </c>
    </row>
    <row r="1240">
      <c r="A1240" s="4">
        <v>44911.0</v>
      </c>
      <c r="B1240" s="2">
        <v>1436763.0</v>
      </c>
      <c r="C1240" s="2">
        <v>4047544.0</v>
      </c>
      <c r="D1240" s="2">
        <v>109.9907</v>
      </c>
    </row>
    <row r="1241">
      <c r="A1241" s="4">
        <v>44911.0</v>
      </c>
      <c r="B1241" s="2">
        <v>1482513.0</v>
      </c>
      <c r="C1241" s="2">
        <v>4049150.0</v>
      </c>
      <c r="D1241" s="2">
        <v>64.4679</v>
      </c>
    </row>
    <row r="1242">
      <c r="A1242" s="4">
        <v>44911.0</v>
      </c>
      <c r="B1242" s="2">
        <v>1344573.0</v>
      </c>
      <c r="C1242" s="2">
        <v>4047747.0</v>
      </c>
      <c r="D1242" s="2">
        <v>74.4776</v>
      </c>
    </row>
    <row r="1243">
      <c r="A1243" s="4">
        <v>45167.0</v>
      </c>
      <c r="B1243" s="2">
        <v>1653543.0</v>
      </c>
      <c r="C1243" s="2">
        <v>4717887.0</v>
      </c>
      <c r="D1243" s="2">
        <v>19.9184</v>
      </c>
    </row>
    <row r="1244">
      <c r="A1244" s="4">
        <v>45167.0</v>
      </c>
      <c r="B1244" s="2">
        <v>1296213.0</v>
      </c>
      <c r="C1244" s="2">
        <v>4718051.0</v>
      </c>
      <c r="D1244" s="2">
        <v>66.1386</v>
      </c>
    </row>
    <row r="1245">
      <c r="A1245" s="4">
        <v>45167.0</v>
      </c>
      <c r="B1245" s="2">
        <v>1489683.0</v>
      </c>
      <c r="C1245" s="2">
        <v>4717491.0</v>
      </c>
      <c r="D1245" s="2">
        <v>89.8366</v>
      </c>
    </row>
    <row r="1246">
      <c r="A1246" s="4">
        <v>45167.0</v>
      </c>
      <c r="B1246" s="2">
        <v>423153.0</v>
      </c>
      <c r="C1246" s="2">
        <v>4718032.0</v>
      </c>
      <c r="D1246" s="2">
        <v>200.9459</v>
      </c>
    </row>
    <row r="1247">
      <c r="A1247" s="4">
        <v>45167.0</v>
      </c>
      <c r="B1247" s="2">
        <v>1650663.0</v>
      </c>
      <c r="C1247" s="2">
        <v>4718255.0</v>
      </c>
      <c r="D1247" s="2">
        <v>36.8167</v>
      </c>
    </row>
    <row r="1248">
      <c r="A1248" s="4">
        <v>45167.0</v>
      </c>
      <c r="B1248" s="2">
        <v>1648203.0</v>
      </c>
      <c r="C1248" s="2">
        <v>4717945.0</v>
      </c>
      <c r="D1248" s="2">
        <v>1.7747</v>
      </c>
    </row>
    <row r="1249">
      <c r="A1249" s="4">
        <v>44912.0</v>
      </c>
      <c r="B1249" s="2">
        <v>430593.0</v>
      </c>
      <c r="C1249" s="2">
        <v>4049980.0</v>
      </c>
      <c r="D1249" s="2">
        <v>17.8334</v>
      </c>
    </row>
    <row r="1250">
      <c r="A1250" s="4">
        <v>44912.0</v>
      </c>
      <c r="B1250" s="2">
        <v>1432323.0</v>
      </c>
      <c r="C1250" s="2">
        <v>4052892.0</v>
      </c>
      <c r="D1250" s="2">
        <v>34.4492</v>
      </c>
    </row>
    <row r="1251">
      <c r="A1251" s="4">
        <v>44912.0</v>
      </c>
      <c r="B1251" s="2">
        <v>1108803.0</v>
      </c>
      <c r="C1251" s="2">
        <v>4050451.0</v>
      </c>
      <c r="D1251" s="2">
        <v>20.75</v>
      </c>
    </row>
    <row r="1252">
      <c r="A1252" s="4">
        <v>45168.0</v>
      </c>
      <c r="B1252" s="2">
        <v>1654503.0</v>
      </c>
      <c r="C1252" s="2">
        <v>4721522.0</v>
      </c>
      <c r="D1252" s="2">
        <v>43.4251</v>
      </c>
    </row>
    <row r="1253">
      <c r="A1253" s="4">
        <v>45168.0</v>
      </c>
      <c r="B1253" s="2">
        <v>1653453.0</v>
      </c>
      <c r="C1253" s="2">
        <v>4720313.0</v>
      </c>
      <c r="D1253" s="2">
        <v>65.6715</v>
      </c>
    </row>
    <row r="1254">
      <c r="A1254" s="4">
        <v>45168.0</v>
      </c>
      <c r="B1254" s="2">
        <v>223263.0</v>
      </c>
      <c r="C1254" s="2">
        <v>4721420.0</v>
      </c>
      <c r="D1254" s="2">
        <v>62.1088</v>
      </c>
    </row>
    <row r="1255">
      <c r="A1255" s="4">
        <v>45168.0</v>
      </c>
      <c r="B1255" s="2">
        <v>1177893.0</v>
      </c>
      <c r="C1255" s="2">
        <v>4719901.0</v>
      </c>
      <c r="D1255" s="2">
        <v>61.2939</v>
      </c>
    </row>
    <row r="1256">
      <c r="A1256" s="4">
        <v>45168.0</v>
      </c>
      <c r="B1256" s="2">
        <v>415293.0</v>
      </c>
      <c r="C1256" s="2">
        <v>4720515.0</v>
      </c>
      <c r="D1256" s="2">
        <v>62.6250999999999</v>
      </c>
    </row>
    <row r="1257">
      <c r="A1257" s="4">
        <v>45168.0</v>
      </c>
      <c r="B1257" s="2">
        <v>1323693.0</v>
      </c>
      <c r="C1257" s="2">
        <v>4721442.0</v>
      </c>
      <c r="D1257" s="2">
        <v>116.8635</v>
      </c>
    </row>
    <row r="1258">
      <c r="A1258" s="4">
        <v>44913.0</v>
      </c>
      <c r="B1258" s="2">
        <v>1039983.0</v>
      </c>
      <c r="C1258" s="2">
        <v>4055761.0</v>
      </c>
      <c r="D1258" s="2">
        <v>106.6177</v>
      </c>
    </row>
    <row r="1259">
      <c r="A1259" s="4">
        <v>44913.0</v>
      </c>
      <c r="B1259" s="2">
        <v>1433553.0</v>
      </c>
      <c r="C1259" s="2">
        <v>4054891.0</v>
      </c>
      <c r="D1259" s="2">
        <v>78.0144</v>
      </c>
    </row>
    <row r="1260">
      <c r="A1260" s="4">
        <v>44913.0</v>
      </c>
      <c r="B1260" s="2">
        <v>1319373.0</v>
      </c>
      <c r="C1260" s="2">
        <v>4056365.0</v>
      </c>
      <c r="D1260" s="2">
        <v>86.6658</v>
      </c>
    </row>
    <row r="1261">
      <c r="A1261" s="4">
        <v>44913.0</v>
      </c>
      <c r="B1261" s="2">
        <v>1427553.0</v>
      </c>
      <c r="C1261" s="2">
        <v>4055694.0</v>
      </c>
      <c r="D1261" s="2">
        <v>62.26</v>
      </c>
    </row>
    <row r="1262">
      <c r="A1262" s="4">
        <v>44913.0</v>
      </c>
      <c r="B1262" s="2">
        <v>1223523.0</v>
      </c>
      <c r="C1262" s="2">
        <v>4054052.0</v>
      </c>
      <c r="D1262" s="2">
        <v>98.8087999999999</v>
      </c>
    </row>
    <row r="1263">
      <c r="A1263" s="4">
        <v>44913.0</v>
      </c>
      <c r="B1263" s="2">
        <v>1405383.0</v>
      </c>
      <c r="C1263" s="2">
        <v>4054576.0</v>
      </c>
      <c r="D1263" s="2">
        <v>43.05</v>
      </c>
    </row>
    <row r="1264">
      <c r="A1264" s="4">
        <v>44913.0</v>
      </c>
      <c r="B1264" s="2">
        <v>1366413.0</v>
      </c>
      <c r="C1264" s="2">
        <v>4053912.0</v>
      </c>
      <c r="D1264" s="2">
        <v>18.9779</v>
      </c>
    </row>
    <row r="1265">
      <c r="A1265" s="4">
        <v>44913.0</v>
      </c>
      <c r="B1265" s="2">
        <v>1144893.0</v>
      </c>
      <c r="C1265" s="2">
        <v>4056113.0</v>
      </c>
      <c r="D1265" s="2">
        <v>58.7422</v>
      </c>
    </row>
    <row r="1266">
      <c r="A1266" s="4">
        <v>44913.0</v>
      </c>
      <c r="B1266" s="2">
        <v>1483833.0</v>
      </c>
      <c r="C1266" s="2">
        <v>4053752.0</v>
      </c>
      <c r="D1266" s="2">
        <v>109.2848</v>
      </c>
    </row>
    <row r="1267">
      <c r="A1267" s="4">
        <v>45169.0</v>
      </c>
      <c r="B1267" s="2">
        <v>20583.0</v>
      </c>
      <c r="C1267" s="2">
        <v>4723625.0</v>
      </c>
      <c r="D1267" s="2">
        <v>34.7652999999999</v>
      </c>
    </row>
    <row r="1268">
      <c r="A1268" s="4">
        <v>45169.0</v>
      </c>
      <c r="B1268" s="2">
        <v>1035903.0</v>
      </c>
      <c r="C1268" s="2">
        <v>4723065.0</v>
      </c>
      <c r="D1268" s="2">
        <v>21.1685999999999</v>
      </c>
    </row>
    <row r="1269">
      <c r="A1269" s="4">
        <v>45169.0</v>
      </c>
      <c r="B1269" s="2">
        <v>338793.0</v>
      </c>
      <c r="C1269" s="2">
        <v>4723643.0</v>
      </c>
      <c r="D1269" s="2">
        <v>94.1856</v>
      </c>
    </row>
    <row r="1270">
      <c r="A1270" s="4">
        <v>45169.0</v>
      </c>
      <c r="B1270" s="2">
        <v>1644393.0</v>
      </c>
      <c r="C1270" s="2">
        <v>4723271.0</v>
      </c>
      <c r="D1270" s="2">
        <v>41.7446</v>
      </c>
    </row>
    <row r="1271">
      <c r="A1271" s="4">
        <v>45169.0</v>
      </c>
      <c r="B1271" s="2">
        <v>1223523.0</v>
      </c>
      <c r="C1271" s="2">
        <v>4723157.0</v>
      </c>
      <c r="D1271" s="2">
        <v>103.7813</v>
      </c>
    </row>
    <row r="1272">
      <c r="A1272" s="4">
        <v>45169.0</v>
      </c>
      <c r="B1272" s="2">
        <v>1655163.0</v>
      </c>
      <c r="C1272" s="2">
        <v>4723918.0</v>
      </c>
      <c r="D1272" s="2">
        <v>35.6034</v>
      </c>
    </row>
    <row r="1273">
      <c r="A1273" s="4">
        <v>44914.0</v>
      </c>
      <c r="B1273" s="2">
        <v>1256073.0</v>
      </c>
      <c r="C1273" s="2">
        <v>4057974.0</v>
      </c>
      <c r="D1273" s="2">
        <v>26.4738</v>
      </c>
    </row>
    <row r="1274">
      <c r="A1274" s="4">
        <v>44914.0</v>
      </c>
      <c r="B1274" s="2">
        <v>1485003.0</v>
      </c>
      <c r="C1274" s="2">
        <v>4058566.0</v>
      </c>
      <c r="D1274" s="2">
        <v>19.4334</v>
      </c>
    </row>
    <row r="1275">
      <c r="A1275" s="4">
        <v>44914.0</v>
      </c>
      <c r="B1275" s="2">
        <v>1423773.0</v>
      </c>
      <c r="C1275" s="2">
        <v>4058295.0</v>
      </c>
      <c r="D1275" s="2">
        <v>81.928</v>
      </c>
    </row>
    <row r="1276">
      <c r="A1276" s="4">
        <v>44914.0</v>
      </c>
      <c r="B1276" s="2">
        <v>935073.0</v>
      </c>
      <c r="C1276" s="2">
        <v>4057543.0</v>
      </c>
      <c r="D1276" s="2">
        <v>70.125</v>
      </c>
    </row>
    <row r="1277">
      <c r="A1277" s="4">
        <v>44914.0</v>
      </c>
      <c r="B1277" s="2">
        <v>1484733.0</v>
      </c>
      <c r="C1277" s="2">
        <v>4057291.0</v>
      </c>
      <c r="D1277" s="2">
        <v>122.8125</v>
      </c>
    </row>
    <row r="1278">
      <c r="A1278" s="4">
        <v>45170.0</v>
      </c>
      <c r="B1278" s="2">
        <v>1655673.0</v>
      </c>
      <c r="C1278" s="2">
        <v>4725562.0</v>
      </c>
      <c r="D1278" s="2">
        <v>98.9787</v>
      </c>
    </row>
    <row r="1279">
      <c r="A1279" s="4">
        <v>45170.0</v>
      </c>
      <c r="B1279" s="2">
        <v>1215273.0</v>
      </c>
      <c r="C1279" s="2">
        <v>4725220.0</v>
      </c>
      <c r="D1279" s="2">
        <v>48.3071</v>
      </c>
    </row>
    <row r="1280">
      <c r="A1280" s="4">
        <v>45170.0</v>
      </c>
      <c r="B1280" s="2">
        <v>1655643.0</v>
      </c>
      <c r="C1280" s="2">
        <v>4725481.0</v>
      </c>
      <c r="D1280" s="2">
        <v>19.6368</v>
      </c>
    </row>
    <row r="1281">
      <c r="A1281" s="4">
        <v>45170.0</v>
      </c>
      <c r="B1281" s="2">
        <v>1543983.0</v>
      </c>
      <c r="C1281" s="2">
        <v>4726107.0</v>
      </c>
      <c r="D1281" s="2">
        <v>61.3664</v>
      </c>
    </row>
    <row r="1282">
      <c r="A1282" s="4">
        <v>45170.0</v>
      </c>
      <c r="B1282" s="2">
        <v>1214823.0</v>
      </c>
      <c r="C1282" s="2">
        <v>4725005.0</v>
      </c>
      <c r="D1282" s="2">
        <v>67.6469</v>
      </c>
    </row>
    <row r="1283">
      <c r="A1283" s="4">
        <v>45170.0</v>
      </c>
      <c r="B1283" s="2">
        <v>1348683.0</v>
      </c>
      <c r="C1283" s="2">
        <v>4724957.0</v>
      </c>
      <c r="D1283" s="2">
        <v>61.4242</v>
      </c>
    </row>
    <row r="1284">
      <c r="A1284" s="4">
        <v>45170.0</v>
      </c>
      <c r="B1284" s="2">
        <v>1595253.0</v>
      </c>
      <c r="C1284" s="2">
        <v>4725124.0</v>
      </c>
      <c r="D1284" s="2">
        <v>48.7123</v>
      </c>
    </row>
    <row r="1285">
      <c r="A1285" s="4">
        <v>44915.0</v>
      </c>
      <c r="B1285" s="2">
        <v>1485573.0</v>
      </c>
      <c r="C1285" s="2">
        <v>4060952.0</v>
      </c>
      <c r="D1285" s="2">
        <v>142.2879</v>
      </c>
    </row>
    <row r="1286">
      <c r="A1286" s="4">
        <v>44915.0</v>
      </c>
      <c r="B1286" s="2">
        <v>1209573.0</v>
      </c>
      <c r="C1286" s="2">
        <v>4061276.0</v>
      </c>
      <c r="D1286" s="2">
        <v>31.7789</v>
      </c>
    </row>
    <row r="1287">
      <c r="A1287" s="4">
        <v>44915.0</v>
      </c>
      <c r="B1287" s="2">
        <v>142743.0</v>
      </c>
      <c r="C1287" s="2">
        <v>4059911.0</v>
      </c>
      <c r="D1287" s="2">
        <v>41.3837</v>
      </c>
    </row>
    <row r="1288">
      <c r="A1288" s="4">
        <v>44915.0</v>
      </c>
      <c r="B1288" s="2">
        <v>1485753.0</v>
      </c>
      <c r="C1288" s="2">
        <v>4061716.0</v>
      </c>
      <c r="D1288" s="2">
        <v>4.6445</v>
      </c>
    </row>
    <row r="1289">
      <c r="A1289" s="4">
        <v>45171.0</v>
      </c>
      <c r="B1289" s="2">
        <v>1656093.0</v>
      </c>
      <c r="C1289" s="2">
        <v>4727108.0</v>
      </c>
      <c r="D1289" s="2">
        <v>113.3333</v>
      </c>
    </row>
    <row r="1290">
      <c r="A1290" s="4">
        <v>45171.0</v>
      </c>
      <c r="B1290" s="2">
        <v>1220583.0</v>
      </c>
      <c r="C1290" s="2">
        <v>4729129.0</v>
      </c>
      <c r="D1290" s="2">
        <v>77.7634</v>
      </c>
    </row>
    <row r="1291">
      <c r="A1291" s="4">
        <v>45171.0</v>
      </c>
      <c r="B1291" s="2">
        <v>1656453.0</v>
      </c>
      <c r="C1291" s="2">
        <v>4728496.0</v>
      </c>
      <c r="D1291" s="2">
        <v>58.9145</v>
      </c>
    </row>
    <row r="1292">
      <c r="A1292" s="4">
        <v>45171.0</v>
      </c>
      <c r="B1292" s="2">
        <v>1437663.0</v>
      </c>
      <c r="C1292" s="2">
        <v>4727962.0</v>
      </c>
      <c r="D1292" s="2">
        <v>61.4122</v>
      </c>
    </row>
    <row r="1293">
      <c r="A1293" s="4">
        <v>45171.0</v>
      </c>
      <c r="B1293" s="2">
        <v>1656633.0</v>
      </c>
      <c r="C1293" s="2">
        <v>4729225.0</v>
      </c>
      <c r="D1293" s="2">
        <v>21.1792</v>
      </c>
    </row>
    <row r="1294">
      <c r="A1294" s="4">
        <v>45171.0</v>
      </c>
      <c r="B1294" s="2">
        <v>1418703.0</v>
      </c>
      <c r="C1294" s="2">
        <v>4726712.0</v>
      </c>
      <c r="D1294" s="2">
        <v>96.6567999999999</v>
      </c>
    </row>
    <row r="1295">
      <c r="A1295" s="4">
        <v>45171.0</v>
      </c>
      <c r="B1295" s="2">
        <v>1323963.0</v>
      </c>
      <c r="C1295" s="2">
        <v>4726838.0</v>
      </c>
      <c r="D1295" s="2">
        <v>44.787</v>
      </c>
    </row>
    <row r="1296">
      <c r="A1296" s="4">
        <v>45171.0</v>
      </c>
      <c r="B1296" s="2">
        <v>1656423.0</v>
      </c>
      <c r="C1296" s="2">
        <v>4728397.0</v>
      </c>
      <c r="D1296" s="2">
        <v>25.6392</v>
      </c>
    </row>
    <row r="1297">
      <c r="A1297" s="4">
        <v>45171.0</v>
      </c>
      <c r="B1297" s="2">
        <v>1656153.0</v>
      </c>
      <c r="C1297" s="2">
        <v>4727331.0</v>
      </c>
      <c r="D1297" s="2">
        <v>24.4408</v>
      </c>
    </row>
    <row r="1298">
      <c r="A1298" s="4">
        <v>45171.0</v>
      </c>
      <c r="B1298" s="2">
        <v>1210233.0</v>
      </c>
      <c r="C1298" s="2">
        <v>4728992.0</v>
      </c>
      <c r="D1298" s="2">
        <v>23.5185</v>
      </c>
    </row>
    <row r="1299">
      <c r="A1299" s="4">
        <v>45171.0</v>
      </c>
      <c r="B1299" s="2">
        <v>1061973.0</v>
      </c>
      <c r="C1299" s="2">
        <v>4729369.0</v>
      </c>
      <c r="D1299" s="2">
        <v>137.310999999999</v>
      </c>
    </row>
    <row r="1300">
      <c r="A1300" s="4">
        <v>45171.0</v>
      </c>
      <c r="B1300" s="2">
        <v>1267803.0</v>
      </c>
      <c r="C1300" s="2">
        <v>4727564.0</v>
      </c>
      <c r="D1300" s="2">
        <v>45.4534</v>
      </c>
    </row>
    <row r="1301">
      <c r="A1301" s="4">
        <v>45171.0</v>
      </c>
      <c r="B1301" s="2">
        <v>1434813.0</v>
      </c>
      <c r="C1301" s="2">
        <v>4727418.0</v>
      </c>
      <c r="D1301" s="2">
        <v>321.0504</v>
      </c>
    </row>
    <row r="1302">
      <c r="A1302" s="4">
        <v>44916.0</v>
      </c>
      <c r="B1302" s="2">
        <v>1485873.0</v>
      </c>
      <c r="C1302" s="2">
        <v>4062214.0</v>
      </c>
      <c r="D1302" s="2">
        <v>12.3128</v>
      </c>
    </row>
    <row r="1303">
      <c r="A1303" s="4">
        <v>44916.0</v>
      </c>
      <c r="B1303" s="2">
        <v>1485663.0</v>
      </c>
      <c r="C1303" s="2">
        <v>4063214.0</v>
      </c>
      <c r="D1303" s="2">
        <v>98.2796</v>
      </c>
    </row>
    <row r="1304">
      <c r="A1304" s="4">
        <v>44916.0</v>
      </c>
      <c r="B1304" s="2">
        <v>1272693.0</v>
      </c>
      <c r="C1304" s="2">
        <v>4062459.0</v>
      </c>
      <c r="D1304" s="2">
        <v>138.9498</v>
      </c>
    </row>
    <row r="1305">
      <c r="A1305" s="4">
        <v>44916.0</v>
      </c>
      <c r="B1305" s="2">
        <v>1486083.0</v>
      </c>
      <c r="C1305" s="2">
        <v>4063180.0</v>
      </c>
      <c r="D1305" s="2">
        <v>43.542</v>
      </c>
    </row>
    <row r="1306">
      <c r="A1306" s="4">
        <v>44916.0</v>
      </c>
      <c r="B1306" s="2">
        <v>1474983.0</v>
      </c>
      <c r="C1306" s="2">
        <v>4063593.0</v>
      </c>
      <c r="D1306" s="2">
        <v>29.925</v>
      </c>
    </row>
    <row r="1307">
      <c r="A1307" s="4">
        <v>44916.0</v>
      </c>
      <c r="B1307" s="2">
        <v>1125063.0</v>
      </c>
      <c r="C1307" s="2">
        <v>4063240.0</v>
      </c>
      <c r="D1307" s="2">
        <v>61.5</v>
      </c>
    </row>
    <row r="1308">
      <c r="A1308" s="4">
        <v>44916.0</v>
      </c>
      <c r="B1308" s="2">
        <v>1486293.0</v>
      </c>
      <c r="C1308" s="2">
        <v>4063975.0</v>
      </c>
      <c r="D1308" s="2">
        <v>6.1125</v>
      </c>
    </row>
    <row r="1309">
      <c r="A1309" s="4">
        <v>45172.0</v>
      </c>
      <c r="B1309" s="2">
        <v>1324833.0</v>
      </c>
      <c r="C1309" s="2">
        <v>4730318.0</v>
      </c>
      <c r="D1309" s="2">
        <v>29.186</v>
      </c>
    </row>
    <row r="1310">
      <c r="A1310" s="4">
        <v>45172.0</v>
      </c>
      <c r="B1310" s="2">
        <v>1649883.0</v>
      </c>
      <c r="C1310" s="2">
        <v>4729699.0</v>
      </c>
      <c r="D1310" s="2">
        <v>141.8787</v>
      </c>
    </row>
    <row r="1311">
      <c r="A1311" s="4">
        <v>45172.0</v>
      </c>
      <c r="B1311" s="2">
        <v>473733.0</v>
      </c>
      <c r="C1311" s="2">
        <v>4731956.0</v>
      </c>
      <c r="D1311" s="2">
        <v>24.9752</v>
      </c>
    </row>
    <row r="1312">
      <c r="A1312" s="4">
        <v>45172.0</v>
      </c>
      <c r="B1312" s="2">
        <v>1657263.0</v>
      </c>
      <c r="C1312" s="2">
        <v>4731963.0</v>
      </c>
      <c r="D1312" s="2">
        <v>61.6653</v>
      </c>
    </row>
    <row r="1313">
      <c r="A1313" s="4">
        <v>45172.0</v>
      </c>
      <c r="B1313" s="2">
        <v>25173.0</v>
      </c>
      <c r="C1313" s="2">
        <v>4731573.0</v>
      </c>
      <c r="D1313" s="2">
        <v>73.0732999999999</v>
      </c>
    </row>
    <row r="1314">
      <c r="A1314" s="4">
        <v>45172.0</v>
      </c>
      <c r="B1314" s="2">
        <v>1626093.0</v>
      </c>
      <c r="C1314" s="2">
        <v>4729735.0</v>
      </c>
      <c r="D1314" s="2">
        <v>65.4519</v>
      </c>
    </row>
    <row r="1315">
      <c r="A1315" s="4">
        <v>45172.0</v>
      </c>
      <c r="B1315" s="2">
        <v>384483.0</v>
      </c>
      <c r="C1315" s="2">
        <v>4732449.0</v>
      </c>
      <c r="D1315" s="2">
        <v>92.2351</v>
      </c>
    </row>
    <row r="1316">
      <c r="A1316" s="4">
        <v>45172.0</v>
      </c>
      <c r="B1316" s="2">
        <v>1427553.0</v>
      </c>
      <c r="C1316" s="2">
        <v>4731822.0</v>
      </c>
      <c r="D1316" s="2">
        <v>44.6650999999999</v>
      </c>
    </row>
    <row r="1317">
      <c r="A1317" s="4">
        <v>45172.0</v>
      </c>
      <c r="B1317" s="2">
        <v>1389153.0</v>
      </c>
      <c r="C1317" s="2">
        <v>4731373.0</v>
      </c>
      <c r="D1317" s="2">
        <v>40.5809999999999</v>
      </c>
    </row>
    <row r="1318">
      <c r="A1318" s="4">
        <v>45172.0</v>
      </c>
      <c r="B1318" s="2">
        <v>1451553.0</v>
      </c>
      <c r="C1318" s="2">
        <v>4731040.0</v>
      </c>
      <c r="D1318" s="2">
        <v>48.6941</v>
      </c>
    </row>
    <row r="1319">
      <c r="A1319" s="4">
        <v>45172.0</v>
      </c>
      <c r="B1319" s="2">
        <v>1605693.0</v>
      </c>
      <c r="C1319" s="2">
        <v>4730121.0</v>
      </c>
      <c r="D1319" s="2">
        <v>44.918</v>
      </c>
    </row>
    <row r="1320">
      <c r="A1320" s="4">
        <v>45172.0</v>
      </c>
      <c r="B1320" s="2">
        <v>1580073.0</v>
      </c>
      <c r="C1320" s="2">
        <v>4730382.0</v>
      </c>
      <c r="D1320" s="2">
        <v>37.1085</v>
      </c>
    </row>
    <row r="1321">
      <c r="A1321" s="4">
        <v>45172.0</v>
      </c>
      <c r="B1321" s="2">
        <v>1278843.0</v>
      </c>
      <c r="C1321" s="2">
        <v>4731800.0</v>
      </c>
      <c r="D1321" s="2">
        <v>54.019</v>
      </c>
    </row>
    <row r="1322">
      <c r="A1322" s="4">
        <v>45172.0</v>
      </c>
      <c r="B1322" s="2">
        <v>1588233.0</v>
      </c>
      <c r="C1322" s="2">
        <v>4731143.0</v>
      </c>
      <c r="D1322" s="2">
        <v>237.027999999999</v>
      </c>
    </row>
    <row r="1323">
      <c r="A1323" s="4">
        <v>45172.0</v>
      </c>
      <c r="B1323" s="2">
        <v>1321473.0</v>
      </c>
      <c r="C1323" s="2">
        <v>4732069.0</v>
      </c>
      <c r="D1323" s="2">
        <v>6.256</v>
      </c>
    </row>
    <row r="1324">
      <c r="A1324" s="4">
        <v>45172.0</v>
      </c>
      <c r="B1324" s="2">
        <v>1334643.0</v>
      </c>
      <c r="C1324" s="2">
        <v>4731844.0</v>
      </c>
      <c r="D1324" s="2">
        <v>89.1213</v>
      </c>
    </row>
    <row r="1325">
      <c r="A1325" s="4">
        <v>44917.0</v>
      </c>
      <c r="B1325" s="2">
        <v>1486653.0</v>
      </c>
      <c r="C1325" s="2">
        <v>4065287.0</v>
      </c>
      <c r="D1325" s="2">
        <v>43.9875</v>
      </c>
    </row>
    <row r="1326">
      <c r="A1326" s="4">
        <v>44917.0</v>
      </c>
      <c r="B1326" s="2">
        <v>1262643.0</v>
      </c>
      <c r="C1326" s="2">
        <v>4065020.0</v>
      </c>
      <c r="D1326" s="2">
        <v>13.616</v>
      </c>
    </row>
    <row r="1327">
      <c r="A1327" s="4">
        <v>44917.0</v>
      </c>
      <c r="B1327" s="2">
        <v>1212753.0</v>
      </c>
      <c r="C1327" s="2">
        <v>4064817.0</v>
      </c>
      <c r="D1327" s="2">
        <v>30.4</v>
      </c>
    </row>
    <row r="1328">
      <c r="A1328" s="4">
        <v>44917.0</v>
      </c>
      <c r="B1328" s="2">
        <v>1486473.0</v>
      </c>
      <c r="C1328" s="2">
        <v>4064707.0</v>
      </c>
      <c r="D1328" s="2">
        <v>67.4925</v>
      </c>
    </row>
    <row r="1329">
      <c r="A1329" s="4">
        <v>45173.0</v>
      </c>
      <c r="B1329" s="2">
        <v>1513473.0</v>
      </c>
      <c r="C1329" s="2">
        <v>4733975.0</v>
      </c>
      <c r="D1329" s="2">
        <v>112.4339</v>
      </c>
    </row>
    <row r="1330">
      <c r="A1330" s="4">
        <v>45173.0</v>
      </c>
      <c r="B1330" s="2">
        <v>1216383.0</v>
      </c>
      <c r="C1330" s="2">
        <v>4734452.0</v>
      </c>
      <c r="D1330" s="2">
        <v>89.3057999999999</v>
      </c>
    </row>
    <row r="1331">
      <c r="A1331" s="4">
        <v>45173.0</v>
      </c>
      <c r="B1331" s="2">
        <v>1657653.0</v>
      </c>
      <c r="C1331" s="2">
        <v>4733363.0</v>
      </c>
      <c r="D1331" s="2">
        <v>22.4999</v>
      </c>
    </row>
    <row r="1332">
      <c r="A1332" s="4">
        <v>45173.0</v>
      </c>
      <c r="B1332" s="2">
        <v>1513473.0</v>
      </c>
      <c r="C1332" s="2">
        <v>4733836.0</v>
      </c>
      <c r="D1332" s="2">
        <v>12.4167</v>
      </c>
    </row>
    <row r="1333">
      <c r="A1333" s="4">
        <v>45173.0</v>
      </c>
      <c r="B1333" s="2">
        <v>426423.0</v>
      </c>
      <c r="C1333" s="2">
        <v>4734114.0</v>
      </c>
      <c r="D1333" s="2">
        <v>109.9137</v>
      </c>
    </row>
    <row r="1334">
      <c r="A1334" s="4">
        <v>45173.0</v>
      </c>
      <c r="B1334" s="2">
        <v>1652463.0</v>
      </c>
      <c r="C1334" s="2">
        <v>4733439.0</v>
      </c>
      <c r="D1334" s="2">
        <v>27.2278999999999</v>
      </c>
    </row>
    <row r="1335">
      <c r="A1335" s="4">
        <v>45173.0</v>
      </c>
      <c r="B1335" s="2">
        <v>1657563.0</v>
      </c>
      <c r="C1335" s="2">
        <v>4733041.0</v>
      </c>
      <c r="D1335" s="2">
        <v>12.5701</v>
      </c>
    </row>
    <row r="1336">
      <c r="A1336" s="4">
        <v>45173.0</v>
      </c>
      <c r="B1336" s="2">
        <v>1265883.0</v>
      </c>
      <c r="C1336" s="2">
        <v>4734339.0</v>
      </c>
      <c r="D1336" s="2">
        <v>60.042</v>
      </c>
    </row>
    <row r="1337">
      <c r="A1337" s="4">
        <v>45173.0</v>
      </c>
      <c r="B1337" s="2">
        <v>1373283.0</v>
      </c>
      <c r="C1337" s="2">
        <v>4733055.0</v>
      </c>
      <c r="D1337" s="2">
        <v>66.5739</v>
      </c>
    </row>
    <row r="1338">
      <c r="A1338" s="4">
        <v>45173.0</v>
      </c>
      <c r="B1338" s="2">
        <v>1253943.0</v>
      </c>
      <c r="C1338" s="2">
        <v>4733822.0</v>
      </c>
      <c r="D1338" s="2">
        <v>62.2542</v>
      </c>
    </row>
    <row r="1339">
      <c r="A1339" s="4">
        <v>45173.0</v>
      </c>
      <c r="B1339" s="2">
        <v>477483.0</v>
      </c>
      <c r="C1339" s="2">
        <v>4735476.0</v>
      </c>
      <c r="D1339" s="2">
        <v>74.2659999999999</v>
      </c>
    </row>
    <row r="1340">
      <c r="A1340" s="4">
        <v>44918.0</v>
      </c>
      <c r="B1340" s="2">
        <v>1486743.0</v>
      </c>
      <c r="C1340" s="2">
        <v>4065561.0</v>
      </c>
      <c r="D1340" s="2">
        <v>107.5</v>
      </c>
    </row>
    <row r="1341">
      <c r="A1341" s="4">
        <v>44918.0</v>
      </c>
      <c r="B1341" s="2">
        <v>1487043.0</v>
      </c>
      <c r="C1341" s="2">
        <v>4066624.0</v>
      </c>
      <c r="D1341" s="2">
        <v>76.1974</v>
      </c>
    </row>
    <row r="1342">
      <c r="A1342" s="4">
        <v>44918.0</v>
      </c>
      <c r="B1342" s="2">
        <v>1487013.0</v>
      </c>
      <c r="C1342" s="2">
        <v>4066506.0</v>
      </c>
      <c r="D1342" s="2">
        <v>78.7133</v>
      </c>
    </row>
    <row r="1343">
      <c r="A1343" s="4">
        <v>44918.0</v>
      </c>
      <c r="B1343" s="2">
        <v>1346493.0</v>
      </c>
      <c r="C1343" s="2">
        <v>4066066.0</v>
      </c>
      <c r="D1343" s="2">
        <v>60.5002</v>
      </c>
    </row>
    <row r="1344">
      <c r="A1344" s="4">
        <v>45174.0</v>
      </c>
      <c r="B1344" s="2">
        <v>1573383.0</v>
      </c>
      <c r="C1344" s="2">
        <v>4735934.0</v>
      </c>
      <c r="D1344" s="2">
        <v>39.8692</v>
      </c>
    </row>
    <row r="1345">
      <c r="A1345" s="4">
        <v>45174.0</v>
      </c>
      <c r="B1345" s="2">
        <v>14343.0</v>
      </c>
      <c r="C1345" s="2">
        <v>4737005.0</v>
      </c>
      <c r="D1345" s="2">
        <v>8.3442</v>
      </c>
    </row>
    <row r="1346">
      <c r="A1346" s="4">
        <v>45174.0</v>
      </c>
      <c r="B1346" s="2">
        <v>1194483.0</v>
      </c>
      <c r="C1346" s="2">
        <v>4735912.0</v>
      </c>
      <c r="D1346" s="2">
        <v>91.1275</v>
      </c>
    </row>
    <row r="1347">
      <c r="A1347" s="4">
        <v>45174.0</v>
      </c>
      <c r="B1347" s="2">
        <v>1392573.0</v>
      </c>
      <c r="C1347" s="2">
        <v>4737856.0</v>
      </c>
      <c r="D1347" s="2">
        <v>98.2726</v>
      </c>
    </row>
    <row r="1348">
      <c r="A1348" s="4">
        <v>45174.0</v>
      </c>
      <c r="B1348" s="2">
        <v>1658883.0</v>
      </c>
      <c r="C1348" s="2">
        <v>4737954.0</v>
      </c>
      <c r="D1348" s="2">
        <v>62.3634</v>
      </c>
    </row>
    <row r="1349">
      <c r="A1349" s="4">
        <v>45174.0</v>
      </c>
      <c r="B1349" s="2">
        <v>1435293.0</v>
      </c>
      <c r="C1349" s="2">
        <v>4738071.0</v>
      </c>
      <c r="D1349" s="2">
        <v>128.1374</v>
      </c>
    </row>
    <row r="1350">
      <c r="A1350" s="4">
        <v>45174.0</v>
      </c>
      <c r="B1350" s="2">
        <v>1397703.0</v>
      </c>
      <c r="C1350" s="2">
        <v>4736608.0</v>
      </c>
      <c r="D1350" s="2">
        <v>58.3813999999999</v>
      </c>
    </row>
    <row r="1351">
      <c r="A1351" s="4">
        <v>45174.0</v>
      </c>
      <c r="B1351" s="2">
        <v>1628463.0</v>
      </c>
      <c r="C1351" s="2">
        <v>4737778.0</v>
      </c>
      <c r="D1351" s="2">
        <v>32.0503999999999</v>
      </c>
    </row>
    <row r="1352">
      <c r="A1352" s="4">
        <v>45174.0</v>
      </c>
      <c r="B1352" s="2">
        <v>1620033.0</v>
      </c>
      <c r="C1352" s="2">
        <v>4738269.0</v>
      </c>
      <c r="D1352" s="2">
        <v>119.6667</v>
      </c>
    </row>
    <row r="1353">
      <c r="A1353" s="4">
        <v>44919.0</v>
      </c>
      <c r="B1353" s="2">
        <v>1348683.0</v>
      </c>
      <c r="C1353" s="2">
        <v>4066756.0</v>
      </c>
      <c r="D1353" s="2">
        <v>122.5</v>
      </c>
    </row>
    <row r="1354">
      <c r="A1354" s="4">
        <v>44919.0</v>
      </c>
      <c r="B1354" s="2">
        <v>367683.0</v>
      </c>
      <c r="C1354" s="2">
        <v>4067174.0</v>
      </c>
      <c r="D1354" s="2">
        <v>40.4811</v>
      </c>
    </row>
    <row r="1355">
      <c r="A1355" s="4">
        <v>45175.0</v>
      </c>
      <c r="B1355" s="2">
        <v>1567323.0</v>
      </c>
      <c r="C1355" s="2">
        <v>4740709.0</v>
      </c>
      <c r="D1355" s="2">
        <v>167.0881</v>
      </c>
    </row>
    <row r="1356">
      <c r="A1356" s="4">
        <v>45175.0</v>
      </c>
      <c r="B1356" s="2">
        <v>234783.0</v>
      </c>
      <c r="C1356" s="2">
        <v>4740291.0</v>
      </c>
      <c r="D1356" s="2">
        <v>126.5851</v>
      </c>
    </row>
    <row r="1357">
      <c r="A1357" s="4">
        <v>45175.0</v>
      </c>
      <c r="B1357" s="2">
        <v>1535193.0</v>
      </c>
      <c r="C1357" s="2">
        <v>4739046.0</v>
      </c>
      <c r="D1357" s="2">
        <v>58.7414</v>
      </c>
    </row>
    <row r="1358">
      <c r="A1358" s="4">
        <v>45175.0</v>
      </c>
      <c r="B1358" s="2">
        <v>1605423.0</v>
      </c>
      <c r="C1358" s="2">
        <v>4738963.0</v>
      </c>
      <c r="D1358" s="2">
        <v>83.2953999999999</v>
      </c>
    </row>
    <row r="1359">
      <c r="A1359" s="4">
        <v>45175.0</v>
      </c>
      <c r="B1359" s="2">
        <v>1351803.0</v>
      </c>
      <c r="C1359" s="2">
        <v>4740608.0</v>
      </c>
      <c r="D1359" s="2">
        <v>80.4662999999999</v>
      </c>
    </row>
    <row r="1360">
      <c r="A1360" s="4">
        <v>45175.0</v>
      </c>
      <c r="B1360" s="2">
        <v>1528503.0</v>
      </c>
      <c r="C1360" s="2">
        <v>4739770.0</v>
      </c>
      <c r="D1360" s="2">
        <v>121.9033</v>
      </c>
    </row>
    <row r="1361">
      <c r="A1361" s="4">
        <v>45175.0</v>
      </c>
      <c r="B1361" s="2">
        <v>1527513.0</v>
      </c>
      <c r="C1361" s="2">
        <v>4740243.0</v>
      </c>
      <c r="D1361" s="2">
        <v>62.4216</v>
      </c>
    </row>
    <row r="1362">
      <c r="A1362" s="4">
        <v>45175.0</v>
      </c>
      <c r="B1362" s="2">
        <v>1351803.0</v>
      </c>
      <c r="C1362" s="2">
        <v>4740450.0</v>
      </c>
      <c r="D1362" s="2">
        <v>12.4167</v>
      </c>
    </row>
    <row r="1363">
      <c r="A1363" s="4">
        <v>44920.0</v>
      </c>
      <c r="B1363" s="2">
        <v>1487403.0</v>
      </c>
      <c r="C1363" s="2">
        <v>4067869.0</v>
      </c>
      <c r="D1363" s="2">
        <v>27.375</v>
      </c>
    </row>
    <row r="1364">
      <c r="A1364" s="4">
        <v>44920.0</v>
      </c>
      <c r="B1364" s="2">
        <v>1334643.0</v>
      </c>
      <c r="C1364" s="2">
        <v>4067766.0</v>
      </c>
      <c r="D1364" s="2">
        <v>86.8436</v>
      </c>
    </row>
    <row r="1365">
      <c r="A1365" s="4">
        <v>44920.0</v>
      </c>
      <c r="B1365" s="2">
        <v>1487553.0</v>
      </c>
      <c r="C1365" s="2">
        <v>4068390.0</v>
      </c>
      <c r="D1365" s="2">
        <v>60.9212999999999</v>
      </c>
    </row>
    <row r="1366">
      <c r="A1366" s="4">
        <v>44920.0</v>
      </c>
      <c r="B1366" s="2">
        <v>848373.0</v>
      </c>
      <c r="C1366" s="2">
        <v>4068246.0</v>
      </c>
      <c r="D1366" s="2">
        <v>71.25</v>
      </c>
    </row>
    <row r="1367">
      <c r="A1367" s="4">
        <v>45176.0</v>
      </c>
      <c r="B1367" s="2">
        <v>1653453.0</v>
      </c>
      <c r="C1367" s="2">
        <v>4742447.0</v>
      </c>
      <c r="D1367" s="2">
        <v>64.6843</v>
      </c>
    </row>
    <row r="1368">
      <c r="A1368" s="4">
        <v>45176.0</v>
      </c>
      <c r="B1368" s="2">
        <v>1519623.0</v>
      </c>
      <c r="C1368" s="2">
        <v>4743022.0</v>
      </c>
      <c r="D1368" s="2">
        <v>64.735</v>
      </c>
    </row>
    <row r="1369">
      <c r="A1369" s="4">
        <v>45176.0</v>
      </c>
      <c r="B1369" s="2">
        <v>1407333.0</v>
      </c>
      <c r="C1369" s="2">
        <v>4742994.0</v>
      </c>
      <c r="D1369" s="2">
        <v>150.4275</v>
      </c>
    </row>
    <row r="1370">
      <c r="A1370" s="4">
        <v>45176.0</v>
      </c>
      <c r="B1370" s="2">
        <v>1482513.0</v>
      </c>
      <c r="C1370" s="2">
        <v>4742938.0</v>
      </c>
      <c r="D1370" s="2">
        <v>98.7000999999999</v>
      </c>
    </row>
    <row r="1371">
      <c r="A1371" s="4">
        <v>45176.0</v>
      </c>
      <c r="B1371" s="2">
        <v>1332093.0</v>
      </c>
      <c r="C1371" s="2">
        <v>4742743.0</v>
      </c>
      <c r="D1371" s="2">
        <v>39.6838</v>
      </c>
    </row>
    <row r="1372">
      <c r="A1372" s="4">
        <v>44921.0</v>
      </c>
      <c r="B1372" s="2">
        <v>1398153.0</v>
      </c>
      <c r="C1372" s="2">
        <v>4069068.0</v>
      </c>
      <c r="D1372" s="2">
        <v>27.2108</v>
      </c>
    </row>
    <row r="1373">
      <c r="A1373" s="4">
        <v>44921.0</v>
      </c>
      <c r="B1373" s="2">
        <v>1488063.0</v>
      </c>
      <c r="C1373" s="2">
        <v>4070503.0</v>
      </c>
      <c r="D1373" s="2">
        <v>57.6733</v>
      </c>
    </row>
    <row r="1374">
      <c r="A1374" s="4">
        <v>44921.0</v>
      </c>
      <c r="B1374" s="2">
        <v>1315143.0</v>
      </c>
      <c r="C1374" s="2">
        <v>4070255.0</v>
      </c>
      <c r="D1374" s="2">
        <v>87.2735</v>
      </c>
    </row>
    <row r="1375">
      <c r="A1375" s="4">
        <v>44921.0</v>
      </c>
      <c r="B1375" s="2">
        <v>1432653.0</v>
      </c>
      <c r="C1375" s="2">
        <v>4069589.0</v>
      </c>
      <c r="D1375" s="2">
        <v>20.8333</v>
      </c>
    </row>
    <row r="1376">
      <c r="A1376" s="4">
        <v>44921.0</v>
      </c>
      <c r="B1376" s="2">
        <v>1184643.0</v>
      </c>
      <c r="C1376" s="2">
        <v>4070732.0</v>
      </c>
      <c r="D1376" s="2">
        <v>317.4558</v>
      </c>
    </row>
    <row r="1377">
      <c r="A1377" s="4">
        <v>45177.0</v>
      </c>
      <c r="B1377" s="2">
        <v>1478823.0</v>
      </c>
      <c r="C1377" s="2">
        <v>4743798.0</v>
      </c>
      <c r="D1377" s="2">
        <v>71.2666</v>
      </c>
    </row>
    <row r="1378">
      <c r="A1378" s="4">
        <v>45177.0</v>
      </c>
      <c r="B1378" s="2">
        <v>1478823.0</v>
      </c>
      <c r="C1378" s="2">
        <v>4743784.0</v>
      </c>
      <c r="D1378" s="2">
        <v>71.2666</v>
      </c>
    </row>
    <row r="1379">
      <c r="A1379" s="4">
        <v>45177.0</v>
      </c>
      <c r="B1379" s="2">
        <v>1194483.0</v>
      </c>
      <c r="C1379" s="2">
        <v>4743844.0</v>
      </c>
      <c r="D1379" s="2">
        <v>185.6752</v>
      </c>
    </row>
    <row r="1380">
      <c r="A1380" s="4">
        <v>45177.0</v>
      </c>
      <c r="B1380" s="2">
        <v>1594203.0</v>
      </c>
      <c r="C1380" s="2">
        <v>4744405.0</v>
      </c>
      <c r="D1380" s="2">
        <v>150.3715</v>
      </c>
    </row>
    <row r="1381">
      <c r="A1381" s="4">
        <v>45177.0</v>
      </c>
      <c r="B1381" s="2">
        <v>1546173.0</v>
      </c>
      <c r="C1381" s="2">
        <v>4744314.0</v>
      </c>
      <c r="D1381" s="2">
        <v>52.163</v>
      </c>
    </row>
    <row r="1382">
      <c r="A1382" s="4">
        <v>45177.0</v>
      </c>
      <c r="B1382" s="2">
        <v>1336623.0</v>
      </c>
      <c r="C1382" s="2">
        <v>4743990.0</v>
      </c>
      <c r="D1382" s="2">
        <v>49.5017</v>
      </c>
    </row>
    <row r="1383">
      <c r="A1383" s="4">
        <v>45177.0</v>
      </c>
      <c r="B1383" s="2">
        <v>1194483.0</v>
      </c>
      <c r="C1383" s="2">
        <v>4743792.0</v>
      </c>
      <c r="D1383" s="2">
        <v>12.4167</v>
      </c>
    </row>
    <row r="1384">
      <c r="A1384" s="4">
        <v>45177.0</v>
      </c>
      <c r="B1384" s="2">
        <v>1344573.0</v>
      </c>
      <c r="C1384" s="2">
        <v>4745301.0</v>
      </c>
      <c r="D1384" s="2">
        <v>63.9567</v>
      </c>
    </row>
    <row r="1385">
      <c r="A1385" s="4">
        <v>45177.0</v>
      </c>
      <c r="B1385" s="2">
        <v>1660503.0</v>
      </c>
      <c r="C1385" s="2">
        <v>4744009.0</v>
      </c>
      <c r="D1385" s="2">
        <v>65.3583999999999</v>
      </c>
    </row>
    <row r="1386">
      <c r="A1386" s="4">
        <v>45177.0</v>
      </c>
      <c r="B1386" s="2">
        <v>1056543.0</v>
      </c>
      <c r="C1386" s="2">
        <v>4744870.0</v>
      </c>
      <c r="D1386" s="2">
        <v>43.0921</v>
      </c>
    </row>
    <row r="1387">
      <c r="A1387" s="4">
        <v>44922.0</v>
      </c>
      <c r="B1387" s="2">
        <v>1488693.0</v>
      </c>
      <c r="C1387" s="2">
        <v>4072931.0</v>
      </c>
      <c r="D1387" s="2">
        <v>19.3608</v>
      </c>
    </row>
    <row r="1388">
      <c r="A1388" s="4">
        <v>44922.0</v>
      </c>
      <c r="B1388" s="2">
        <v>1314993.0</v>
      </c>
      <c r="C1388" s="2">
        <v>4071616.0</v>
      </c>
      <c r="D1388" s="2">
        <v>68.86</v>
      </c>
    </row>
    <row r="1389">
      <c r="A1389" s="4">
        <v>44922.0</v>
      </c>
      <c r="B1389" s="2">
        <v>1214823.0</v>
      </c>
      <c r="C1389" s="2">
        <v>4072620.0</v>
      </c>
      <c r="D1389" s="2">
        <v>83.9785</v>
      </c>
    </row>
    <row r="1390">
      <c r="A1390" s="4">
        <v>44922.0</v>
      </c>
      <c r="B1390" s="2">
        <v>862653.0</v>
      </c>
      <c r="C1390" s="2">
        <v>4072840.0</v>
      </c>
      <c r="D1390" s="2">
        <v>99.161</v>
      </c>
    </row>
    <row r="1391">
      <c r="A1391" s="4">
        <v>44922.0</v>
      </c>
      <c r="B1391" s="2">
        <v>1369833.0</v>
      </c>
      <c r="C1391" s="2">
        <v>4071325.0</v>
      </c>
      <c r="D1391" s="2">
        <v>50.0834</v>
      </c>
    </row>
    <row r="1392">
      <c r="A1392" s="4">
        <v>44922.0</v>
      </c>
      <c r="B1392" s="2">
        <v>1435473.0</v>
      </c>
      <c r="C1392" s="2">
        <v>4073202.0</v>
      </c>
      <c r="D1392" s="2">
        <v>96.8601</v>
      </c>
    </row>
    <row r="1393">
      <c r="A1393" s="4">
        <v>44922.0</v>
      </c>
      <c r="B1393" s="2">
        <v>1438953.0</v>
      </c>
      <c r="C1393" s="2">
        <v>4071507.0</v>
      </c>
      <c r="D1393" s="2">
        <v>39.0833</v>
      </c>
    </row>
    <row r="1394">
      <c r="A1394" s="4">
        <v>45178.0</v>
      </c>
      <c r="B1394" s="2">
        <v>1416123.0</v>
      </c>
      <c r="C1394" s="2">
        <v>4747506.0</v>
      </c>
      <c r="D1394" s="2">
        <v>51.3883</v>
      </c>
    </row>
    <row r="1395">
      <c r="A1395" s="4">
        <v>45178.0</v>
      </c>
      <c r="B1395" s="2">
        <v>430593.0</v>
      </c>
      <c r="C1395" s="2">
        <v>4745920.0</v>
      </c>
      <c r="D1395" s="2">
        <v>138.6925</v>
      </c>
    </row>
    <row r="1396">
      <c r="A1396" s="4">
        <v>45178.0</v>
      </c>
      <c r="B1396" s="2">
        <v>1661073.0</v>
      </c>
      <c r="C1396" s="2">
        <v>4745810.0</v>
      </c>
      <c r="D1396" s="2">
        <v>5.2557</v>
      </c>
    </row>
    <row r="1397">
      <c r="A1397" s="4">
        <v>45178.0</v>
      </c>
      <c r="B1397" s="2">
        <v>257913.0</v>
      </c>
      <c r="C1397" s="2">
        <v>4746994.0</v>
      </c>
      <c r="D1397" s="2">
        <v>146.6195</v>
      </c>
    </row>
    <row r="1398">
      <c r="A1398" s="4">
        <v>44923.0</v>
      </c>
      <c r="B1398" s="2">
        <v>1489173.0</v>
      </c>
      <c r="C1398" s="2">
        <v>4074817.0</v>
      </c>
      <c r="D1398" s="2">
        <v>64.8347</v>
      </c>
    </row>
    <row r="1399">
      <c r="A1399" s="4">
        <v>44923.0</v>
      </c>
      <c r="B1399" s="2">
        <v>1419603.0</v>
      </c>
      <c r="C1399" s="2">
        <v>4073919.0</v>
      </c>
      <c r="D1399" s="2">
        <v>76.1028999999999</v>
      </c>
    </row>
    <row r="1400">
      <c r="A1400" s="4">
        <v>44923.0</v>
      </c>
      <c r="B1400" s="2">
        <v>1188213.0</v>
      </c>
      <c r="C1400" s="2">
        <v>4075513.0</v>
      </c>
      <c r="D1400" s="2">
        <v>10.125</v>
      </c>
    </row>
    <row r="1401">
      <c r="A1401" s="4">
        <v>44923.0</v>
      </c>
      <c r="B1401" s="2">
        <v>1488723.0</v>
      </c>
      <c r="C1401" s="2">
        <v>4074756.0</v>
      </c>
      <c r="D1401" s="2">
        <v>17.1292</v>
      </c>
    </row>
    <row r="1402">
      <c r="A1402" s="4">
        <v>44923.0</v>
      </c>
      <c r="B1402" s="2">
        <v>1299153.0</v>
      </c>
      <c r="C1402" s="2">
        <v>4073726.0</v>
      </c>
      <c r="D1402" s="2">
        <v>51.1809</v>
      </c>
    </row>
    <row r="1403">
      <c r="A1403" s="4">
        <v>44923.0</v>
      </c>
      <c r="B1403" s="2">
        <v>1489323.0</v>
      </c>
      <c r="C1403" s="2">
        <v>4075376.0</v>
      </c>
      <c r="D1403" s="2">
        <v>30.4938</v>
      </c>
    </row>
    <row r="1404">
      <c r="A1404" s="4">
        <v>45179.0</v>
      </c>
      <c r="B1404" s="2">
        <v>414843.0</v>
      </c>
      <c r="C1404" s="2">
        <v>4750831.0</v>
      </c>
      <c r="D1404" s="2">
        <v>65.106</v>
      </c>
    </row>
    <row r="1405">
      <c r="A1405" s="4">
        <v>45179.0</v>
      </c>
      <c r="B1405" s="2">
        <v>1634943.0</v>
      </c>
      <c r="C1405" s="2">
        <v>4749437.0</v>
      </c>
      <c r="D1405" s="2">
        <v>44.4405</v>
      </c>
    </row>
    <row r="1406">
      <c r="A1406" s="4">
        <v>44924.0</v>
      </c>
      <c r="B1406" s="2">
        <v>1489713.0</v>
      </c>
      <c r="C1406" s="2">
        <v>4076818.0</v>
      </c>
      <c r="D1406" s="2">
        <v>93.7291999999999</v>
      </c>
    </row>
    <row r="1407">
      <c r="A1407" s="4">
        <v>44924.0</v>
      </c>
      <c r="B1407" s="2">
        <v>234783.0</v>
      </c>
      <c r="C1407" s="2">
        <v>4078350.0</v>
      </c>
      <c r="D1407" s="2">
        <v>143.9982</v>
      </c>
    </row>
    <row r="1408">
      <c r="A1408" s="4">
        <v>44924.0</v>
      </c>
      <c r="B1408" s="2">
        <v>996933.0</v>
      </c>
      <c r="C1408" s="2">
        <v>4077412.0</v>
      </c>
      <c r="D1408" s="2">
        <v>104.307699999999</v>
      </c>
    </row>
    <row r="1409">
      <c r="A1409" s="4">
        <v>44924.0</v>
      </c>
      <c r="B1409" s="2">
        <v>1489893.0</v>
      </c>
      <c r="C1409" s="2">
        <v>4077504.0</v>
      </c>
      <c r="D1409" s="2">
        <v>217.8102</v>
      </c>
    </row>
    <row r="1410">
      <c r="A1410" s="4">
        <v>44924.0</v>
      </c>
      <c r="B1410" s="2">
        <v>1195233.0</v>
      </c>
      <c r="C1410" s="2">
        <v>4078056.0</v>
      </c>
      <c r="D1410" s="2">
        <v>16.0245</v>
      </c>
    </row>
    <row r="1411">
      <c r="A1411" s="4">
        <v>44924.0</v>
      </c>
      <c r="B1411" s="2">
        <v>1489653.0</v>
      </c>
      <c r="C1411" s="2">
        <v>4076619.0</v>
      </c>
      <c r="D1411" s="2">
        <v>29.7501</v>
      </c>
    </row>
    <row r="1412">
      <c r="A1412" s="4">
        <v>44924.0</v>
      </c>
      <c r="B1412" s="2">
        <v>234783.0</v>
      </c>
      <c r="C1412" s="2">
        <v>4078327.0</v>
      </c>
      <c r="D1412" s="2">
        <v>154.695599999999</v>
      </c>
    </row>
    <row r="1413">
      <c r="A1413" s="4">
        <v>44924.0</v>
      </c>
      <c r="B1413" s="2">
        <v>1490043.0</v>
      </c>
      <c r="C1413" s="2">
        <v>4078022.0</v>
      </c>
      <c r="D1413" s="2">
        <v>11.5867</v>
      </c>
    </row>
    <row r="1414">
      <c r="A1414" s="4">
        <v>45180.0</v>
      </c>
      <c r="B1414" s="2">
        <v>1662993.0</v>
      </c>
      <c r="C1414" s="2">
        <v>4753359.0</v>
      </c>
      <c r="D1414" s="2">
        <v>38.8984</v>
      </c>
    </row>
    <row r="1415">
      <c r="A1415" s="4">
        <v>45180.0</v>
      </c>
      <c r="B1415" s="2">
        <v>1452153.0</v>
      </c>
      <c r="C1415" s="2">
        <v>4752236.0</v>
      </c>
      <c r="D1415" s="2">
        <v>65.413</v>
      </c>
    </row>
    <row r="1416">
      <c r="A1416" s="4">
        <v>45180.0</v>
      </c>
      <c r="B1416" s="2">
        <v>1520613.0</v>
      </c>
      <c r="C1416" s="2">
        <v>4752645.0</v>
      </c>
      <c r="D1416" s="2">
        <v>113.2722</v>
      </c>
    </row>
    <row r="1417">
      <c r="A1417" s="4">
        <v>45180.0</v>
      </c>
      <c r="B1417" s="2">
        <v>112923.0</v>
      </c>
      <c r="C1417" s="2">
        <v>4751462.0</v>
      </c>
      <c r="D1417" s="2">
        <v>92.0992</v>
      </c>
    </row>
    <row r="1418">
      <c r="A1418" s="4">
        <v>45180.0</v>
      </c>
      <c r="B1418" s="2">
        <v>459393.0</v>
      </c>
      <c r="C1418" s="2">
        <v>4752370.0</v>
      </c>
      <c r="D1418" s="2">
        <v>33.1583</v>
      </c>
    </row>
    <row r="1419">
      <c r="A1419" s="4">
        <v>44925.0</v>
      </c>
      <c r="B1419" s="2">
        <v>1490253.0</v>
      </c>
      <c r="C1419" s="2">
        <v>4078870.0</v>
      </c>
      <c r="D1419" s="2">
        <v>33.4382</v>
      </c>
    </row>
    <row r="1420">
      <c r="A1420" s="4">
        <v>44925.0</v>
      </c>
      <c r="B1420" s="2">
        <v>1204983.0</v>
      </c>
      <c r="C1420" s="2">
        <v>4079761.0</v>
      </c>
      <c r="D1420" s="2">
        <v>65.6435</v>
      </c>
    </row>
    <row r="1421">
      <c r="A1421" s="4">
        <v>44925.0</v>
      </c>
      <c r="B1421" s="2">
        <v>1429053.0</v>
      </c>
      <c r="C1421" s="2">
        <v>4080210.0</v>
      </c>
      <c r="D1421" s="2">
        <v>66.4251</v>
      </c>
    </row>
    <row r="1422">
      <c r="A1422" s="4">
        <v>44925.0</v>
      </c>
      <c r="B1422" s="2">
        <v>91623.0</v>
      </c>
      <c r="C1422" s="2">
        <v>4079956.0</v>
      </c>
      <c r="D1422" s="2">
        <v>33.9025</v>
      </c>
    </row>
    <row r="1423">
      <c r="A1423" s="4">
        <v>45181.0</v>
      </c>
      <c r="B1423" s="2">
        <v>1030023.0</v>
      </c>
      <c r="C1423" s="2">
        <v>4754244.0</v>
      </c>
      <c r="D1423" s="2">
        <v>129.8618</v>
      </c>
    </row>
    <row r="1424">
      <c r="A1424" s="4">
        <v>45181.0</v>
      </c>
      <c r="B1424" s="2">
        <v>1663893.0</v>
      </c>
      <c r="C1424" s="2">
        <v>4756671.0</v>
      </c>
      <c r="D1424" s="2">
        <v>38.2718</v>
      </c>
    </row>
    <row r="1425">
      <c r="A1425" s="4">
        <v>45181.0</v>
      </c>
      <c r="B1425" s="2">
        <v>1491483.0</v>
      </c>
      <c r="C1425" s="2">
        <v>4754536.0</v>
      </c>
      <c r="D1425" s="2">
        <v>141.0565</v>
      </c>
    </row>
    <row r="1426">
      <c r="A1426" s="4">
        <v>45181.0</v>
      </c>
      <c r="B1426" s="2">
        <v>1663863.0</v>
      </c>
      <c r="C1426" s="2">
        <v>4756584.0</v>
      </c>
      <c r="D1426" s="2">
        <v>12.4041</v>
      </c>
    </row>
    <row r="1427">
      <c r="A1427" s="4">
        <v>45181.0</v>
      </c>
      <c r="B1427" s="2">
        <v>1392573.0</v>
      </c>
      <c r="C1427" s="2">
        <v>4755209.0</v>
      </c>
      <c r="D1427" s="2">
        <v>15.1206</v>
      </c>
    </row>
    <row r="1428">
      <c r="A1428" s="4">
        <v>45181.0</v>
      </c>
      <c r="B1428" s="2">
        <v>458853.0</v>
      </c>
      <c r="C1428" s="2">
        <v>4756995.0</v>
      </c>
      <c r="D1428" s="2">
        <v>13.0534</v>
      </c>
    </row>
    <row r="1429">
      <c r="A1429" s="4">
        <v>44926.0</v>
      </c>
      <c r="B1429" s="2">
        <v>1491273.0</v>
      </c>
      <c r="C1429" s="2">
        <v>4082939.0</v>
      </c>
      <c r="D1429" s="2">
        <v>76.1933</v>
      </c>
    </row>
    <row r="1430">
      <c r="A1430" s="4">
        <v>44926.0</v>
      </c>
      <c r="B1430" s="2">
        <v>1416303.0</v>
      </c>
      <c r="C1430" s="2">
        <v>4082018.0</v>
      </c>
      <c r="D1430" s="2">
        <v>29.85</v>
      </c>
    </row>
    <row r="1431">
      <c r="A1431" s="4">
        <v>44926.0</v>
      </c>
      <c r="B1431" s="2">
        <v>1434813.0</v>
      </c>
      <c r="C1431" s="2">
        <v>4081529.0</v>
      </c>
      <c r="D1431" s="2">
        <v>213.3652</v>
      </c>
    </row>
    <row r="1432">
      <c r="A1432" s="4">
        <v>44926.0</v>
      </c>
      <c r="B1432" s="2">
        <v>1491033.0</v>
      </c>
      <c r="C1432" s="2">
        <v>4081881.0</v>
      </c>
      <c r="D1432" s="2">
        <v>37.5038</v>
      </c>
    </row>
    <row r="1433">
      <c r="A1433" s="4">
        <v>44926.0</v>
      </c>
      <c r="B1433" s="2">
        <v>1491093.0</v>
      </c>
      <c r="C1433" s="2">
        <v>4082088.0</v>
      </c>
      <c r="D1433" s="2">
        <v>14.985</v>
      </c>
    </row>
    <row r="1434">
      <c r="A1434" s="4">
        <v>45182.0</v>
      </c>
      <c r="B1434" s="2">
        <v>1543983.0</v>
      </c>
      <c r="C1434" s="2">
        <v>4759272.0</v>
      </c>
      <c r="D1434" s="2">
        <v>46.402</v>
      </c>
    </row>
    <row r="1435">
      <c r="A1435" s="4">
        <v>45182.0</v>
      </c>
      <c r="B1435" s="2">
        <v>184683.0</v>
      </c>
      <c r="C1435" s="2">
        <v>4758572.0</v>
      </c>
      <c r="D1435" s="2">
        <v>80.6635</v>
      </c>
    </row>
    <row r="1436">
      <c r="A1436" s="4">
        <v>45182.0</v>
      </c>
      <c r="B1436" s="2">
        <v>444303.0</v>
      </c>
      <c r="C1436" s="2">
        <v>4757336.0</v>
      </c>
      <c r="D1436" s="2">
        <v>14.97</v>
      </c>
    </row>
    <row r="1437">
      <c r="A1437" s="4">
        <v>45182.0</v>
      </c>
      <c r="B1437" s="2">
        <v>1664163.0</v>
      </c>
      <c r="C1437" s="2">
        <v>4757738.0</v>
      </c>
      <c r="D1437" s="2">
        <v>45.3793</v>
      </c>
    </row>
    <row r="1438">
      <c r="A1438" s="4">
        <v>45182.0</v>
      </c>
      <c r="B1438" s="2">
        <v>1513953.0</v>
      </c>
      <c r="C1438" s="2">
        <v>4759952.0</v>
      </c>
      <c r="D1438" s="2">
        <v>96.3887</v>
      </c>
    </row>
    <row r="1439">
      <c r="A1439" s="4">
        <v>45182.0</v>
      </c>
      <c r="B1439" s="2">
        <v>1664463.0</v>
      </c>
      <c r="C1439" s="2">
        <v>4759234.0</v>
      </c>
      <c r="D1439" s="2">
        <v>15.5688</v>
      </c>
    </row>
    <row r="1440">
      <c r="A1440" s="4">
        <v>45182.0</v>
      </c>
      <c r="B1440" s="2">
        <v>1645653.0</v>
      </c>
      <c r="C1440" s="2">
        <v>4757174.0</v>
      </c>
      <c r="D1440" s="2">
        <v>8.6256</v>
      </c>
    </row>
    <row r="1441">
      <c r="A1441" s="4">
        <v>45182.0</v>
      </c>
      <c r="B1441" s="2">
        <v>1292223.0</v>
      </c>
      <c r="C1441" s="2">
        <v>4757936.0</v>
      </c>
      <c r="D1441" s="2">
        <v>69.5831999999999</v>
      </c>
    </row>
    <row r="1442">
      <c r="A1442" s="4">
        <v>44927.0</v>
      </c>
      <c r="B1442" s="2">
        <v>165933.0</v>
      </c>
      <c r="C1442" s="2">
        <v>4083225.0</v>
      </c>
      <c r="D1442" s="2">
        <v>105.4016</v>
      </c>
    </row>
    <row r="1443">
      <c r="A1443" s="4">
        <v>44927.0</v>
      </c>
      <c r="B1443" s="2">
        <v>1310703.0</v>
      </c>
      <c r="C1443" s="2">
        <v>4085385.0</v>
      </c>
      <c r="D1443" s="2">
        <v>109.9902</v>
      </c>
    </row>
    <row r="1444">
      <c r="A1444" s="4">
        <v>44927.0</v>
      </c>
      <c r="B1444" s="2">
        <v>1310703.0</v>
      </c>
      <c r="C1444" s="2">
        <v>4085280.0</v>
      </c>
      <c r="D1444" s="2">
        <v>103.997699999999</v>
      </c>
    </row>
    <row r="1445">
      <c r="A1445" s="4">
        <v>44927.0</v>
      </c>
      <c r="B1445" s="2">
        <v>1310703.0</v>
      </c>
      <c r="C1445" s="2">
        <v>4085365.0</v>
      </c>
      <c r="D1445" s="2">
        <v>92.7235999999999</v>
      </c>
    </row>
    <row r="1446">
      <c r="A1446" s="4">
        <v>44927.0</v>
      </c>
      <c r="B1446" s="2">
        <v>1491483.0</v>
      </c>
      <c r="C1446" s="2">
        <v>4083928.0</v>
      </c>
      <c r="D1446" s="2">
        <v>67.3318</v>
      </c>
    </row>
    <row r="1447">
      <c r="A1447" s="4">
        <v>44927.0</v>
      </c>
      <c r="B1447" s="2">
        <v>1491723.0</v>
      </c>
      <c r="C1447" s="2">
        <v>4084967.0</v>
      </c>
      <c r="D1447" s="2">
        <v>72.7612</v>
      </c>
    </row>
    <row r="1448">
      <c r="A1448" s="4">
        <v>44927.0</v>
      </c>
      <c r="B1448" s="2">
        <v>1491783.0</v>
      </c>
      <c r="C1448" s="2">
        <v>4085361.0</v>
      </c>
      <c r="D1448" s="2">
        <v>32.0100999999999</v>
      </c>
    </row>
    <row r="1449">
      <c r="A1449" s="4">
        <v>44927.0</v>
      </c>
      <c r="B1449" s="2">
        <v>1433613.0</v>
      </c>
      <c r="C1449" s="2">
        <v>4084346.0</v>
      </c>
      <c r="D1449" s="2">
        <v>100.3601</v>
      </c>
    </row>
    <row r="1450">
      <c r="A1450" s="4">
        <v>45183.0</v>
      </c>
      <c r="B1450" s="2">
        <v>1664763.0</v>
      </c>
      <c r="C1450" s="2">
        <v>4760952.0</v>
      </c>
      <c r="D1450" s="2">
        <v>29.365</v>
      </c>
    </row>
    <row r="1451">
      <c r="A1451" s="4">
        <v>45183.0</v>
      </c>
      <c r="B1451" s="2">
        <v>450963.0</v>
      </c>
      <c r="C1451" s="2">
        <v>4760751.0</v>
      </c>
      <c r="D1451" s="2">
        <v>57.8827</v>
      </c>
    </row>
    <row r="1452">
      <c r="A1452" s="4">
        <v>45183.0</v>
      </c>
      <c r="B1452" s="2">
        <v>1665003.0</v>
      </c>
      <c r="C1452" s="2">
        <v>4762061.0</v>
      </c>
      <c r="D1452" s="2">
        <v>8.055</v>
      </c>
    </row>
    <row r="1453">
      <c r="A1453" s="4">
        <v>45183.0</v>
      </c>
      <c r="B1453" s="2">
        <v>1496013.0</v>
      </c>
      <c r="C1453" s="2">
        <v>4761267.0</v>
      </c>
      <c r="D1453" s="2">
        <v>41.2199</v>
      </c>
    </row>
    <row r="1454">
      <c r="A1454" s="4">
        <v>45183.0</v>
      </c>
      <c r="B1454" s="2">
        <v>1214823.0</v>
      </c>
      <c r="C1454" s="2">
        <v>4761717.0</v>
      </c>
      <c r="D1454" s="2">
        <v>65.1376</v>
      </c>
    </row>
    <row r="1455">
      <c r="A1455" s="4">
        <v>44928.0</v>
      </c>
      <c r="B1455" s="2">
        <v>1382673.0</v>
      </c>
      <c r="C1455" s="2">
        <v>4087375.0</v>
      </c>
      <c r="D1455" s="2">
        <v>65.7415</v>
      </c>
    </row>
    <row r="1456">
      <c r="A1456" s="4">
        <v>44928.0</v>
      </c>
      <c r="B1456" s="2">
        <v>1407333.0</v>
      </c>
      <c r="C1456" s="2">
        <v>4086490.0</v>
      </c>
      <c r="D1456" s="2">
        <v>68.0064</v>
      </c>
    </row>
    <row r="1457">
      <c r="A1457" s="4">
        <v>44928.0</v>
      </c>
      <c r="B1457" s="2">
        <v>1492563.0</v>
      </c>
      <c r="C1457" s="2">
        <v>4088414.0</v>
      </c>
      <c r="D1457" s="2">
        <v>36.5893</v>
      </c>
    </row>
    <row r="1458">
      <c r="A1458" s="4">
        <v>44928.0</v>
      </c>
      <c r="B1458" s="2">
        <v>1270893.0</v>
      </c>
      <c r="C1458" s="2">
        <v>4086784.0</v>
      </c>
      <c r="D1458" s="2">
        <v>40.2096</v>
      </c>
    </row>
    <row r="1459">
      <c r="A1459" s="4">
        <v>44928.0</v>
      </c>
      <c r="B1459" s="2">
        <v>1188393.0</v>
      </c>
      <c r="C1459" s="2">
        <v>4087551.0</v>
      </c>
      <c r="D1459" s="2">
        <v>39.36</v>
      </c>
    </row>
    <row r="1460">
      <c r="A1460" s="4">
        <v>44928.0</v>
      </c>
      <c r="B1460" s="2">
        <v>1489683.0</v>
      </c>
      <c r="C1460" s="2">
        <v>4088316.0</v>
      </c>
      <c r="D1460" s="2">
        <v>84.7019</v>
      </c>
    </row>
    <row r="1461">
      <c r="A1461" s="4">
        <v>44928.0</v>
      </c>
      <c r="B1461" s="2">
        <v>1298553.0</v>
      </c>
      <c r="C1461" s="2">
        <v>4087155.0</v>
      </c>
      <c r="D1461" s="2">
        <v>12.0</v>
      </c>
    </row>
    <row r="1462">
      <c r="A1462" s="4">
        <v>44928.0</v>
      </c>
      <c r="B1462" s="2">
        <v>1492143.0</v>
      </c>
      <c r="C1462" s="2">
        <v>4086910.0</v>
      </c>
      <c r="D1462" s="2">
        <v>83.2608</v>
      </c>
    </row>
    <row r="1463">
      <c r="A1463" s="4">
        <v>45184.0</v>
      </c>
      <c r="B1463" s="2">
        <v>1665633.0</v>
      </c>
      <c r="C1463" s="2">
        <v>4764538.0</v>
      </c>
      <c r="D1463" s="2">
        <v>55.2541</v>
      </c>
    </row>
    <row r="1464">
      <c r="A1464" s="4">
        <v>45184.0</v>
      </c>
      <c r="B1464" s="2">
        <v>1630083.0</v>
      </c>
      <c r="C1464" s="2">
        <v>4763355.0</v>
      </c>
      <c r="D1464" s="2">
        <v>51.6583</v>
      </c>
    </row>
    <row r="1465">
      <c r="A1465" s="4">
        <v>45184.0</v>
      </c>
      <c r="B1465" s="2">
        <v>1665603.0</v>
      </c>
      <c r="C1465" s="2">
        <v>4764422.0</v>
      </c>
      <c r="D1465" s="2">
        <v>58.6975</v>
      </c>
    </row>
    <row r="1466">
      <c r="A1466" s="4">
        <v>45184.0</v>
      </c>
      <c r="B1466" s="2">
        <v>367683.0</v>
      </c>
      <c r="C1466" s="2">
        <v>4763622.0</v>
      </c>
      <c r="D1466" s="2">
        <v>96.1527</v>
      </c>
    </row>
    <row r="1467">
      <c r="A1467" s="4">
        <v>44929.0</v>
      </c>
      <c r="B1467" s="2">
        <v>1063383.0</v>
      </c>
      <c r="C1467" s="2">
        <v>4090126.0</v>
      </c>
      <c r="D1467" s="2">
        <v>76.8189</v>
      </c>
    </row>
    <row r="1468">
      <c r="A1468" s="4">
        <v>44929.0</v>
      </c>
      <c r="B1468" s="2">
        <v>1493283.0</v>
      </c>
      <c r="C1468" s="2">
        <v>4091157.0</v>
      </c>
      <c r="D1468" s="2">
        <v>25.5829</v>
      </c>
    </row>
    <row r="1469">
      <c r="A1469" s="4">
        <v>44929.0</v>
      </c>
      <c r="B1469" s="2">
        <v>392763.0</v>
      </c>
      <c r="C1469" s="2">
        <v>4091481.0</v>
      </c>
      <c r="D1469" s="2">
        <v>72.8488</v>
      </c>
    </row>
    <row r="1470">
      <c r="A1470" s="4">
        <v>44929.0</v>
      </c>
      <c r="B1470" s="2">
        <v>1452153.0</v>
      </c>
      <c r="C1470" s="2">
        <v>4089758.0</v>
      </c>
      <c r="D1470" s="2">
        <v>47.7996</v>
      </c>
    </row>
    <row r="1471">
      <c r="A1471" s="4">
        <v>44929.0</v>
      </c>
      <c r="B1471" s="2">
        <v>1485873.0</v>
      </c>
      <c r="C1471" s="2">
        <v>4091166.0</v>
      </c>
      <c r="D1471" s="2">
        <v>72.3081</v>
      </c>
    </row>
    <row r="1472">
      <c r="A1472" s="4">
        <v>44929.0</v>
      </c>
      <c r="B1472" s="2">
        <v>1493103.0</v>
      </c>
      <c r="C1472" s="2">
        <v>4090440.0</v>
      </c>
      <c r="D1472" s="2">
        <v>28.7925</v>
      </c>
    </row>
    <row r="1473">
      <c r="A1473" s="4">
        <v>44929.0</v>
      </c>
      <c r="B1473" s="2">
        <v>1236333.0</v>
      </c>
      <c r="C1473" s="2">
        <v>4090209.0</v>
      </c>
      <c r="D1473" s="2">
        <v>63.825</v>
      </c>
    </row>
    <row r="1474">
      <c r="A1474" s="4">
        <v>44929.0</v>
      </c>
      <c r="B1474" s="2">
        <v>1247553.0</v>
      </c>
      <c r="C1474" s="2">
        <v>4091716.0</v>
      </c>
      <c r="D1474" s="2">
        <v>34.145</v>
      </c>
    </row>
    <row r="1475">
      <c r="A1475" s="4">
        <v>44929.0</v>
      </c>
      <c r="B1475" s="2">
        <v>1141683.0</v>
      </c>
      <c r="C1475" s="2">
        <v>4090529.0</v>
      </c>
      <c r="D1475" s="2">
        <v>75.4779</v>
      </c>
    </row>
    <row r="1476">
      <c r="A1476" s="4">
        <v>45185.0</v>
      </c>
      <c r="B1476" s="2">
        <v>1372023.0</v>
      </c>
      <c r="C1476" s="2">
        <v>4765402.0</v>
      </c>
      <c r="D1476" s="2">
        <v>57.0267</v>
      </c>
    </row>
    <row r="1477">
      <c r="A1477" s="4">
        <v>45185.0</v>
      </c>
      <c r="B1477" s="2">
        <v>266283.0</v>
      </c>
      <c r="C1477" s="2">
        <v>4767406.0</v>
      </c>
      <c r="D1477" s="2">
        <v>97.8702</v>
      </c>
    </row>
    <row r="1478">
      <c r="A1478" s="4">
        <v>45185.0</v>
      </c>
      <c r="B1478" s="2">
        <v>1128333.0</v>
      </c>
      <c r="C1478" s="2">
        <v>4766501.0</v>
      </c>
      <c r="D1478" s="2">
        <v>42.0416</v>
      </c>
    </row>
    <row r="1479">
      <c r="A1479" s="4">
        <v>45185.0</v>
      </c>
      <c r="B1479" s="2">
        <v>1666023.0</v>
      </c>
      <c r="C1479" s="2">
        <v>4765841.0</v>
      </c>
      <c r="D1479" s="2">
        <v>17.9810999999999</v>
      </c>
    </row>
    <row r="1480">
      <c r="A1480" s="4">
        <v>45185.0</v>
      </c>
      <c r="B1480" s="2">
        <v>1350243.0</v>
      </c>
      <c r="C1480" s="2">
        <v>4767258.0</v>
      </c>
      <c r="D1480" s="2">
        <v>40.0776999999999</v>
      </c>
    </row>
    <row r="1481">
      <c r="A1481" s="4">
        <v>45185.0</v>
      </c>
      <c r="B1481" s="2">
        <v>1666203.0</v>
      </c>
      <c r="C1481" s="2">
        <v>4766528.0</v>
      </c>
      <c r="D1481" s="2">
        <v>8.36</v>
      </c>
    </row>
    <row r="1482">
      <c r="A1482" s="4">
        <v>45185.0</v>
      </c>
      <c r="B1482" s="2">
        <v>1646493.0</v>
      </c>
      <c r="C1482" s="2">
        <v>4767180.0</v>
      </c>
      <c r="D1482" s="2">
        <v>67.137</v>
      </c>
    </row>
    <row r="1483">
      <c r="A1483" s="4">
        <v>44930.0</v>
      </c>
      <c r="B1483" s="2">
        <v>1493643.0</v>
      </c>
      <c r="C1483" s="2">
        <v>4092502.0</v>
      </c>
      <c r="D1483" s="2">
        <v>61.995</v>
      </c>
    </row>
    <row r="1484">
      <c r="A1484" s="4">
        <v>44930.0</v>
      </c>
      <c r="B1484" s="2">
        <v>1485873.0</v>
      </c>
      <c r="C1484" s="2">
        <v>4092131.0</v>
      </c>
      <c r="D1484" s="2">
        <v>72.1798</v>
      </c>
    </row>
    <row r="1485">
      <c r="A1485" s="4">
        <v>44930.0</v>
      </c>
      <c r="B1485" s="2">
        <v>1261383.0</v>
      </c>
      <c r="C1485" s="2">
        <v>4093763.0</v>
      </c>
      <c r="D1485" s="2">
        <v>120.7227</v>
      </c>
    </row>
    <row r="1486">
      <c r="A1486" s="4">
        <v>44930.0</v>
      </c>
      <c r="B1486" s="2">
        <v>1173993.0</v>
      </c>
      <c r="C1486" s="2">
        <v>4094331.0</v>
      </c>
      <c r="D1486" s="2">
        <v>78.0055</v>
      </c>
    </row>
    <row r="1487">
      <c r="A1487" s="4">
        <v>44930.0</v>
      </c>
      <c r="B1487" s="2">
        <v>1093383.0</v>
      </c>
      <c r="C1487" s="2">
        <v>4094652.0</v>
      </c>
      <c r="D1487" s="2">
        <v>40.066</v>
      </c>
    </row>
    <row r="1488">
      <c r="A1488" s="4">
        <v>44930.0</v>
      </c>
      <c r="B1488" s="2">
        <v>415473.0</v>
      </c>
      <c r="C1488" s="2">
        <v>4093613.0</v>
      </c>
      <c r="D1488" s="2">
        <v>102.8522</v>
      </c>
    </row>
    <row r="1489">
      <c r="A1489" s="4">
        <v>44930.0</v>
      </c>
      <c r="B1489" s="2">
        <v>1399533.0</v>
      </c>
      <c r="C1489" s="2">
        <v>4093061.0</v>
      </c>
      <c r="D1489" s="2">
        <v>113.706</v>
      </c>
    </row>
    <row r="1490">
      <c r="A1490" s="4">
        <v>44930.0</v>
      </c>
      <c r="B1490" s="2">
        <v>1081713.0</v>
      </c>
      <c r="C1490" s="2">
        <v>4093545.0</v>
      </c>
      <c r="D1490" s="2">
        <v>78.2327999999999</v>
      </c>
    </row>
    <row r="1491">
      <c r="A1491" s="4">
        <v>45186.0</v>
      </c>
      <c r="B1491" s="2">
        <v>1561293.0</v>
      </c>
      <c r="C1491" s="2">
        <v>4767664.0</v>
      </c>
      <c r="D1491" s="2">
        <v>31.0130999999999</v>
      </c>
    </row>
    <row r="1492">
      <c r="A1492" s="4">
        <v>45186.0</v>
      </c>
      <c r="B1492" s="2">
        <v>1081713.0</v>
      </c>
      <c r="C1492" s="2">
        <v>4768391.0</v>
      </c>
      <c r="D1492" s="2">
        <v>101.2325</v>
      </c>
    </row>
    <row r="1493">
      <c r="A1493" s="4">
        <v>45186.0</v>
      </c>
      <c r="B1493" s="2">
        <v>1666593.0</v>
      </c>
      <c r="C1493" s="2">
        <v>4768271.0</v>
      </c>
      <c r="D1493" s="2">
        <v>86.339</v>
      </c>
    </row>
    <row r="1494">
      <c r="A1494" s="4">
        <v>45186.0</v>
      </c>
      <c r="B1494" s="2">
        <v>1663203.0</v>
      </c>
      <c r="C1494" s="2">
        <v>4768120.0</v>
      </c>
      <c r="D1494" s="2">
        <v>61.1112</v>
      </c>
    </row>
    <row r="1495">
      <c r="A1495" s="4">
        <v>45186.0</v>
      </c>
      <c r="B1495" s="2">
        <v>423153.0</v>
      </c>
      <c r="C1495" s="2">
        <v>4770344.0</v>
      </c>
      <c r="D1495" s="2">
        <v>83.9725999999999</v>
      </c>
    </row>
    <row r="1496">
      <c r="A1496" s="4">
        <v>45186.0</v>
      </c>
      <c r="B1496" s="2">
        <v>1110273.0</v>
      </c>
      <c r="C1496" s="2">
        <v>4770391.0</v>
      </c>
      <c r="D1496" s="2">
        <v>90.3162</v>
      </c>
    </row>
    <row r="1497">
      <c r="A1497" s="4">
        <v>45186.0</v>
      </c>
      <c r="B1497" s="2">
        <v>1663203.0</v>
      </c>
      <c r="C1497" s="2">
        <v>4768456.0</v>
      </c>
      <c r="D1497" s="2">
        <v>56.3304</v>
      </c>
    </row>
    <row r="1498">
      <c r="A1498" s="4">
        <v>45186.0</v>
      </c>
      <c r="B1498" s="2">
        <v>1551003.0</v>
      </c>
      <c r="C1498" s="2">
        <v>4768812.0</v>
      </c>
      <c r="D1498" s="2">
        <v>163.616</v>
      </c>
    </row>
    <row r="1499">
      <c r="A1499" s="4">
        <v>45186.0</v>
      </c>
      <c r="B1499" s="2">
        <v>1657053.0</v>
      </c>
      <c r="C1499" s="2">
        <v>4768429.0</v>
      </c>
      <c r="D1499" s="2">
        <v>30.3447</v>
      </c>
    </row>
    <row r="1500">
      <c r="A1500" s="4">
        <v>45186.0</v>
      </c>
      <c r="B1500" s="2">
        <v>1470573.0</v>
      </c>
      <c r="C1500" s="2">
        <v>4770143.0</v>
      </c>
      <c r="D1500" s="2">
        <v>96.046</v>
      </c>
    </row>
    <row r="1501">
      <c r="A1501" s="4">
        <v>45186.0</v>
      </c>
      <c r="B1501" s="2">
        <v>1291233.0</v>
      </c>
      <c r="C1501" s="2">
        <v>4768929.0</v>
      </c>
      <c r="D1501" s="2">
        <v>105.888799999999</v>
      </c>
    </row>
    <row r="1502">
      <c r="A1502" s="4">
        <v>44931.0</v>
      </c>
      <c r="B1502" s="2">
        <v>1475943.0</v>
      </c>
      <c r="C1502" s="2">
        <v>4097310.0</v>
      </c>
      <c r="D1502" s="2">
        <v>69.9167</v>
      </c>
    </row>
    <row r="1503">
      <c r="A1503" s="4">
        <v>44931.0</v>
      </c>
      <c r="B1503" s="2">
        <v>1451553.0</v>
      </c>
      <c r="C1503" s="2">
        <v>4095613.0</v>
      </c>
      <c r="D1503" s="2">
        <v>46.659</v>
      </c>
    </row>
    <row r="1504">
      <c r="A1504" s="4">
        <v>44931.0</v>
      </c>
      <c r="B1504" s="2">
        <v>1494813.0</v>
      </c>
      <c r="C1504" s="2">
        <v>4097055.0</v>
      </c>
      <c r="D1504" s="2">
        <v>64.0488</v>
      </c>
    </row>
    <row r="1505">
      <c r="A1505" s="4">
        <v>44931.0</v>
      </c>
      <c r="B1505" s="2">
        <v>1177893.0</v>
      </c>
      <c r="C1505" s="2">
        <v>4095515.0</v>
      </c>
      <c r="D1505" s="2">
        <v>129.4303</v>
      </c>
    </row>
    <row r="1506">
      <c r="A1506" s="4">
        <v>45187.0</v>
      </c>
      <c r="B1506" s="2">
        <v>1167393.0</v>
      </c>
      <c r="C1506" s="2">
        <v>4773225.0</v>
      </c>
      <c r="D1506" s="2">
        <v>91.8969</v>
      </c>
    </row>
    <row r="1507">
      <c r="A1507" s="4">
        <v>45187.0</v>
      </c>
      <c r="B1507" s="2">
        <v>1056543.0</v>
      </c>
      <c r="C1507" s="2">
        <v>4771434.0</v>
      </c>
      <c r="D1507" s="2">
        <v>46.6446</v>
      </c>
    </row>
    <row r="1508">
      <c r="A1508" s="4">
        <v>45187.0</v>
      </c>
      <c r="B1508" s="2">
        <v>1542783.0</v>
      </c>
      <c r="C1508" s="2">
        <v>4771564.0</v>
      </c>
      <c r="D1508" s="2">
        <v>64.0213</v>
      </c>
    </row>
    <row r="1509">
      <c r="A1509" s="4">
        <v>45187.0</v>
      </c>
      <c r="B1509" s="2">
        <v>1667733.0</v>
      </c>
      <c r="C1509" s="2">
        <v>4772721.0</v>
      </c>
      <c r="D1509" s="2">
        <v>84.3203</v>
      </c>
    </row>
    <row r="1510">
      <c r="A1510" s="4">
        <v>45187.0</v>
      </c>
      <c r="B1510" s="2">
        <v>1252173.0</v>
      </c>
      <c r="C1510" s="2">
        <v>4772859.0</v>
      </c>
      <c r="D1510" s="2">
        <v>69.2671</v>
      </c>
    </row>
    <row r="1511">
      <c r="A1511" s="4">
        <v>44932.0</v>
      </c>
      <c r="B1511" s="2">
        <v>1128333.0</v>
      </c>
      <c r="C1511" s="2">
        <v>4099473.0</v>
      </c>
      <c r="D1511" s="2">
        <v>60.0252</v>
      </c>
    </row>
    <row r="1512">
      <c r="A1512" s="4">
        <v>44932.0</v>
      </c>
      <c r="B1512" s="2">
        <v>1491153.0</v>
      </c>
      <c r="C1512" s="2">
        <v>4099342.0</v>
      </c>
      <c r="D1512" s="2">
        <v>77.5749</v>
      </c>
    </row>
    <row r="1513">
      <c r="A1513" s="4">
        <v>44932.0</v>
      </c>
      <c r="B1513" s="2">
        <v>1495473.0</v>
      </c>
      <c r="C1513" s="2">
        <v>4099113.0</v>
      </c>
      <c r="D1513" s="2">
        <v>65.9169</v>
      </c>
    </row>
    <row r="1514">
      <c r="A1514" s="4">
        <v>44932.0</v>
      </c>
      <c r="B1514" s="2">
        <v>1074813.0</v>
      </c>
      <c r="C1514" s="2">
        <v>4099979.0</v>
      </c>
      <c r="D1514" s="2">
        <v>64.3534</v>
      </c>
    </row>
    <row r="1515">
      <c r="A1515" s="4">
        <v>45188.0</v>
      </c>
      <c r="B1515" s="2">
        <v>1668063.0</v>
      </c>
      <c r="C1515" s="2">
        <v>4774079.0</v>
      </c>
      <c r="D1515" s="2">
        <v>11.05</v>
      </c>
    </row>
    <row r="1516">
      <c r="A1516" s="4">
        <v>45188.0</v>
      </c>
      <c r="B1516" s="2">
        <v>1039533.0</v>
      </c>
      <c r="C1516" s="2">
        <v>4776072.0</v>
      </c>
      <c r="D1516" s="2">
        <v>120.0079</v>
      </c>
    </row>
    <row r="1517">
      <c r="A1517" s="4">
        <v>45188.0</v>
      </c>
      <c r="B1517" s="2">
        <v>1640883.0</v>
      </c>
      <c r="C1517" s="2">
        <v>4774140.0</v>
      </c>
      <c r="D1517" s="2">
        <v>20.7513</v>
      </c>
    </row>
    <row r="1518">
      <c r="A1518" s="4">
        <v>45188.0</v>
      </c>
      <c r="B1518" s="2">
        <v>257913.0</v>
      </c>
      <c r="C1518" s="2">
        <v>4775276.0</v>
      </c>
      <c r="D1518" s="2">
        <v>81.744</v>
      </c>
    </row>
    <row r="1519">
      <c r="A1519" s="4">
        <v>44933.0</v>
      </c>
      <c r="B1519" s="2">
        <v>1495983.0</v>
      </c>
      <c r="C1519" s="2">
        <v>4100797.0</v>
      </c>
      <c r="D1519" s="2">
        <v>62.7166</v>
      </c>
    </row>
    <row r="1520">
      <c r="A1520" s="4">
        <v>44933.0</v>
      </c>
      <c r="B1520" s="2">
        <v>1495833.0</v>
      </c>
      <c r="C1520" s="2">
        <v>4100302.0</v>
      </c>
      <c r="D1520" s="2">
        <v>31.9563</v>
      </c>
    </row>
    <row r="1521">
      <c r="A1521" s="4">
        <v>44933.0</v>
      </c>
      <c r="B1521" s="2">
        <v>1496013.0</v>
      </c>
      <c r="C1521" s="2">
        <v>4100894.0</v>
      </c>
      <c r="D1521" s="2">
        <v>75.6667</v>
      </c>
    </row>
    <row r="1522">
      <c r="A1522" s="4">
        <v>44933.0</v>
      </c>
      <c r="B1522" s="2">
        <v>1495923.0</v>
      </c>
      <c r="C1522" s="2">
        <v>4100669.0</v>
      </c>
      <c r="D1522" s="2">
        <v>132.5622</v>
      </c>
    </row>
    <row r="1523">
      <c r="A1523" s="4">
        <v>45189.0</v>
      </c>
      <c r="B1523" s="2">
        <v>1556523.0</v>
      </c>
      <c r="C1523" s="2">
        <v>4777685.0</v>
      </c>
      <c r="D1523" s="2">
        <v>61.9603</v>
      </c>
    </row>
    <row r="1524">
      <c r="A1524" s="4">
        <v>45189.0</v>
      </c>
      <c r="B1524" s="2">
        <v>1668933.0</v>
      </c>
      <c r="C1524" s="2">
        <v>4777519.0</v>
      </c>
      <c r="D1524" s="2">
        <v>208.4626</v>
      </c>
    </row>
    <row r="1525">
      <c r="A1525" s="4">
        <v>45189.0</v>
      </c>
      <c r="B1525" s="2">
        <v>1461543.0</v>
      </c>
      <c r="C1525" s="2">
        <v>4776482.0</v>
      </c>
      <c r="D1525" s="2">
        <v>111.355499999999</v>
      </c>
    </row>
    <row r="1526">
      <c r="A1526" s="4">
        <v>44934.0</v>
      </c>
      <c r="B1526" s="2">
        <v>1162143.0</v>
      </c>
      <c r="C1526" s="2">
        <v>4105193.0</v>
      </c>
      <c r="D1526" s="2">
        <v>78.5907</v>
      </c>
    </row>
    <row r="1527">
      <c r="A1527" s="4">
        <v>44934.0</v>
      </c>
      <c r="B1527" s="2">
        <v>1153263.0</v>
      </c>
      <c r="C1527" s="2">
        <v>4103813.0</v>
      </c>
      <c r="D1527" s="2">
        <v>41.038</v>
      </c>
    </row>
    <row r="1528">
      <c r="A1528" s="4">
        <v>44934.0</v>
      </c>
      <c r="B1528" s="2">
        <v>1497543.0</v>
      </c>
      <c r="C1528" s="2">
        <v>4106742.0</v>
      </c>
      <c r="D1528" s="2">
        <v>66.7984</v>
      </c>
    </row>
    <row r="1529">
      <c r="A1529" s="4">
        <v>44934.0</v>
      </c>
      <c r="B1529" s="2">
        <v>1497003.0</v>
      </c>
      <c r="C1529" s="2">
        <v>4104590.0</v>
      </c>
      <c r="D1529" s="2">
        <v>65.3441</v>
      </c>
    </row>
    <row r="1530">
      <c r="A1530" s="4">
        <v>44934.0</v>
      </c>
      <c r="B1530" s="2">
        <v>1238253.0</v>
      </c>
      <c r="C1530" s="2">
        <v>4104734.0</v>
      </c>
      <c r="D1530" s="2">
        <v>16.3846</v>
      </c>
    </row>
    <row r="1531">
      <c r="A1531" s="4">
        <v>44934.0</v>
      </c>
      <c r="B1531" s="2">
        <v>184683.0</v>
      </c>
      <c r="C1531" s="2">
        <v>4105326.0</v>
      </c>
      <c r="D1531" s="2">
        <v>75.3319999999999</v>
      </c>
    </row>
    <row r="1532">
      <c r="A1532" s="4">
        <v>44934.0</v>
      </c>
      <c r="B1532" s="2">
        <v>1239273.0</v>
      </c>
      <c r="C1532" s="2">
        <v>4103934.0</v>
      </c>
      <c r="D1532" s="2">
        <v>108.8448</v>
      </c>
    </row>
    <row r="1533">
      <c r="A1533" s="4">
        <v>44934.0</v>
      </c>
      <c r="B1533" s="2">
        <v>1496763.0</v>
      </c>
      <c r="C1533" s="2">
        <v>4103545.0</v>
      </c>
      <c r="D1533" s="2">
        <v>14.4175</v>
      </c>
    </row>
    <row r="1534">
      <c r="A1534" s="4">
        <v>44934.0</v>
      </c>
      <c r="B1534" s="2">
        <v>1039983.0</v>
      </c>
      <c r="C1534" s="2">
        <v>4105860.0</v>
      </c>
      <c r="D1534" s="2">
        <v>81.7732</v>
      </c>
    </row>
    <row r="1535">
      <c r="A1535" s="4">
        <v>44934.0</v>
      </c>
      <c r="B1535" s="2">
        <v>1267803.0</v>
      </c>
      <c r="C1535" s="2">
        <v>4104213.0</v>
      </c>
      <c r="D1535" s="2">
        <v>121.7436</v>
      </c>
    </row>
    <row r="1536">
      <c r="A1536" s="4">
        <v>44934.0</v>
      </c>
      <c r="B1536" s="2">
        <v>427893.0</v>
      </c>
      <c r="C1536" s="2">
        <v>4106799.0</v>
      </c>
      <c r="D1536" s="2">
        <v>91.6165</v>
      </c>
    </row>
    <row r="1537">
      <c r="A1537" s="4">
        <v>45190.0</v>
      </c>
      <c r="B1537" s="2">
        <v>1669353.0</v>
      </c>
      <c r="C1537" s="2">
        <v>4779110.0</v>
      </c>
      <c r="D1537" s="2">
        <v>97.1661</v>
      </c>
    </row>
    <row r="1538">
      <c r="A1538" s="4">
        <v>45190.0</v>
      </c>
      <c r="B1538" s="2">
        <v>58503.0</v>
      </c>
      <c r="C1538" s="2">
        <v>4779723.0</v>
      </c>
      <c r="D1538" s="2">
        <v>63.6837999999999</v>
      </c>
    </row>
    <row r="1539">
      <c r="A1539" s="4">
        <v>45190.0</v>
      </c>
      <c r="B1539" s="2">
        <v>1669473.0</v>
      </c>
      <c r="C1539" s="2">
        <v>4779582.0</v>
      </c>
      <c r="D1539" s="2">
        <v>43.7198999999999</v>
      </c>
    </row>
    <row r="1540">
      <c r="A1540" s="4">
        <v>45190.0</v>
      </c>
      <c r="B1540" s="2">
        <v>1668213.0</v>
      </c>
      <c r="C1540" s="2">
        <v>4780224.0</v>
      </c>
      <c r="D1540" s="2">
        <v>47.8263</v>
      </c>
    </row>
    <row r="1541">
      <c r="A1541" s="4">
        <v>45190.0</v>
      </c>
      <c r="B1541" s="2">
        <v>1130163.0</v>
      </c>
      <c r="C1541" s="2">
        <v>4780257.0</v>
      </c>
      <c r="D1541" s="2">
        <v>9.2463</v>
      </c>
    </row>
    <row r="1542">
      <c r="A1542" s="4">
        <v>44935.0</v>
      </c>
      <c r="B1542" s="2">
        <v>1498143.0</v>
      </c>
      <c r="C1542" s="2">
        <v>4109465.0</v>
      </c>
      <c r="D1542" s="2">
        <v>47.8334</v>
      </c>
    </row>
    <row r="1543">
      <c r="A1543" s="4">
        <v>44935.0</v>
      </c>
      <c r="B1543" s="2">
        <v>1198923.0</v>
      </c>
      <c r="C1543" s="2">
        <v>4107521.0</v>
      </c>
      <c r="D1543" s="2">
        <v>35.974</v>
      </c>
    </row>
    <row r="1544">
      <c r="A1544" s="4">
        <v>44935.0</v>
      </c>
      <c r="B1544" s="2">
        <v>33993.0</v>
      </c>
      <c r="C1544" s="2">
        <v>4109372.0</v>
      </c>
      <c r="D1544" s="2">
        <v>26.4749999999999</v>
      </c>
    </row>
    <row r="1545">
      <c r="A1545" s="4">
        <v>44935.0</v>
      </c>
      <c r="B1545" s="2">
        <v>1497663.0</v>
      </c>
      <c r="C1545" s="2">
        <v>4107338.0</v>
      </c>
      <c r="D1545" s="2">
        <v>11.85</v>
      </c>
    </row>
    <row r="1546">
      <c r="A1546" s="4">
        <v>44935.0</v>
      </c>
      <c r="B1546" s="2">
        <v>407643.0</v>
      </c>
      <c r="C1546" s="2">
        <v>4107142.0</v>
      </c>
      <c r="D1546" s="2">
        <v>100.4137</v>
      </c>
    </row>
    <row r="1547">
      <c r="A1547" s="4">
        <v>44935.0</v>
      </c>
      <c r="B1547" s="2">
        <v>1110273.0</v>
      </c>
      <c r="C1547" s="2">
        <v>4109378.0</v>
      </c>
      <c r="D1547" s="2">
        <v>78.2598</v>
      </c>
    </row>
    <row r="1548">
      <c r="A1548" s="4">
        <v>44935.0</v>
      </c>
      <c r="B1548" s="2">
        <v>1389153.0</v>
      </c>
      <c r="C1548" s="2">
        <v>4107594.0</v>
      </c>
      <c r="D1548" s="2">
        <v>17.2277</v>
      </c>
    </row>
    <row r="1549">
      <c r="A1549" s="4">
        <v>45191.0</v>
      </c>
      <c r="B1549" s="2">
        <v>1670283.0</v>
      </c>
      <c r="C1549" s="2">
        <v>4782444.0</v>
      </c>
      <c r="D1549" s="2">
        <v>21.7673</v>
      </c>
    </row>
    <row r="1550">
      <c r="A1550" s="4">
        <v>45191.0</v>
      </c>
      <c r="B1550" s="2">
        <v>1519503.0</v>
      </c>
      <c r="C1550" s="2">
        <v>4780720.0</v>
      </c>
      <c r="D1550" s="2">
        <v>47.528</v>
      </c>
    </row>
    <row r="1551">
      <c r="A1551" s="4">
        <v>45191.0</v>
      </c>
      <c r="B1551" s="2">
        <v>1604373.0</v>
      </c>
      <c r="C1551" s="2">
        <v>4781082.0</v>
      </c>
      <c r="D1551" s="2">
        <v>76.9696999999999</v>
      </c>
    </row>
    <row r="1552">
      <c r="A1552" s="4">
        <v>45191.0</v>
      </c>
      <c r="B1552" s="2">
        <v>1409553.0</v>
      </c>
      <c r="C1552" s="2">
        <v>4781404.0</v>
      </c>
      <c r="D1552" s="2">
        <v>61.2627</v>
      </c>
    </row>
    <row r="1553">
      <c r="A1553" s="4">
        <v>44936.0</v>
      </c>
      <c r="B1553" s="2">
        <v>1498473.0</v>
      </c>
      <c r="C1553" s="2">
        <v>4110694.0</v>
      </c>
      <c r="D1553" s="2">
        <v>13.2666</v>
      </c>
    </row>
    <row r="1554">
      <c r="A1554" s="4">
        <v>44936.0</v>
      </c>
      <c r="B1554" s="2">
        <v>1497723.0</v>
      </c>
      <c r="C1554" s="2">
        <v>4110589.0</v>
      </c>
      <c r="D1554" s="2">
        <v>52.761</v>
      </c>
    </row>
    <row r="1555">
      <c r="A1555" s="4">
        <v>44936.0</v>
      </c>
      <c r="B1555" s="2">
        <v>1396413.0</v>
      </c>
      <c r="C1555" s="2">
        <v>4112461.0</v>
      </c>
      <c r="D1555" s="2">
        <v>45.4198</v>
      </c>
    </row>
    <row r="1556">
      <c r="A1556" s="4">
        <v>44936.0</v>
      </c>
      <c r="B1556" s="2">
        <v>1499163.0</v>
      </c>
      <c r="C1556" s="2">
        <v>4113445.0</v>
      </c>
      <c r="D1556" s="2">
        <v>29.5812</v>
      </c>
    </row>
    <row r="1557">
      <c r="A1557" s="4">
        <v>44936.0</v>
      </c>
      <c r="B1557" s="2">
        <v>1498623.0</v>
      </c>
      <c r="C1557" s="2">
        <v>4111368.0</v>
      </c>
      <c r="D1557" s="2">
        <v>35.4583</v>
      </c>
    </row>
    <row r="1558">
      <c r="A1558" s="4">
        <v>44936.0</v>
      </c>
      <c r="B1558" s="2">
        <v>1245363.0</v>
      </c>
      <c r="C1558" s="2">
        <v>4114149.0</v>
      </c>
      <c r="D1558" s="2">
        <v>80.5521</v>
      </c>
    </row>
    <row r="1559">
      <c r="A1559" s="4">
        <v>44936.0</v>
      </c>
      <c r="B1559" s="2">
        <v>1499223.0</v>
      </c>
      <c r="C1559" s="2">
        <v>4113672.0</v>
      </c>
      <c r="D1559" s="2">
        <v>36.6461</v>
      </c>
    </row>
    <row r="1560">
      <c r="A1560" s="4">
        <v>44936.0</v>
      </c>
      <c r="B1560" s="2">
        <v>1291233.0</v>
      </c>
      <c r="C1560" s="2">
        <v>4114518.0</v>
      </c>
      <c r="D1560" s="2">
        <v>173.6157</v>
      </c>
    </row>
    <row r="1561">
      <c r="A1561" s="4">
        <v>44936.0</v>
      </c>
      <c r="B1561" s="2">
        <v>301203.0</v>
      </c>
      <c r="C1561" s="2">
        <v>4112407.0</v>
      </c>
      <c r="D1561" s="2">
        <v>95.0</v>
      </c>
    </row>
    <row r="1562">
      <c r="A1562" s="4">
        <v>44936.0</v>
      </c>
      <c r="B1562" s="2">
        <v>1498593.0</v>
      </c>
      <c r="C1562" s="2">
        <v>4112888.0</v>
      </c>
      <c r="D1562" s="2">
        <v>37.8763</v>
      </c>
    </row>
    <row r="1563">
      <c r="A1563" s="4">
        <v>44936.0</v>
      </c>
      <c r="B1563" s="2">
        <v>1490913.0</v>
      </c>
      <c r="C1563" s="2">
        <v>4112783.0</v>
      </c>
      <c r="D1563" s="2">
        <v>48.7446</v>
      </c>
    </row>
    <row r="1564">
      <c r="A1564" s="4">
        <v>44936.0</v>
      </c>
      <c r="B1564" s="2">
        <v>1485663.0</v>
      </c>
      <c r="C1564" s="2">
        <v>4111272.0</v>
      </c>
      <c r="D1564" s="2">
        <v>162.2685</v>
      </c>
    </row>
    <row r="1565">
      <c r="A1565" s="4">
        <v>45192.0</v>
      </c>
      <c r="B1565" s="2">
        <v>1204983.0</v>
      </c>
      <c r="C1565" s="2">
        <v>4785732.0</v>
      </c>
      <c r="D1565" s="2">
        <v>80.2419</v>
      </c>
    </row>
    <row r="1566">
      <c r="A1566" s="4">
        <v>45192.0</v>
      </c>
      <c r="B1566" s="2">
        <v>1670763.0</v>
      </c>
      <c r="C1566" s="2">
        <v>4784522.0</v>
      </c>
      <c r="D1566" s="2">
        <v>41.93</v>
      </c>
    </row>
    <row r="1567">
      <c r="A1567" s="4">
        <v>45192.0</v>
      </c>
      <c r="B1567" s="2">
        <v>1670703.0</v>
      </c>
      <c r="C1567" s="2">
        <v>4784270.0</v>
      </c>
      <c r="D1567" s="2">
        <v>42.0768999999999</v>
      </c>
    </row>
    <row r="1568">
      <c r="A1568" s="4">
        <v>44937.0</v>
      </c>
      <c r="B1568" s="2">
        <v>1439613.0</v>
      </c>
      <c r="C1568" s="2">
        <v>4117404.0</v>
      </c>
      <c r="D1568" s="2">
        <v>40.2539</v>
      </c>
    </row>
    <row r="1569">
      <c r="A1569" s="4">
        <v>44937.0</v>
      </c>
      <c r="B1569" s="2">
        <v>1261383.0</v>
      </c>
      <c r="C1569" s="2">
        <v>4117363.0</v>
      </c>
      <c r="D1569" s="2">
        <v>64.7349</v>
      </c>
    </row>
    <row r="1570">
      <c r="A1570" s="4">
        <v>44937.0</v>
      </c>
      <c r="B1570" s="2">
        <v>1127043.0</v>
      </c>
      <c r="C1570" s="2">
        <v>4117643.0</v>
      </c>
      <c r="D1570" s="2">
        <v>92.0477</v>
      </c>
    </row>
    <row r="1571">
      <c r="A1571" s="4">
        <v>44937.0</v>
      </c>
      <c r="B1571" s="2">
        <v>1406463.0</v>
      </c>
      <c r="C1571" s="2">
        <v>4114928.0</v>
      </c>
      <c r="D1571" s="2">
        <v>28.0046</v>
      </c>
    </row>
    <row r="1572">
      <c r="A1572" s="4">
        <v>44937.0</v>
      </c>
      <c r="B1572" s="2">
        <v>1254663.0</v>
      </c>
      <c r="C1572" s="2">
        <v>4115902.0</v>
      </c>
      <c r="D1572" s="2">
        <v>59.5173</v>
      </c>
    </row>
    <row r="1573">
      <c r="A1573" s="4">
        <v>44937.0</v>
      </c>
      <c r="B1573" s="2">
        <v>1483683.0</v>
      </c>
      <c r="C1573" s="2">
        <v>4115822.0</v>
      </c>
      <c r="D1573" s="2">
        <v>28.5701999999999</v>
      </c>
    </row>
    <row r="1574">
      <c r="A1574" s="4">
        <v>45193.0</v>
      </c>
      <c r="B1574" s="2">
        <v>1671513.0</v>
      </c>
      <c r="C1574" s="2">
        <v>4787688.0</v>
      </c>
      <c r="D1574" s="2">
        <v>71.448</v>
      </c>
    </row>
    <row r="1575">
      <c r="A1575" s="4">
        <v>45193.0</v>
      </c>
      <c r="B1575" s="2">
        <v>1081713.0</v>
      </c>
      <c r="C1575" s="2">
        <v>4787310.0</v>
      </c>
      <c r="D1575" s="2">
        <v>38.0257</v>
      </c>
    </row>
    <row r="1576">
      <c r="A1576" s="4">
        <v>45193.0</v>
      </c>
      <c r="B1576" s="2">
        <v>1671123.0</v>
      </c>
      <c r="C1576" s="2">
        <v>4786327.0</v>
      </c>
      <c r="D1576" s="2">
        <v>22.3542</v>
      </c>
    </row>
    <row r="1577">
      <c r="A1577" s="4">
        <v>44938.0</v>
      </c>
      <c r="B1577" s="2">
        <v>473733.0</v>
      </c>
      <c r="C1577" s="2">
        <v>4119354.0</v>
      </c>
      <c r="D1577" s="2">
        <v>24.75</v>
      </c>
    </row>
    <row r="1578">
      <c r="A1578" s="4">
        <v>44938.0</v>
      </c>
      <c r="B1578" s="2">
        <v>1159653.0</v>
      </c>
      <c r="C1578" s="2">
        <v>4120813.0</v>
      </c>
      <c r="D1578" s="2">
        <v>65.2483</v>
      </c>
    </row>
    <row r="1579">
      <c r="A1579" s="4">
        <v>44938.0</v>
      </c>
      <c r="B1579" s="2">
        <v>1501053.0</v>
      </c>
      <c r="C1579" s="2">
        <v>4120322.0</v>
      </c>
      <c r="D1579" s="2">
        <v>100.7776</v>
      </c>
    </row>
    <row r="1580">
      <c r="A1580" s="4">
        <v>44938.0</v>
      </c>
      <c r="B1580" s="2">
        <v>1046973.0</v>
      </c>
      <c r="C1580" s="2">
        <v>4119203.0</v>
      </c>
      <c r="D1580" s="2">
        <v>7.9584</v>
      </c>
    </row>
    <row r="1581">
      <c r="A1581" s="4">
        <v>44938.0</v>
      </c>
      <c r="B1581" s="2">
        <v>1501143.0</v>
      </c>
      <c r="C1581" s="2">
        <v>4120613.0</v>
      </c>
      <c r="D1581" s="2">
        <v>261.625</v>
      </c>
    </row>
    <row r="1582">
      <c r="A1582" s="4">
        <v>44938.0</v>
      </c>
      <c r="B1582" s="2">
        <v>1344573.0</v>
      </c>
      <c r="C1582" s="2">
        <v>4119973.0</v>
      </c>
      <c r="D1582" s="2">
        <v>84.0428999999999</v>
      </c>
    </row>
    <row r="1583">
      <c r="A1583" s="4">
        <v>45194.0</v>
      </c>
      <c r="B1583" s="2">
        <v>1435473.0</v>
      </c>
      <c r="C1583" s="2">
        <v>4790960.0</v>
      </c>
      <c r="D1583" s="2">
        <v>241.6611</v>
      </c>
    </row>
    <row r="1584">
      <c r="A1584" s="4">
        <v>45194.0</v>
      </c>
      <c r="B1584" s="2">
        <v>124323.0</v>
      </c>
      <c r="C1584" s="2">
        <v>4790063.0</v>
      </c>
      <c r="D1584" s="2">
        <v>34.2988</v>
      </c>
    </row>
    <row r="1585">
      <c r="A1585" s="4">
        <v>45194.0</v>
      </c>
      <c r="B1585" s="2">
        <v>1666593.0</v>
      </c>
      <c r="C1585" s="2">
        <v>4790111.0</v>
      </c>
      <c r="D1585" s="2">
        <v>14.8077</v>
      </c>
    </row>
    <row r="1586">
      <c r="A1586" s="4">
        <v>45194.0</v>
      </c>
      <c r="B1586" s="2">
        <v>1340253.0</v>
      </c>
      <c r="C1586" s="2">
        <v>4788949.0</v>
      </c>
      <c r="D1586" s="2">
        <v>34.9</v>
      </c>
    </row>
    <row r="1587">
      <c r="A1587" s="4">
        <v>45194.0</v>
      </c>
      <c r="B1587" s="2">
        <v>1542783.0</v>
      </c>
      <c r="C1587" s="2">
        <v>4789743.0</v>
      </c>
      <c r="D1587" s="2">
        <v>41.4798</v>
      </c>
    </row>
    <row r="1588">
      <c r="A1588" s="4">
        <v>45194.0</v>
      </c>
      <c r="B1588" s="2">
        <v>1595253.0</v>
      </c>
      <c r="C1588" s="2">
        <v>4790198.0</v>
      </c>
      <c r="D1588" s="2">
        <v>89.2916</v>
      </c>
    </row>
    <row r="1589">
      <c r="A1589" s="4">
        <v>45194.0</v>
      </c>
      <c r="B1589" s="2">
        <v>1435293.0</v>
      </c>
      <c r="C1589" s="2">
        <v>4790738.0</v>
      </c>
      <c r="D1589" s="2">
        <v>90.3015</v>
      </c>
    </row>
    <row r="1590">
      <c r="A1590" s="4">
        <v>44939.0</v>
      </c>
      <c r="B1590" s="2">
        <v>1418553.0</v>
      </c>
      <c r="C1590" s="2">
        <v>4124043.0</v>
      </c>
      <c r="D1590" s="2">
        <v>102.4369</v>
      </c>
    </row>
    <row r="1591">
      <c r="A1591" s="4">
        <v>44939.0</v>
      </c>
      <c r="B1591" s="2">
        <v>1418553.0</v>
      </c>
      <c r="C1591" s="2">
        <v>4122653.0</v>
      </c>
      <c r="D1591" s="2">
        <v>226.355</v>
      </c>
    </row>
    <row r="1592">
      <c r="A1592" s="4">
        <v>44939.0</v>
      </c>
      <c r="B1592" s="2">
        <v>1501803.0</v>
      </c>
      <c r="C1592" s="2">
        <v>4122825.0</v>
      </c>
      <c r="D1592" s="2">
        <v>17.495</v>
      </c>
    </row>
    <row r="1593">
      <c r="A1593" s="4">
        <v>44939.0</v>
      </c>
      <c r="B1593" s="2">
        <v>1501563.0</v>
      </c>
      <c r="C1593" s="2">
        <v>4122105.0</v>
      </c>
      <c r="D1593" s="2">
        <v>23.2799</v>
      </c>
    </row>
    <row r="1594">
      <c r="A1594" s="4">
        <v>44939.0</v>
      </c>
      <c r="B1594" s="2">
        <v>1165353.0</v>
      </c>
      <c r="C1594" s="2">
        <v>4123726.0</v>
      </c>
      <c r="D1594" s="2">
        <v>65.2721</v>
      </c>
    </row>
    <row r="1595">
      <c r="A1595" s="4">
        <v>44939.0</v>
      </c>
      <c r="B1595" s="2">
        <v>1089273.0</v>
      </c>
      <c r="C1595" s="2">
        <v>4123073.0</v>
      </c>
      <c r="D1595" s="2">
        <v>63.6581</v>
      </c>
    </row>
    <row r="1596">
      <c r="A1596" s="4">
        <v>44939.0</v>
      </c>
      <c r="B1596" s="2">
        <v>1220073.0</v>
      </c>
      <c r="C1596" s="2">
        <v>4122600.0</v>
      </c>
      <c r="D1596" s="2">
        <v>97.1489</v>
      </c>
    </row>
    <row r="1597">
      <c r="A1597" s="4">
        <v>44939.0</v>
      </c>
      <c r="B1597" s="2">
        <v>1428633.0</v>
      </c>
      <c r="C1597" s="2">
        <v>4122011.0</v>
      </c>
      <c r="D1597" s="2">
        <v>156.114</v>
      </c>
    </row>
    <row r="1598">
      <c r="A1598" s="4">
        <v>45195.0</v>
      </c>
      <c r="B1598" s="2">
        <v>1455903.0</v>
      </c>
      <c r="C1598" s="2">
        <v>4792092.0</v>
      </c>
      <c r="D1598" s="2">
        <v>51.9993999999999</v>
      </c>
    </row>
    <row r="1599">
      <c r="A1599" s="4">
        <v>45195.0</v>
      </c>
      <c r="B1599" s="2">
        <v>1329663.0</v>
      </c>
      <c r="C1599" s="2">
        <v>4793836.0</v>
      </c>
      <c r="D1599" s="2">
        <v>162.9844</v>
      </c>
    </row>
    <row r="1600">
      <c r="A1600" s="4">
        <v>45195.0</v>
      </c>
      <c r="B1600" s="2">
        <v>1672713.0</v>
      </c>
      <c r="C1600" s="2">
        <v>4791927.0</v>
      </c>
      <c r="D1600" s="2">
        <v>25.3435</v>
      </c>
    </row>
    <row r="1601">
      <c r="A1601" s="4">
        <v>45195.0</v>
      </c>
      <c r="B1601" s="2">
        <v>1672773.0</v>
      </c>
      <c r="C1601" s="2">
        <v>4792884.0</v>
      </c>
      <c r="D1601" s="2">
        <v>231.217</v>
      </c>
    </row>
    <row r="1602">
      <c r="A1602" s="4">
        <v>45195.0</v>
      </c>
      <c r="B1602" s="2">
        <v>1300023.0</v>
      </c>
      <c r="C1602" s="2">
        <v>4793776.0</v>
      </c>
      <c r="D1602" s="2">
        <v>66.4036</v>
      </c>
    </row>
    <row r="1603">
      <c r="A1603" s="4">
        <v>45195.0</v>
      </c>
      <c r="B1603" s="2">
        <v>1533183.0</v>
      </c>
      <c r="C1603" s="2">
        <v>4792743.0</v>
      </c>
      <c r="D1603" s="2">
        <v>39.3648</v>
      </c>
    </row>
    <row r="1604">
      <c r="A1604" s="4">
        <v>44940.0</v>
      </c>
      <c r="B1604" s="2">
        <v>1503183.0</v>
      </c>
      <c r="C1604" s="2">
        <v>4127345.0</v>
      </c>
      <c r="D1604" s="2">
        <v>26.8208</v>
      </c>
    </row>
    <row r="1605">
      <c r="A1605" s="4">
        <v>44940.0</v>
      </c>
      <c r="B1605" s="2">
        <v>1406043.0</v>
      </c>
      <c r="C1605" s="2">
        <v>4124718.0</v>
      </c>
      <c r="D1605" s="2">
        <v>55.4822</v>
      </c>
    </row>
    <row r="1606">
      <c r="A1606" s="4">
        <v>44940.0</v>
      </c>
      <c r="B1606" s="2">
        <v>1236333.0</v>
      </c>
      <c r="C1606" s="2">
        <v>4124848.0</v>
      </c>
      <c r="D1606" s="2">
        <v>84.1701</v>
      </c>
    </row>
    <row r="1607">
      <c r="A1607" s="4">
        <v>44940.0</v>
      </c>
      <c r="B1607" s="2">
        <v>1478823.0</v>
      </c>
      <c r="C1607" s="2">
        <v>4127050.0</v>
      </c>
      <c r="D1607" s="2">
        <v>72.1792</v>
      </c>
    </row>
    <row r="1608">
      <c r="A1608" s="4">
        <v>44940.0</v>
      </c>
      <c r="B1608" s="2">
        <v>1440663.0</v>
      </c>
      <c r="C1608" s="2">
        <v>4127853.0</v>
      </c>
      <c r="D1608" s="2">
        <v>76.9837</v>
      </c>
    </row>
    <row r="1609">
      <c r="A1609" s="4">
        <v>44940.0</v>
      </c>
      <c r="B1609" s="2">
        <v>1410633.0</v>
      </c>
      <c r="C1609" s="2">
        <v>4125919.0</v>
      </c>
      <c r="D1609" s="2">
        <v>74.254</v>
      </c>
    </row>
    <row r="1610">
      <c r="A1610" s="4">
        <v>44940.0</v>
      </c>
      <c r="B1610" s="2">
        <v>1502343.0</v>
      </c>
      <c r="C1610" s="2">
        <v>4124583.0</v>
      </c>
      <c r="D1610" s="2">
        <v>63.0</v>
      </c>
    </row>
    <row r="1611">
      <c r="A1611" s="4">
        <v>44940.0</v>
      </c>
      <c r="B1611" s="2">
        <v>164763.0</v>
      </c>
      <c r="C1611" s="2">
        <v>4125015.0</v>
      </c>
      <c r="D1611" s="2">
        <v>81.6934</v>
      </c>
    </row>
    <row r="1612">
      <c r="A1612" s="4">
        <v>44940.0</v>
      </c>
      <c r="B1612" s="2">
        <v>1336473.0</v>
      </c>
      <c r="C1612" s="2">
        <v>4125980.0</v>
      </c>
      <c r="D1612" s="2">
        <v>200.193</v>
      </c>
    </row>
    <row r="1613">
      <c r="A1613" s="4">
        <v>44940.0</v>
      </c>
      <c r="B1613" s="2">
        <v>1173993.0</v>
      </c>
      <c r="C1613" s="2">
        <v>4127454.0</v>
      </c>
      <c r="D1613" s="2">
        <v>139.6243</v>
      </c>
    </row>
    <row r="1614">
      <c r="A1614" s="4">
        <v>44940.0</v>
      </c>
      <c r="B1614" s="2">
        <v>948573.0</v>
      </c>
      <c r="C1614" s="2">
        <v>4128230.0</v>
      </c>
      <c r="D1614" s="2">
        <v>87.3422</v>
      </c>
    </row>
    <row r="1615">
      <c r="A1615" s="4">
        <v>44940.0</v>
      </c>
      <c r="B1615" s="2">
        <v>1502553.0</v>
      </c>
      <c r="C1615" s="2">
        <v>4125318.0</v>
      </c>
      <c r="D1615" s="2">
        <v>45.75</v>
      </c>
    </row>
    <row r="1616">
      <c r="A1616" s="4">
        <v>44940.0</v>
      </c>
      <c r="B1616" s="2">
        <v>1381413.0</v>
      </c>
      <c r="C1616" s="2">
        <v>4126037.0</v>
      </c>
      <c r="D1616" s="2">
        <v>77.5832</v>
      </c>
    </row>
    <row r="1617">
      <c r="A1617" s="4">
        <v>45196.0</v>
      </c>
      <c r="B1617" s="2">
        <v>1671873.0</v>
      </c>
      <c r="C1617" s="2">
        <v>4795983.0</v>
      </c>
      <c r="D1617" s="2">
        <v>10.9908</v>
      </c>
    </row>
    <row r="1618">
      <c r="A1618" s="4">
        <v>45196.0</v>
      </c>
      <c r="B1618" s="2">
        <v>450963.0</v>
      </c>
      <c r="C1618" s="2">
        <v>4795822.0</v>
      </c>
      <c r="D1618" s="2">
        <v>45.1495</v>
      </c>
    </row>
    <row r="1619">
      <c r="A1619" s="4">
        <v>45196.0</v>
      </c>
      <c r="B1619" s="2">
        <v>1672743.0</v>
      </c>
      <c r="C1619" s="2">
        <v>4795531.0</v>
      </c>
      <c r="D1619" s="2">
        <v>65.7835</v>
      </c>
    </row>
    <row r="1620">
      <c r="A1620" s="4">
        <v>45196.0</v>
      </c>
      <c r="B1620" s="2">
        <v>1184643.0</v>
      </c>
      <c r="C1620" s="2">
        <v>4795034.0</v>
      </c>
      <c r="D1620" s="2">
        <v>163.4627</v>
      </c>
    </row>
    <row r="1621">
      <c r="A1621" s="4">
        <v>44941.0</v>
      </c>
      <c r="B1621" s="2">
        <v>228423.0</v>
      </c>
      <c r="C1621" s="2">
        <v>4132204.0</v>
      </c>
      <c r="D1621" s="2">
        <v>145.3654</v>
      </c>
    </row>
    <row r="1622">
      <c r="A1622" s="4">
        <v>44941.0</v>
      </c>
      <c r="B1622" s="2">
        <v>1082913.0</v>
      </c>
      <c r="C1622" s="2">
        <v>4132681.0</v>
      </c>
      <c r="D1622" s="2">
        <v>123.3559</v>
      </c>
    </row>
    <row r="1623">
      <c r="A1623" s="4">
        <v>44941.0</v>
      </c>
      <c r="B1623" s="2">
        <v>1504683.0</v>
      </c>
      <c r="C1623" s="2">
        <v>4132802.0</v>
      </c>
      <c r="D1623" s="2">
        <v>77.8663</v>
      </c>
    </row>
    <row r="1624">
      <c r="A1624" s="4">
        <v>44941.0</v>
      </c>
      <c r="B1624" s="2">
        <v>1324833.0</v>
      </c>
      <c r="C1624" s="2">
        <v>4131158.0</v>
      </c>
      <c r="D1624" s="2">
        <v>24.8744</v>
      </c>
    </row>
    <row r="1625">
      <c r="A1625" s="4">
        <v>45197.0</v>
      </c>
      <c r="B1625" s="2">
        <v>1428633.0</v>
      </c>
      <c r="C1625" s="2">
        <v>4796687.0</v>
      </c>
      <c r="D1625" s="2">
        <v>168.9144</v>
      </c>
    </row>
    <row r="1626">
      <c r="A1626" s="4">
        <v>45197.0</v>
      </c>
      <c r="B1626" s="2">
        <v>1674423.0</v>
      </c>
      <c r="C1626" s="2">
        <v>4798717.0</v>
      </c>
      <c r="D1626" s="2">
        <v>66.5891</v>
      </c>
    </row>
    <row r="1627">
      <c r="A1627" s="4">
        <v>45197.0</v>
      </c>
      <c r="B1627" s="2">
        <v>1427553.0</v>
      </c>
      <c r="C1627" s="2">
        <v>4797720.0</v>
      </c>
      <c r="D1627" s="2">
        <v>205.908</v>
      </c>
    </row>
    <row r="1628">
      <c r="A1628" s="4">
        <v>45197.0</v>
      </c>
      <c r="B1628" s="2">
        <v>1427553.0</v>
      </c>
      <c r="C1628" s="2">
        <v>4797610.0</v>
      </c>
      <c r="D1628" s="2">
        <v>205.908</v>
      </c>
    </row>
    <row r="1629">
      <c r="A1629" s="4">
        <v>45197.0</v>
      </c>
      <c r="B1629" s="2">
        <v>426423.0</v>
      </c>
      <c r="C1629" s="2">
        <v>4797938.0</v>
      </c>
      <c r="D1629" s="2">
        <v>116.228399999999</v>
      </c>
    </row>
    <row r="1630">
      <c r="A1630" s="4">
        <v>45197.0</v>
      </c>
      <c r="B1630" s="2">
        <v>1674183.0</v>
      </c>
      <c r="C1630" s="2">
        <v>4797669.0</v>
      </c>
      <c r="D1630" s="2">
        <v>29.7738</v>
      </c>
    </row>
    <row r="1631">
      <c r="A1631" s="4">
        <v>45197.0</v>
      </c>
      <c r="B1631" s="2">
        <v>1089873.0</v>
      </c>
      <c r="C1631" s="2">
        <v>4798703.0</v>
      </c>
      <c r="D1631" s="2">
        <v>89.7042999999999</v>
      </c>
    </row>
    <row r="1632">
      <c r="A1632" s="4">
        <v>45197.0</v>
      </c>
      <c r="B1632" s="2">
        <v>1344573.0</v>
      </c>
      <c r="C1632" s="2">
        <v>4797031.0</v>
      </c>
      <c r="D1632" s="2">
        <v>94.1702</v>
      </c>
    </row>
    <row r="1633">
      <c r="A1633" s="4">
        <v>44942.0</v>
      </c>
      <c r="B1633" s="2">
        <v>1074813.0</v>
      </c>
      <c r="C1633" s="2">
        <v>4136013.0</v>
      </c>
      <c r="D1633" s="2">
        <v>39.9274</v>
      </c>
    </row>
    <row r="1634">
      <c r="A1634" s="4">
        <v>44942.0</v>
      </c>
      <c r="B1634" s="2">
        <v>1103823.0</v>
      </c>
      <c r="C1634" s="2">
        <v>4134260.0</v>
      </c>
      <c r="D1634" s="2">
        <v>62.1248</v>
      </c>
    </row>
    <row r="1635">
      <c r="A1635" s="4">
        <v>44942.0</v>
      </c>
      <c r="B1635" s="2">
        <v>1433553.0</v>
      </c>
      <c r="C1635" s="2">
        <v>4136046.0</v>
      </c>
      <c r="D1635" s="2">
        <v>156.067199999999</v>
      </c>
    </row>
    <row r="1636">
      <c r="A1636" s="4">
        <v>44942.0</v>
      </c>
      <c r="B1636" s="2">
        <v>1196493.0</v>
      </c>
      <c r="C1636" s="2">
        <v>4135674.0</v>
      </c>
      <c r="D1636" s="2">
        <v>139.920799999999</v>
      </c>
    </row>
    <row r="1637">
      <c r="A1637" s="4">
        <v>44942.0</v>
      </c>
      <c r="B1637" s="2">
        <v>1237893.0</v>
      </c>
      <c r="C1637" s="2">
        <v>4135136.0</v>
      </c>
      <c r="D1637" s="2">
        <v>86.1704</v>
      </c>
    </row>
    <row r="1638">
      <c r="A1638" s="4">
        <v>44942.0</v>
      </c>
      <c r="B1638" s="2">
        <v>1505163.0</v>
      </c>
      <c r="C1638" s="2">
        <v>4134474.0</v>
      </c>
      <c r="D1638" s="2">
        <v>77.8</v>
      </c>
    </row>
    <row r="1639">
      <c r="A1639" s="4">
        <v>44942.0</v>
      </c>
      <c r="B1639" s="2">
        <v>1505493.0</v>
      </c>
      <c r="C1639" s="2">
        <v>4135711.0</v>
      </c>
      <c r="D1639" s="2">
        <v>72.4368</v>
      </c>
    </row>
    <row r="1640">
      <c r="A1640" s="4">
        <v>44942.0</v>
      </c>
      <c r="B1640" s="2">
        <v>1505013.0</v>
      </c>
      <c r="C1640" s="2">
        <v>4134007.0</v>
      </c>
      <c r="D1640" s="2">
        <v>34.6652</v>
      </c>
    </row>
    <row r="1641">
      <c r="A1641" s="4">
        <v>44942.0</v>
      </c>
      <c r="B1641" s="2">
        <v>1505073.0</v>
      </c>
      <c r="C1641" s="2">
        <v>4134196.0</v>
      </c>
      <c r="D1641" s="2">
        <v>47.7</v>
      </c>
    </row>
    <row r="1642">
      <c r="A1642" s="4">
        <v>44942.0</v>
      </c>
      <c r="B1642" s="2">
        <v>1373283.0</v>
      </c>
      <c r="C1642" s="2">
        <v>4133363.0</v>
      </c>
      <c r="D1642" s="2">
        <v>67.31</v>
      </c>
    </row>
    <row r="1643">
      <c r="A1643" s="4">
        <v>44942.0</v>
      </c>
      <c r="B1643" s="2">
        <v>408813.0</v>
      </c>
      <c r="C1643" s="2">
        <v>4134296.0</v>
      </c>
      <c r="D1643" s="2">
        <v>222.4692</v>
      </c>
    </row>
    <row r="1644">
      <c r="A1644" s="4">
        <v>45198.0</v>
      </c>
      <c r="B1644" s="2">
        <v>1460043.0</v>
      </c>
      <c r="C1644" s="2">
        <v>4800267.0</v>
      </c>
      <c r="D1644" s="2">
        <v>65.3027</v>
      </c>
    </row>
    <row r="1645">
      <c r="A1645" s="4">
        <v>45198.0</v>
      </c>
      <c r="B1645" s="2">
        <v>1588233.0</v>
      </c>
      <c r="C1645" s="2">
        <v>4801295.0</v>
      </c>
      <c r="D1645" s="2">
        <v>168.7858</v>
      </c>
    </row>
    <row r="1646">
      <c r="A1646" s="4">
        <v>45198.0</v>
      </c>
      <c r="B1646" s="2">
        <v>1635813.0</v>
      </c>
      <c r="C1646" s="2">
        <v>4799914.0</v>
      </c>
      <c r="D1646" s="2">
        <v>76.7595</v>
      </c>
    </row>
    <row r="1647">
      <c r="A1647" s="4">
        <v>45198.0</v>
      </c>
      <c r="B1647" s="2">
        <v>414843.0</v>
      </c>
      <c r="C1647" s="2">
        <v>4801760.0</v>
      </c>
      <c r="D1647" s="2">
        <v>69.423</v>
      </c>
    </row>
    <row r="1648">
      <c r="A1648" s="4">
        <v>45198.0</v>
      </c>
      <c r="B1648" s="2">
        <v>1674573.0</v>
      </c>
      <c r="C1648" s="2">
        <v>4799350.0</v>
      </c>
      <c r="D1648" s="2">
        <v>38.9413999999999</v>
      </c>
    </row>
    <row r="1649">
      <c r="A1649" s="4">
        <v>45198.0</v>
      </c>
      <c r="B1649" s="2">
        <v>1348683.0</v>
      </c>
      <c r="C1649" s="2">
        <v>4801089.0</v>
      </c>
      <c r="D1649" s="2">
        <v>54.6449999999999</v>
      </c>
    </row>
    <row r="1650">
      <c r="A1650" s="4">
        <v>45198.0</v>
      </c>
      <c r="B1650" s="2">
        <v>1675173.0</v>
      </c>
      <c r="C1650" s="2">
        <v>4801645.0</v>
      </c>
      <c r="D1650" s="2">
        <v>86.9175</v>
      </c>
    </row>
    <row r="1651">
      <c r="A1651" s="4">
        <v>45198.0</v>
      </c>
      <c r="B1651" s="2">
        <v>1505163.0</v>
      </c>
      <c r="C1651" s="2">
        <v>4800642.0</v>
      </c>
      <c r="D1651" s="2">
        <v>53.6067999999999</v>
      </c>
    </row>
    <row r="1652">
      <c r="A1652" s="4">
        <v>45198.0</v>
      </c>
      <c r="B1652" s="2">
        <v>1261383.0</v>
      </c>
      <c r="C1652" s="2">
        <v>4799413.0</v>
      </c>
      <c r="D1652" s="2">
        <v>165.257499999999</v>
      </c>
    </row>
    <row r="1653">
      <c r="A1653" s="4">
        <v>45198.0</v>
      </c>
      <c r="B1653" s="2">
        <v>1517673.0</v>
      </c>
      <c r="C1653" s="2">
        <v>4799695.0</v>
      </c>
      <c r="D1653" s="2">
        <v>137.7695</v>
      </c>
    </row>
    <row r="1654">
      <c r="A1654" s="4">
        <v>44943.0</v>
      </c>
      <c r="B1654" s="2">
        <v>1450893.0</v>
      </c>
      <c r="C1654" s="2">
        <v>4139698.0</v>
      </c>
      <c r="D1654" s="2">
        <v>84.7464</v>
      </c>
    </row>
    <row r="1655">
      <c r="A1655" s="4">
        <v>44943.0</v>
      </c>
      <c r="B1655" s="2">
        <v>1306983.0</v>
      </c>
      <c r="C1655" s="2">
        <v>4138570.0</v>
      </c>
      <c r="D1655" s="2">
        <v>135.0418</v>
      </c>
    </row>
    <row r="1656">
      <c r="A1656" s="4">
        <v>44943.0</v>
      </c>
      <c r="B1656" s="2">
        <v>274113.0</v>
      </c>
      <c r="C1656" s="2">
        <v>4138927.0</v>
      </c>
      <c r="D1656" s="2">
        <v>51.8561</v>
      </c>
    </row>
    <row r="1657">
      <c r="A1657" s="4">
        <v>44943.0</v>
      </c>
      <c r="B1657" s="2">
        <v>1198923.0</v>
      </c>
      <c r="C1657" s="2">
        <v>4137954.0</v>
      </c>
      <c r="D1657" s="2">
        <v>34.8557</v>
      </c>
    </row>
    <row r="1658">
      <c r="A1658" s="4">
        <v>44943.0</v>
      </c>
      <c r="B1658" s="2">
        <v>1286103.0</v>
      </c>
      <c r="C1658" s="2">
        <v>4139453.0</v>
      </c>
      <c r="D1658" s="2">
        <v>198.416</v>
      </c>
    </row>
    <row r="1659">
      <c r="A1659" s="4">
        <v>44943.0</v>
      </c>
      <c r="B1659" s="2">
        <v>1506543.0</v>
      </c>
      <c r="C1659" s="2">
        <v>4139556.0</v>
      </c>
      <c r="D1659" s="2">
        <v>25.308</v>
      </c>
    </row>
    <row r="1660">
      <c r="A1660" s="4">
        <v>44943.0</v>
      </c>
      <c r="B1660" s="2">
        <v>1506633.0</v>
      </c>
      <c r="C1660" s="2">
        <v>4139523.0</v>
      </c>
      <c r="D1660" s="2">
        <v>32.7605</v>
      </c>
    </row>
    <row r="1661">
      <c r="A1661" s="4">
        <v>45199.0</v>
      </c>
      <c r="B1661" s="2">
        <v>1151013.0</v>
      </c>
      <c r="C1661" s="2">
        <v>4803574.0</v>
      </c>
      <c r="D1661" s="2">
        <v>130.430799999999</v>
      </c>
    </row>
    <row r="1662">
      <c r="A1662" s="4">
        <v>45199.0</v>
      </c>
      <c r="B1662" s="2">
        <v>1676133.0</v>
      </c>
      <c r="C1662" s="2">
        <v>4805529.0</v>
      </c>
      <c r="D1662" s="2">
        <v>79.0521</v>
      </c>
    </row>
    <row r="1663">
      <c r="A1663" s="4">
        <v>45199.0</v>
      </c>
      <c r="B1663" s="2">
        <v>1426383.0</v>
      </c>
      <c r="C1663" s="2">
        <v>4803004.0</v>
      </c>
      <c r="D1663" s="2">
        <v>97.0116</v>
      </c>
    </row>
    <row r="1664">
      <c r="A1664" s="4">
        <v>45199.0</v>
      </c>
      <c r="B1664" s="2">
        <v>266283.0</v>
      </c>
      <c r="C1664" s="2">
        <v>4804635.0</v>
      </c>
      <c r="D1664" s="2">
        <v>43.0430999999999</v>
      </c>
    </row>
    <row r="1665">
      <c r="A1665" s="4">
        <v>45199.0</v>
      </c>
      <c r="B1665" s="2">
        <v>1419393.0</v>
      </c>
      <c r="C1665" s="2">
        <v>4802955.0</v>
      </c>
      <c r="D1665" s="2">
        <v>40.4092</v>
      </c>
    </row>
    <row r="1666">
      <c r="A1666" s="4">
        <v>45199.0</v>
      </c>
      <c r="B1666" s="2">
        <v>1675803.0</v>
      </c>
      <c r="C1666" s="2">
        <v>4804159.0</v>
      </c>
      <c r="D1666" s="2">
        <v>41.5404999999999</v>
      </c>
    </row>
    <row r="1667">
      <c r="A1667" s="4">
        <v>45199.0</v>
      </c>
      <c r="B1667" s="2">
        <v>1676103.0</v>
      </c>
      <c r="C1667" s="2">
        <v>4805439.0</v>
      </c>
      <c r="D1667" s="2">
        <v>105.072499999999</v>
      </c>
    </row>
    <row r="1668">
      <c r="A1668" s="4">
        <v>45199.0</v>
      </c>
      <c r="B1668" s="2">
        <v>1645653.0</v>
      </c>
      <c r="C1668" s="2">
        <v>4802020.0</v>
      </c>
      <c r="D1668" s="2">
        <v>61.0494</v>
      </c>
    </row>
    <row r="1669">
      <c r="A1669" s="4">
        <v>45199.0</v>
      </c>
      <c r="B1669" s="2">
        <v>165933.0</v>
      </c>
      <c r="C1669" s="2">
        <v>4803885.0</v>
      </c>
      <c r="D1669" s="2">
        <v>38.0834</v>
      </c>
    </row>
    <row r="1670">
      <c r="A1670" s="4">
        <v>44944.0</v>
      </c>
      <c r="B1670" s="2">
        <v>1474893.0</v>
      </c>
      <c r="C1670" s="2">
        <v>4142824.0</v>
      </c>
      <c r="D1670" s="2">
        <v>98.0803</v>
      </c>
    </row>
    <row r="1671">
      <c r="A1671" s="4">
        <v>44944.0</v>
      </c>
      <c r="B1671" s="2">
        <v>1506993.0</v>
      </c>
      <c r="C1671" s="2">
        <v>4140855.0</v>
      </c>
      <c r="D1671" s="2">
        <v>58.5695999999999</v>
      </c>
    </row>
    <row r="1672">
      <c r="A1672" s="4">
        <v>44944.0</v>
      </c>
      <c r="B1672" s="2">
        <v>1423773.0</v>
      </c>
      <c r="C1672" s="2">
        <v>4141683.0</v>
      </c>
      <c r="D1672" s="2">
        <v>66.3301</v>
      </c>
    </row>
    <row r="1673">
      <c r="A1673" s="4">
        <v>44944.0</v>
      </c>
      <c r="B1673" s="2">
        <v>1477113.0</v>
      </c>
      <c r="C1673" s="2">
        <v>4142780.0</v>
      </c>
      <c r="D1673" s="2">
        <v>37.8958</v>
      </c>
    </row>
    <row r="1674">
      <c r="A1674" s="4">
        <v>45200.0</v>
      </c>
      <c r="B1674" s="2">
        <v>1676793.0</v>
      </c>
      <c r="C1674" s="2">
        <v>4808455.0</v>
      </c>
      <c r="D1674" s="2">
        <v>91.4332</v>
      </c>
    </row>
    <row r="1675">
      <c r="A1675" s="4">
        <v>45200.0</v>
      </c>
      <c r="B1675" s="2">
        <v>1478673.0</v>
      </c>
      <c r="C1675" s="2">
        <v>4809050.0</v>
      </c>
      <c r="D1675" s="2">
        <v>103.2299</v>
      </c>
    </row>
    <row r="1676">
      <c r="A1676" s="4">
        <v>45200.0</v>
      </c>
      <c r="B1676" s="2">
        <v>273093.0</v>
      </c>
      <c r="C1676" s="2">
        <v>4806258.0</v>
      </c>
      <c r="D1676" s="2">
        <v>83.7042999999999</v>
      </c>
    </row>
    <row r="1677">
      <c r="A1677" s="4">
        <v>45200.0</v>
      </c>
      <c r="B1677" s="2">
        <v>1410633.0</v>
      </c>
      <c r="C1677" s="2">
        <v>4808510.0</v>
      </c>
      <c r="D1677" s="2">
        <v>76.2156</v>
      </c>
    </row>
    <row r="1678">
      <c r="A1678" s="4">
        <v>45200.0</v>
      </c>
      <c r="B1678" s="2">
        <v>1676193.0</v>
      </c>
      <c r="C1678" s="2">
        <v>4805813.0</v>
      </c>
      <c r="D1678" s="2">
        <v>122.7217</v>
      </c>
    </row>
    <row r="1679">
      <c r="A1679" s="4">
        <v>45200.0</v>
      </c>
      <c r="B1679" s="2">
        <v>1344573.0</v>
      </c>
      <c r="C1679" s="2">
        <v>4806888.0</v>
      </c>
      <c r="D1679" s="2">
        <v>120.6143</v>
      </c>
    </row>
    <row r="1680">
      <c r="A1680" s="4">
        <v>45200.0</v>
      </c>
      <c r="B1680" s="2">
        <v>1658883.0</v>
      </c>
      <c r="C1680" s="2">
        <v>4807113.0</v>
      </c>
      <c r="D1680" s="2">
        <v>138.4511</v>
      </c>
    </row>
    <row r="1681">
      <c r="A1681" s="4">
        <v>45200.0</v>
      </c>
      <c r="B1681" s="2">
        <v>1676193.0</v>
      </c>
      <c r="C1681" s="2">
        <v>4805824.0</v>
      </c>
      <c r="D1681" s="2">
        <v>61.2673</v>
      </c>
    </row>
    <row r="1682">
      <c r="A1682" s="4">
        <v>44945.0</v>
      </c>
      <c r="B1682" s="2">
        <v>1344573.0</v>
      </c>
      <c r="C1682" s="2">
        <v>4143621.0</v>
      </c>
      <c r="D1682" s="2">
        <v>61.7316</v>
      </c>
    </row>
    <row r="1683">
      <c r="A1683" s="4">
        <v>44945.0</v>
      </c>
      <c r="B1683" s="2">
        <v>1344573.0</v>
      </c>
      <c r="C1683" s="2">
        <v>4143640.0</v>
      </c>
      <c r="D1683" s="2">
        <v>90.775</v>
      </c>
    </row>
    <row r="1684">
      <c r="A1684" s="4">
        <v>45201.0</v>
      </c>
      <c r="B1684" s="2">
        <v>1677693.0</v>
      </c>
      <c r="C1684" s="2">
        <v>4811775.0</v>
      </c>
      <c r="D1684" s="2">
        <v>15.9846</v>
      </c>
    </row>
    <row r="1685">
      <c r="A1685" s="4">
        <v>45201.0</v>
      </c>
      <c r="B1685" s="2">
        <v>1677213.0</v>
      </c>
      <c r="C1685" s="2">
        <v>4810272.0</v>
      </c>
      <c r="D1685" s="2">
        <v>39.5062999999999</v>
      </c>
    </row>
    <row r="1686">
      <c r="A1686" s="4">
        <v>45201.0</v>
      </c>
      <c r="B1686" s="2">
        <v>1163523.0</v>
      </c>
      <c r="C1686" s="2">
        <v>4810906.0</v>
      </c>
      <c r="D1686" s="2">
        <v>42.8649</v>
      </c>
    </row>
    <row r="1687">
      <c r="A1687" s="4">
        <v>45201.0</v>
      </c>
      <c r="B1687" s="2">
        <v>1677573.0</v>
      </c>
      <c r="C1687" s="2">
        <v>4811603.0</v>
      </c>
      <c r="D1687" s="2">
        <v>37.1852</v>
      </c>
    </row>
    <row r="1688">
      <c r="A1688" s="4">
        <v>45201.0</v>
      </c>
      <c r="B1688" s="2">
        <v>486093.0</v>
      </c>
      <c r="C1688" s="2">
        <v>4811251.0</v>
      </c>
      <c r="D1688" s="2">
        <v>23.2674</v>
      </c>
    </row>
    <row r="1689">
      <c r="A1689" s="4">
        <v>44946.0</v>
      </c>
      <c r="B1689" s="2">
        <v>1372173.0</v>
      </c>
      <c r="C1689" s="2">
        <v>4146446.0</v>
      </c>
      <c r="D1689" s="2">
        <v>131.4229</v>
      </c>
    </row>
    <row r="1690">
      <c r="A1690" s="4">
        <v>44946.0</v>
      </c>
      <c r="B1690" s="2">
        <v>1477113.0</v>
      </c>
      <c r="C1690" s="2">
        <v>4146642.0</v>
      </c>
      <c r="D1690" s="2">
        <v>48.109</v>
      </c>
    </row>
    <row r="1691">
      <c r="A1691" s="4">
        <v>44946.0</v>
      </c>
      <c r="B1691" s="2">
        <v>1239183.0</v>
      </c>
      <c r="C1691" s="2">
        <v>4145787.0</v>
      </c>
      <c r="D1691" s="2">
        <v>69.7331</v>
      </c>
    </row>
    <row r="1692">
      <c r="A1692" s="4">
        <v>44946.0</v>
      </c>
      <c r="B1692" s="2">
        <v>1407333.0</v>
      </c>
      <c r="C1692" s="2">
        <v>4147000.0</v>
      </c>
      <c r="D1692" s="2">
        <v>61.9844</v>
      </c>
    </row>
    <row r="1693">
      <c r="A1693" s="4">
        <v>44946.0</v>
      </c>
      <c r="B1693" s="2">
        <v>367683.0</v>
      </c>
      <c r="C1693" s="2">
        <v>4146595.0</v>
      </c>
      <c r="D1693" s="2">
        <v>49.7044</v>
      </c>
    </row>
    <row r="1694">
      <c r="A1694" s="4">
        <v>44946.0</v>
      </c>
      <c r="B1694" s="2">
        <v>1422333.0</v>
      </c>
      <c r="C1694" s="2">
        <v>4147426.0</v>
      </c>
      <c r="D1694" s="2">
        <v>44.6421</v>
      </c>
    </row>
    <row r="1695">
      <c r="A1695" s="4">
        <v>44946.0</v>
      </c>
      <c r="B1695" s="2">
        <v>1452633.0</v>
      </c>
      <c r="C1695" s="2">
        <v>4147962.0</v>
      </c>
      <c r="D1695" s="2">
        <v>108.574999999999</v>
      </c>
    </row>
    <row r="1696">
      <c r="A1696" s="4">
        <v>45202.0</v>
      </c>
      <c r="B1696" s="2">
        <v>1677843.0</v>
      </c>
      <c r="C1696" s="2">
        <v>4812341.0</v>
      </c>
      <c r="D1696" s="2">
        <v>17.2493</v>
      </c>
    </row>
    <row r="1697">
      <c r="A1697" s="4">
        <v>45202.0</v>
      </c>
      <c r="B1697" s="2">
        <v>1223523.0</v>
      </c>
      <c r="C1697" s="2">
        <v>4813216.0</v>
      </c>
      <c r="D1697" s="2">
        <v>136.982699999999</v>
      </c>
    </row>
    <row r="1698">
      <c r="A1698" s="4">
        <v>45202.0</v>
      </c>
      <c r="B1698" s="2">
        <v>1653453.0</v>
      </c>
      <c r="C1698" s="2">
        <v>4814480.0</v>
      </c>
      <c r="D1698" s="2">
        <v>71.7147</v>
      </c>
    </row>
    <row r="1699">
      <c r="A1699" s="4">
        <v>45202.0</v>
      </c>
      <c r="B1699" s="2">
        <v>1678233.0</v>
      </c>
      <c r="C1699" s="2">
        <v>4814073.0</v>
      </c>
      <c r="D1699" s="2">
        <v>24.055</v>
      </c>
    </row>
    <row r="1700">
      <c r="A1700" s="4">
        <v>45202.0</v>
      </c>
      <c r="B1700" s="2">
        <v>1452153.0</v>
      </c>
      <c r="C1700" s="2">
        <v>4813105.0</v>
      </c>
      <c r="D1700" s="2">
        <v>113.5384</v>
      </c>
    </row>
    <row r="1701">
      <c r="A1701" s="4">
        <v>45202.0</v>
      </c>
      <c r="B1701" s="2">
        <v>1454403.0</v>
      </c>
      <c r="C1701" s="2">
        <v>4814205.0</v>
      </c>
      <c r="D1701" s="2">
        <v>35.1979</v>
      </c>
    </row>
    <row r="1702">
      <c r="A1702" s="4">
        <v>45202.0</v>
      </c>
      <c r="B1702" s="2">
        <v>1286103.0</v>
      </c>
      <c r="C1702" s="2">
        <v>4813080.0</v>
      </c>
      <c r="D1702" s="2">
        <v>162.832499999999</v>
      </c>
    </row>
    <row r="1703">
      <c r="A1703" s="4">
        <v>45202.0</v>
      </c>
      <c r="B1703" s="2">
        <v>1609023.0</v>
      </c>
      <c r="C1703" s="2">
        <v>4812494.0</v>
      </c>
      <c r="D1703" s="2">
        <v>60.0914</v>
      </c>
    </row>
    <row r="1704">
      <c r="A1704" s="4">
        <v>45202.0</v>
      </c>
      <c r="B1704" s="2">
        <v>1678143.0</v>
      </c>
      <c r="C1704" s="2">
        <v>4813672.0</v>
      </c>
      <c r="D1704" s="2">
        <v>65.0883</v>
      </c>
    </row>
    <row r="1705">
      <c r="A1705" s="4">
        <v>44947.0</v>
      </c>
      <c r="B1705" s="2">
        <v>1475943.0</v>
      </c>
      <c r="C1705" s="2">
        <v>4150332.0</v>
      </c>
      <c r="D1705" s="2">
        <v>28.9167</v>
      </c>
    </row>
    <row r="1706">
      <c r="A1706" s="4">
        <v>44947.0</v>
      </c>
      <c r="B1706" s="2">
        <v>1204983.0</v>
      </c>
      <c r="C1706" s="2">
        <v>4151320.0</v>
      </c>
      <c r="D1706" s="2">
        <v>60.7716</v>
      </c>
    </row>
    <row r="1707">
      <c r="A1707" s="4">
        <v>44947.0</v>
      </c>
      <c r="B1707" s="2">
        <v>186663.0</v>
      </c>
      <c r="C1707" s="2">
        <v>4149499.0</v>
      </c>
      <c r="D1707" s="2">
        <v>82.4833999999999</v>
      </c>
    </row>
    <row r="1708">
      <c r="A1708" s="4">
        <v>44947.0</v>
      </c>
      <c r="B1708" s="2">
        <v>1149063.0</v>
      </c>
      <c r="C1708" s="2">
        <v>4149568.0</v>
      </c>
      <c r="D1708" s="2">
        <v>69.1166</v>
      </c>
    </row>
    <row r="1709">
      <c r="A1709" s="4">
        <v>44947.0</v>
      </c>
      <c r="B1709" s="2">
        <v>1510293.0</v>
      </c>
      <c r="C1709" s="2">
        <v>4151746.0</v>
      </c>
      <c r="D1709" s="2">
        <v>4.9749</v>
      </c>
    </row>
    <row r="1710">
      <c r="A1710" s="4">
        <v>44947.0</v>
      </c>
      <c r="B1710" s="2">
        <v>1510383.0</v>
      </c>
      <c r="C1710" s="2">
        <v>4152024.0</v>
      </c>
      <c r="D1710" s="2">
        <v>113.4755</v>
      </c>
    </row>
    <row r="1711">
      <c r="A1711" s="4">
        <v>44947.0</v>
      </c>
      <c r="B1711" s="2">
        <v>323493.0</v>
      </c>
      <c r="C1711" s="2">
        <v>4150343.0</v>
      </c>
      <c r="D1711" s="2">
        <v>191.8583</v>
      </c>
    </row>
    <row r="1712">
      <c r="A1712" s="4">
        <v>44947.0</v>
      </c>
      <c r="B1712" s="2">
        <v>1509843.0</v>
      </c>
      <c r="C1712" s="2">
        <v>4150164.0</v>
      </c>
      <c r="D1712" s="2">
        <v>4.05</v>
      </c>
    </row>
    <row r="1713">
      <c r="A1713" s="4">
        <v>44947.0</v>
      </c>
      <c r="B1713" s="2">
        <v>1061973.0</v>
      </c>
      <c r="C1713" s="2">
        <v>4149106.0</v>
      </c>
      <c r="D1713" s="2">
        <v>52.8908999999999</v>
      </c>
    </row>
    <row r="1714">
      <c r="A1714" s="4">
        <v>44947.0</v>
      </c>
      <c r="B1714" s="2">
        <v>1509663.0</v>
      </c>
      <c r="C1714" s="2">
        <v>4149621.0</v>
      </c>
      <c r="D1714" s="2">
        <v>13.4585</v>
      </c>
    </row>
    <row r="1715">
      <c r="A1715" s="4">
        <v>45203.0</v>
      </c>
      <c r="B1715" s="2">
        <v>1475943.0</v>
      </c>
      <c r="C1715" s="2">
        <v>4816138.0</v>
      </c>
      <c r="D1715" s="2">
        <v>43.6769999999999</v>
      </c>
    </row>
    <row r="1716">
      <c r="A1716" s="4">
        <v>45203.0</v>
      </c>
      <c r="B1716" s="2">
        <v>1610733.0</v>
      </c>
      <c r="C1716" s="2">
        <v>4816225.0</v>
      </c>
      <c r="D1716" s="2">
        <v>47.2536</v>
      </c>
    </row>
    <row r="1717">
      <c r="A1717" s="4">
        <v>45203.0</v>
      </c>
      <c r="B1717" s="2">
        <v>1679253.0</v>
      </c>
      <c r="C1717" s="2">
        <v>4817732.0</v>
      </c>
      <c r="D1717" s="2">
        <v>26.4626</v>
      </c>
    </row>
    <row r="1718">
      <c r="A1718" s="4">
        <v>45203.0</v>
      </c>
      <c r="B1718" s="2">
        <v>1065213.0</v>
      </c>
      <c r="C1718" s="2">
        <v>4816806.0</v>
      </c>
      <c r="D1718" s="2">
        <v>212.7616</v>
      </c>
    </row>
    <row r="1719">
      <c r="A1719" s="4">
        <v>45203.0</v>
      </c>
      <c r="B1719" s="2">
        <v>1564293.0</v>
      </c>
      <c r="C1719" s="2">
        <v>4817988.0</v>
      </c>
      <c r="D1719" s="2">
        <v>38.413</v>
      </c>
    </row>
    <row r="1720">
      <c r="A1720" s="4">
        <v>45203.0</v>
      </c>
      <c r="B1720" s="2">
        <v>1678953.0</v>
      </c>
      <c r="C1720" s="2">
        <v>4816689.0</v>
      </c>
      <c r="D1720" s="2">
        <v>36.75</v>
      </c>
    </row>
    <row r="1721">
      <c r="A1721" s="4">
        <v>45203.0</v>
      </c>
      <c r="B1721" s="2">
        <v>1665633.0</v>
      </c>
      <c r="C1721" s="2">
        <v>4815923.0</v>
      </c>
      <c r="D1721" s="2">
        <v>59.0496</v>
      </c>
    </row>
    <row r="1722">
      <c r="A1722" s="4">
        <v>45203.0</v>
      </c>
      <c r="B1722" s="2">
        <v>1595193.0</v>
      </c>
      <c r="C1722" s="2">
        <v>4817296.0</v>
      </c>
      <c r="D1722" s="2">
        <v>22.5585</v>
      </c>
    </row>
    <row r="1723">
      <c r="A1723" s="4">
        <v>45203.0</v>
      </c>
      <c r="B1723" s="2">
        <v>1679043.0</v>
      </c>
      <c r="C1723" s="2">
        <v>4816988.0</v>
      </c>
      <c r="D1723" s="2">
        <v>28.6271</v>
      </c>
    </row>
    <row r="1724">
      <c r="A1724" s="4">
        <v>44948.0</v>
      </c>
      <c r="B1724" s="2">
        <v>1510953.0</v>
      </c>
      <c r="C1724" s="2">
        <v>4154314.0</v>
      </c>
      <c r="D1724" s="2">
        <v>33.8292999999999</v>
      </c>
    </row>
    <row r="1725">
      <c r="A1725" s="4">
        <v>44948.0</v>
      </c>
      <c r="B1725" s="2">
        <v>1214823.0</v>
      </c>
      <c r="C1725" s="2">
        <v>4153188.0</v>
      </c>
      <c r="D1725" s="2">
        <v>40.5271</v>
      </c>
    </row>
    <row r="1726">
      <c r="A1726" s="4">
        <v>44948.0</v>
      </c>
      <c r="B1726" s="2">
        <v>1450893.0</v>
      </c>
      <c r="C1726" s="2">
        <v>4152337.0</v>
      </c>
      <c r="D1726" s="2">
        <v>65.6653</v>
      </c>
    </row>
    <row r="1727">
      <c r="A1727" s="4">
        <v>44948.0</v>
      </c>
      <c r="B1727" s="2">
        <v>1470573.0</v>
      </c>
      <c r="C1727" s="2">
        <v>4155479.0</v>
      </c>
      <c r="D1727" s="2">
        <v>69.357</v>
      </c>
    </row>
    <row r="1728">
      <c r="A1728" s="4">
        <v>44948.0</v>
      </c>
      <c r="B1728" s="2">
        <v>1409583.0</v>
      </c>
      <c r="C1728" s="2">
        <v>4152536.0</v>
      </c>
      <c r="D1728" s="2">
        <v>77.4225</v>
      </c>
    </row>
    <row r="1729">
      <c r="A1729" s="4">
        <v>44948.0</v>
      </c>
      <c r="B1729" s="2">
        <v>1510443.0</v>
      </c>
      <c r="C1729" s="2">
        <v>4152375.0</v>
      </c>
      <c r="D1729" s="2">
        <v>41.7041999999999</v>
      </c>
    </row>
    <row r="1730">
      <c r="A1730" s="4">
        <v>45204.0</v>
      </c>
      <c r="B1730" s="2">
        <v>413523.0</v>
      </c>
      <c r="C1730" s="2">
        <v>4819190.0</v>
      </c>
      <c r="D1730" s="2">
        <v>184.771</v>
      </c>
    </row>
    <row r="1731">
      <c r="A1731" s="4">
        <v>45204.0</v>
      </c>
      <c r="B1731" s="2">
        <v>1273263.0</v>
      </c>
      <c r="C1731" s="2">
        <v>4819544.0</v>
      </c>
      <c r="D1731" s="2">
        <v>37.7221</v>
      </c>
    </row>
    <row r="1732">
      <c r="A1732" s="4">
        <v>45204.0</v>
      </c>
      <c r="B1732" s="2">
        <v>1496013.0</v>
      </c>
      <c r="C1732" s="2">
        <v>4818130.0</v>
      </c>
      <c r="D1732" s="2">
        <v>146.0421</v>
      </c>
    </row>
    <row r="1733">
      <c r="A1733" s="4">
        <v>45204.0</v>
      </c>
      <c r="B1733" s="2">
        <v>1611213.0</v>
      </c>
      <c r="C1733" s="2">
        <v>4819620.0</v>
      </c>
      <c r="D1733" s="2">
        <v>46.1448</v>
      </c>
    </row>
    <row r="1734">
      <c r="A1734" s="4">
        <v>45204.0</v>
      </c>
      <c r="B1734" s="2">
        <v>481893.0</v>
      </c>
      <c r="C1734" s="2">
        <v>4818819.0</v>
      </c>
      <c r="D1734" s="2">
        <v>64.3061</v>
      </c>
    </row>
    <row r="1735">
      <c r="A1735" s="4">
        <v>44949.0</v>
      </c>
      <c r="B1735" s="2">
        <v>1505493.0</v>
      </c>
      <c r="C1735" s="2">
        <v>4157746.0</v>
      </c>
      <c r="D1735" s="2">
        <v>27.5956</v>
      </c>
    </row>
    <row r="1736">
      <c r="A1736" s="4">
        <v>44949.0</v>
      </c>
      <c r="B1736" s="2">
        <v>1405893.0</v>
      </c>
      <c r="C1736" s="2">
        <v>4157517.0</v>
      </c>
      <c r="D1736" s="2">
        <v>55.6633999999999</v>
      </c>
    </row>
    <row r="1737">
      <c r="A1737" s="4">
        <v>44949.0</v>
      </c>
      <c r="B1737" s="2">
        <v>1121703.0</v>
      </c>
      <c r="C1737" s="2">
        <v>4156401.0</v>
      </c>
      <c r="D1737" s="2">
        <v>30.7868</v>
      </c>
    </row>
    <row r="1738">
      <c r="A1738" s="4">
        <v>44949.0</v>
      </c>
      <c r="B1738" s="2">
        <v>1292223.0</v>
      </c>
      <c r="C1738" s="2">
        <v>4156506.0</v>
      </c>
      <c r="D1738" s="2">
        <v>37.3267</v>
      </c>
    </row>
    <row r="1739">
      <c r="A1739" s="4">
        <v>44949.0</v>
      </c>
      <c r="B1739" s="2">
        <v>1038963.0</v>
      </c>
      <c r="C1739" s="2">
        <v>4157575.0</v>
      </c>
      <c r="D1739" s="2">
        <v>28.9</v>
      </c>
    </row>
    <row r="1740">
      <c r="A1740" s="4">
        <v>44949.0</v>
      </c>
      <c r="B1740" s="2">
        <v>1131483.0</v>
      </c>
      <c r="C1740" s="2">
        <v>4157568.0</v>
      </c>
      <c r="D1740" s="2">
        <v>38.6871</v>
      </c>
    </row>
    <row r="1741">
      <c r="A1741" s="4">
        <v>44949.0</v>
      </c>
      <c r="B1741" s="2">
        <v>217743.0</v>
      </c>
      <c r="C1741" s="2">
        <v>4157798.0</v>
      </c>
      <c r="D1741" s="2">
        <v>79.7158</v>
      </c>
    </row>
    <row r="1742">
      <c r="A1742" s="4">
        <v>44949.0</v>
      </c>
      <c r="B1742" s="2">
        <v>231783.0</v>
      </c>
      <c r="C1742" s="2">
        <v>4158440.0</v>
      </c>
      <c r="D1742" s="2">
        <v>112.517</v>
      </c>
    </row>
    <row r="1743">
      <c r="A1743" s="4">
        <v>44949.0</v>
      </c>
      <c r="B1743" s="2">
        <v>1427553.0</v>
      </c>
      <c r="C1743" s="2">
        <v>4157612.0</v>
      </c>
      <c r="D1743" s="2">
        <v>148.6792</v>
      </c>
    </row>
    <row r="1744">
      <c r="A1744" s="4">
        <v>44949.0</v>
      </c>
      <c r="B1744" s="2">
        <v>1511763.0</v>
      </c>
      <c r="C1744" s="2">
        <v>4157546.0</v>
      </c>
      <c r="D1744" s="2">
        <v>20.75</v>
      </c>
    </row>
    <row r="1745">
      <c r="A1745" s="4">
        <v>44949.0</v>
      </c>
      <c r="B1745" s="2">
        <v>1511583.0</v>
      </c>
      <c r="C1745" s="2">
        <v>4156883.0</v>
      </c>
      <c r="D1745" s="2">
        <v>28.625</v>
      </c>
    </row>
    <row r="1746">
      <c r="A1746" s="4">
        <v>44949.0</v>
      </c>
      <c r="B1746" s="2">
        <v>1511853.0</v>
      </c>
      <c r="C1746" s="2">
        <v>4158243.0</v>
      </c>
      <c r="D1746" s="2">
        <v>73.2203</v>
      </c>
    </row>
    <row r="1747">
      <c r="A1747" s="4">
        <v>45205.0</v>
      </c>
      <c r="B1747" s="2">
        <v>1389153.0</v>
      </c>
      <c r="C1747" s="2">
        <v>4821762.0</v>
      </c>
      <c r="D1747" s="2">
        <v>10.4167</v>
      </c>
    </row>
    <row r="1748">
      <c r="A1748" s="4">
        <v>45205.0</v>
      </c>
      <c r="B1748" s="2">
        <v>1679673.0</v>
      </c>
      <c r="C1748" s="2">
        <v>4820620.0</v>
      </c>
      <c r="D1748" s="2">
        <v>60.2172999999999</v>
      </c>
    </row>
    <row r="1749">
      <c r="A1749" s="4">
        <v>45205.0</v>
      </c>
      <c r="B1749" s="2">
        <v>463353.0</v>
      </c>
      <c r="C1749" s="2">
        <v>4822659.0</v>
      </c>
      <c r="D1749" s="2">
        <v>78.6</v>
      </c>
    </row>
    <row r="1750">
      <c r="A1750" s="4">
        <v>45205.0</v>
      </c>
      <c r="B1750" s="2">
        <v>1503183.0</v>
      </c>
      <c r="C1750" s="2">
        <v>4821710.0</v>
      </c>
      <c r="D1750" s="2">
        <v>85.5662</v>
      </c>
    </row>
    <row r="1751">
      <c r="A1751" s="4">
        <v>45205.0</v>
      </c>
      <c r="B1751" s="2">
        <v>1626093.0</v>
      </c>
      <c r="C1751" s="2">
        <v>4820868.0</v>
      </c>
      <c r="D1751" s="2">
        <v>93.1111</v>
      </c>
    </row>
    <row r="1752">
      <c r="A1752" s="4">
        <v>45205.0</v>
      </c>
      <c r="B1752" s="2">
        <v>1680003.0</v>
      </c>
      <c r="C1752" s="2">
        <v>4820658.0</v>
      </c>
      <c r="D1752" s="2">
        <v>7.375</v>
      </c>
    </row>
    <row r="1753">
      <c r="A1753" s="4">
        <v>45205.0</v>
      </c>
      <c r="B1753" s="2">
        <v>1149063.0</v>
      </c>
      <c r="C1753" s="2">
        <v>4822210.0</v>
      </c>
      <c r="D1753" s="2">
        <v>86.4941</v>
      </c>
    </row>
    <row r="1754">
      <c r="A1754" s="4">
        <v>44950.0</v>
      </c>
      <c r="B1754" s="2">
        <v>1269453.0</v>
      </c>
      <c r="C1754" s="2">
        <v>4159099.0</v>
      </c>
      <c r="D1754" s="2">
        <v>44.386</v>
      </c>
    </row>
    <row r="1755">
      <c r="A1755" s="4">
        <v>44950.0</v>
      </c>
      <c r="B1755" s="2">
        <v>1224573.0</v>
      </c>
      <c r="C1755" s="2">
        <v>4160995.0</v>
      </c>
      <c r="D1755" s="2">
        <v>31.5386</v>
      </c>
    </row>
    <row r="1756">
      <c r="A1756" s="4">
        <v>44950.0</v>
      </c>
      <c r="B1756" s="2">
        <v>1416303.0</v>
      </c>
      <c r="C1756" s="2">
        <v>4158692.0</v>
      </c>
      <c r="D1756" s="2">
        <v>48.75</v>
      </c>
    </row>
    <row r="1757">
      <c r="A1757" s="4">
        <v>45206.0</v>
      </c>
      <c r="B1757" s="2">
        <v>1102863.0</v>
      </c>
      <c r="C1757" s="2">
        <v>4824578.0</v>
      </c>
      <c r="D1757" s="2">
        <v>13.0998</v>
      </c>
    </row>
    <row r="1758">
      <c r="A1758" s="4">
        <v>45206.0</v>
      </c>
      <c r="B1758" s="2">
        <v>1679073.0</v>
      </c>
      <c r="C1758" s="2">
        <v>4827129.0</v>
      </c>
      <c r="D1758" s="2">
        <v>97.6772</v>
      </c>
    </row>
    <row r="1759">
      <c r="A1759" s="4">
        <v>45206.0</v>
      </c>
      <c r="B1759" s="2">
        <v>1220073.0</v>
      </c>
      <c r="C1759" s="2">
        <v>4824609.0</v>
      </c>
      <c r="D1759" s="2">
        <v>115.540099999999</v>
      </c>
    </row>
    <row r="1760">
      <c r="A1760" s="4">
        <v>45206.0</v>
      </c>
      <c r="B1760" s="2">
        <v>1678983.0</v>
      </c>
      <c r="C1760" s="2">
        <v>4826986.0</v>
      </c>
      <c r="D1760" s="2">
        <v>60.5013</v>
      </c>
    </row>
    <row r="1761">
      <c r="A1761" s="4">
        <v>45206.0</v>
      </c>
      <c r="B1761" s="2">
        <v>1232733.0</v>
      </c>
      <c r="C1761" s="2">
        <v>4824287.0</v>
      </c>
      <c r="D1761" s="2">
        <v>157.1333</v>
      </c>
    </row>
    <row r="1762">
      <c r="A1762" s="4">
        <v>45206.0</v>
      </c>
      <c r="B1762" s="2">
        <v>1318413.0</v>
      </c>
      <c r="C1762" s="2">
        <v>4824903.0</v>
      </c>
      <c r="D1762" s="2">
        <v>66.6707999999999</v>
      </c>
    </row>
    <row r="1763">
      <c r="A1763" s="4">
        <v>45206.0</v>
      </c>
      <c r="B1763" s="2">
        <v>1204983.0</v>
      </c>
      <c r="C1763" s="2">
        <v>4825871.0</v>
      </c>
      <c r="D1763" s="2">
        <v>64.8209</v>
      </c>
    </row>
    <row r="1764">
      <c r="A1764" s="4">
        <v>44951.0</v>
      </c>
      <c r="B1764" s="2">
        <v>1409553.0</v>
      </c>
      <c r="C1764" s="2">
        <v>4162643.0</v>
      </c>
      <c r="D1764" s="2">
        <v>65.8809</v>
      </c>
    </row>
    <row r="1765">
      <c r="A1765" s="4">
        <v>44951.0</v>
      </c>
      <c r="B1765" s="2">
        <v>1422333.0</v>
      </c>
      <c r="C1765" s="2">
        <v>4161199.0</v>
      </c>
      <c r="D1765" s="2">
        <v>40.7463999999999</v>
      </c>
    </row>
    <row r="1766">
      <c r="A1766" s="4">
        <v>44951.0</v>
      </c>
      <c r="B1766" s="2">
        <v>1144893.0</v>
      </c>
      <c r="C1766" s="2">
        <v>4161325.0</v>
      </c>
      <c r="D1766" s="2">
        <v>128.1583</v>
      </c>
    </row>
    <row r="1767">
      <c r="A1767" s="4">
        <v>44951.0</v>
      </c>
      <c r="B1767" s="2">
        <v>1333293.0</v>
      </c>
      <c r="C1767" s="2">
        <v>4163345.0</v>
      </c>
      <c r="D1767" s="2">
        <v>36.1231</v>
      </c>
    </row>
    <row r="1768">
      <c r="A1768" s="4">
        <v>44951.0</v>
      </c>
      <c r="B1768" s="2">
        <v>1234923.0</v>
      </c>
      <c r="C1768" s="2">
        <v>4161906.0</v>
      </c>
      <c r="D1768" s="2">
        <v>11.6595</v>
      </c>
    </row>
    <row r="1769">
      <c r="A1769" s="4">
        <v>44951.0</v>
      </c>
      <c r="B1769" s="2">
        <v>1450893.0</v>
      </c>
      <c r="C1769" s="2">
        <v>4161633.0</v>
      </c>
      <c r="D1769" s="2">
        <v>155.2157</v>
      </c>
    </row>
    <row r="1770">
      <c r="A1770" s="4">
        <v>44951.0</v>
      </c>
      <c r="B1770" s="2">
        <v>1455873.0</v>
      </c>
      <c r="C1770" s="2">
        <v>4161388.0</v>
      </c>
      <c r="D1770" s="2">
        <v>71.5121</v>
      </c>
    </row>
    <row r="1771">
      <c r="A1771" s="4">
        <v>45207.0</v>
      </c>
      <c r="B1771" s="2">
        <v>1236333.0</v>
      </c>
      <c r="C1771" s="2">
        <v>4828818.0</v>
      </c>
      <c r="D1771" s="2">
        <v>81.4851</v>
      </c>
    </row>
    <row r="1772">
      <c r="A1772" s="4">
        <v>45207.0</v>
      </c>
      <c r="B1772" s="2">
        <v>1262733.0</v>
      </c>
      <c r="C1772" s="2">
        <v>4829785.0</v>
      </c>
      <c r="D1772" s="2">
        <v>146.3932</v>
      </c>
    </row>
    <row r="1773">
      <c r="A1773" s="4">
        <v>45207.0</v>
      </c>
      <c r="B1773" s="2">
        <v>1682163.0</v>
      </c>
      <c r="C1773" s="2">
        <v>4828651.0</v>
      </c>
      <c r="D1773" s="2">
        <v>45.2969</v>
      </c>
    </row>
    <row r="1774">
      <c r="A1774" s="4">
        <v>45207.0</v>
      </c>
      <c r="B1774" s="2">
        <v>1681953.0</v>
      </c>
      <c r="C1774" s="2">
        <v>4828444.0</v>
      </c>
      <c r="D1774" s="2">
        <v>38.2082</v>
      </c>
    </row>
    <row r="1775">
      <c r="A1775" s="4">
        <v>45207.0</v>
      </c>
      <c r="B1775" s="2">
        <v>1238283.0</v>
      </c>
      <c r="C1775" s="2">
        <v>4830078.0</v>
      </c>
      <c r="D1775" s="2">
        <v>106.6914</v>
      </c>
    </row>
    <row r="1776">
      <c r="A1776" s="4">
        <v>45207.0</v>
      </c>
      <c r="B1776" s="2">
        <v>1525533.0</v>
      </c>
      <c r="C1776" s="2">
        <v>4829223.0</v>
      </c>
      <c r="D1776" s="2">
        <v>30.0553</v>
      </c>
    </row>
    <row r="1777">
      <c r="A1777" s="4">
        <v>45207.0</v>
      </c>
      <c r="B1777" s="2">
        <v>147243.0</v>
      </c>
      <c r="C1777" s="2">
        <v>4827565.0</v>
      </c>
      <c r="D1777" s="2">
        <v>85.3916</v>
      </c>
    </row>
    <row r="1778">
      <c r="A1778" s="4">
        <v>45207.0</v>
      </c>
      <c r="B1778" s="2">
        <v>1650513.0</v>
      </c>
      <c r="C1778" s="2">
        <v>4829970.0</v>
      </c>
      <c r="D1778" s="2">
        <v>43.7419</v>
      </c>
    </row>
    <row r="1779">
      <c r="A1779" s="4">
        <v>45207.0</v>
      </c>
      <c r="B1779" s="2">
        <v>1682313.0</v>
      </c>
      <c r="C1779" s="2">
        <v>4829016.0</v>
      </c>
      <c r="D1779" s="2">
        <v>42.1021999999999</v>
      </c>
    </row>
    <row r="1780">
      <c r="A1780" s="4">
        <v>44952.0</v>
      </c>
      <c r="B1780" s="2">
        <v>1513533.0</v>
      </c>
      <c r="C1780" s="2">
        <v>4163890.0</v>
      </c>
      <c r="D1780" s="2">
        <v>37.0502</v>
      </c>
    </row>
    <row r="1781">
      <c r="A1781" s="4">
        <v>45208.0</v>
      </c>
      <c r="B1781" s="2">
        <v>1594203.0</v>
      </c>
      <c r="C1781" s="2">
        <v>4832430.0</v>
      </c>
      <c r="D1781" s="2">
        <v>114.3476</v>
      </c>
    </row>
    <row r="1782">
      <c r="A1782" s="4">
        <v>45208.0</v>
      </c>
      <c r="B1782" s="2">
        <v>1626933.0</v>
      </c>
      <c r="C1782" s="2">
        <v>4832444.0</v>
      </c>
      <c r="D1782" s="2">
        <v>50.9115</v>
      </c>
    </row>
    <row r="1783">
      <c r="A1783" s="4">
        <v>45208.0</v>
      </c>
      <c r="B1783" s="2">
        <v>1436763.0</v>
      </c>
      <c r="C1783" s="2">
        <v>4833142.0</v>
      </c>
      <c r="D1783" s="2">
        <v>115.939</v>
      </c>
    </row>
    <row r="1784">
      <c r="A1784" s="4">
        <v>45208.0</v>
      </c>
      <c r="B1784" s="2">
        <v>156393.0</v>
      </c>
      <c r="C1784" s="2">
        <v>4831401.0</v>
      </c>
      <c r="D1784" s="2">
        <v>56.8057</v>
      </c>
    </row>
    <row r="1785">
      <c r="A1785" s="4">
        <v>45208.0</v>
      </c>
      <c r="B1785" s="2">
        <v>1128333.0</v>
      </c>
      <c r="C1785" s="2">
        <v>4830942.0</v>
      </c>
      <c r="D1785" s="2">
        <v>77.3102</v>
      </c>
    </row>
    <row r="1786">
      <c r="A1786" s="4">
        <v>45208.0</v>
      </c>
      <c r="B1786" s="2">
        <v>444303.0</v>
      </c>
      <c r="C1786" s="2">
        <v>4831453.0</v>
      </c>
      <c r="D1786" s="2">
        <v>60.0845</v>
      </c>
    </row>
    <row r="1787">
      <c r="A1787" s="4">
        <v>45208.0</v>
      </c>
      <c r="B1787" s="2">
        <v>1319343.0</v>
      </c>
      <c r="C1787" s="2">
        <v>4832463.0</v>
      </c>
      <c r="D1787" s="2">
        <v>40.5665</v>
      </c>
    </row>
    <row r="1788">
      <c r="A1788" s="4">
        <v>45208.0</v>
      </c>
      <c r="B1788" s="2">
        <v>1611873.0</v>
      </c>
      <c r="C1788" s="2">
        <v>4831744.0</v>
      </c>
      <c r="D1788" s="2">
        <v>62.0417</v>
      </c>
    </row>
    <row r="1789">
      <c r="A1789" s="4">
        <v>44953.0</v>
      </c>
      <c r="B1789" s="2">
        <v>1372023.0</v>
      </c>
      <c r="C1789" s="2">
        <v>4165666.0</v>
      </c>
      <c r="D1789" s="2">
        <v>49.8402</v>
      </c>
    </row>
    <row r="1790">
      <c r="A1790" s="4">
        <v>44953.0</v>
      </c>
      <c r="B1790" s="2">
        <v>1514433.0</v>
      </c>
      <c r="C1790" s="2">
        <v>4166789.0</v>
      </c>
      <c r="D1790" s="2">
        <v>3.0</v>
      </c>
    </row>
    <row r="1791">
      <c r="A1791" s="4">
        <v>44953.0</v>
      </c>
      <c r="B1791" s="2">
        <v>1514463.0</v>
      </c>
      <c r="C1791" s="2">
        <v>4166834.0</v>
      </c>
      <c r="D1791" s="2">
        <v>75.6527</v>
      </c>
    </row>
    <row r="1792">
      <c r="A1792" s="4">
        <v>44953.0</v>
      </c>
      <c r="B1792" s="2">
        <v>1271673.0</v>
      </c>
      <c r="C1792" s="2">
        <v>4167547.0</v>
      </c>
      <c r="D1792" s="2">
        <v>77.4555</v>
      </c>
    </row>
    <row r="1793">
      <c r="A1793" s="4">
        <v>44953.0</v>
      </c>
      <c r="B1793" s="2">
        <v>1514643.0</v>
      </c>
      <c r="C1793" s="2">
        <v>4167379.0</v>
      </c>
      <c r="D1793" s="2">
        <v>35.0584</v>
      </c>
    </row>
    <row r="1794">
      <c r="A1794" s="4">
        <v>45209.0</v>
      </c>
      <c r="B1794" s="2">
        <v>1684383.0</v>
      </c>
      <c r="C1794" s="2">
        <v>4836549.0</v>
      </c>
      <c r="D1794" s="2">
        <v>18.7135</v>
      </c>
    </row>
    <row r="1795">
      <c r="A1795" s="4">
        <v>45209.0</v>
      </c>
      <c r="B1795" s="2">
        <v>484533.0</v>
      </c>
      <c r="C1795" s="2">
        <v>4836091.0</v>
      </c>
      <c r="D1795" s="2">
        <v>11.0469</v>
      </c>
    </row>
    <row r="1796">
      <c r="A1796" s="4">
        <v>45209.0</v>
      </c>
      <c r="B1796" s="2">
        <v>1683723.0</v>
      </c>
      <c r="C1796" s="2">
        <v>4834444.0</v>
      </c>
      <c r="D1796" s="2">
        <v>49.9284</v>
      </c>
    </row>
    <row r="1797">
      <c r="A1797" s="4">
        <v>45209.0</v>
      </c>
      <c r="B1797" s="2">
        <v>1513473.0</v>
      </c>
      <c r="C1797" s="2">
        <v>4835439.0</v>
      </c>
      <c r="D1797" s="2">
        <v>79.7101</v>
      </c>
    </row>
    <row r="1798">
      <c r="A1798" s="4">
        <v>45209.0</v>
      </c>
      <c r="B1798" s="2">
        <v>1237893.0</v>
      </c>
      <c r="C1798" s="2">
        <v>4835321.0</v>
      </c>
      <c r="D1798" s="2">
        <v>86.4847999999999</v>
      </c>
    </row>
    <row r="1799">
      <c r="A1799" s="4">
        <v>44954.0</v>
      </c>
      <c r="B1799" s="2">
        <v>1515303.0</v>
      </c>
      <c r="C1799" s="2">
        <v>4169540.0</v>
      </c>
      <c r="D1799" s="2">
        <v>22.425</v>
      </c>
    </row>
    <row r="1800">
      <c r="A1800" s="4">
        <v>44954.0</v>
      </c>
      <c r="B1800" s="2">
        <v>1514883.0</v>
      </c>
      <c r="C1800" s="2">
        <v>4168185.0</v>
      </c>
      <c r="D1800" s="2">
        <v>36.784</v>
      </c>
    </row>
    <row r="1801">
      <c r="A1801" s="4">
        <v>44954.0</v>
      </c>
      <c r="B1801" s="2">
        <v>1478673.0</v>
      </c>
      <c r="C1801" s="2">
        <v>4169833.0</v>
      </c>
      <c r="D1801" s="2">
        <v>103.919699999999</v>
      </c>
    </row>
    <row r="1802">
      <c r="A1802" s="4">
        <v>45210.0</v>
      </c>
      <c r="B1802" s="2">
        <v>1433553.0</v>
      </c>
      <c r="C1802" s="2">
        <v>4837599.0</v>
      </c>
      <c r="D1802" s="2">
        <v>111.4675</v>
      </c>
    </row>
    <row r="1803">
      <c r="A1803" s="4">
        <v>45210.0</v>
      </c>
      <c r="B1803" s="2">
        <v>1207683.0</v>
      </c>
      <c r="C1803" s="2">
        <v>4838443.0</v>
      </c>
      <c r="D1803" s="2">
        <v>69.2426</v>
      </c>
    </row>
    <row r="1804">
      <c r="A1804" s="4">
        <v>45210.0</v>
      </c>
      <c r="B1804" s="2">
        <v>1282833.0</v>
      </c>
      <c r="C1804" s="2">
        <v>4837367.0</v>
      </c>
      <c r="D1804" s="2">
        <v>83.6987</v>
      </c>
    </row>
    <row r="1805">
      <c r="A1805" s="4">
        <v>45210.0</v>
      </c>
      <c r="B1805" s="2">
        <v>306303.0</v>
      </c>
      <c r="C1805" s="2">
        <v>4839533.0</v>
      </c>
      <c r="D1805" s="2">
        <v>65.9433</v>
      </c>
    </row>
    <row r="1806">
      <c r="A1806" s="4">
        <v>45210.0</v>
      </c>
      <c r="B1806" s="2">
        <v>1407333.0</v>
      </c>
      <c r="C1806" s="2">
        <v>4837052.0</v>
      </c>
      <c r="D1806" s="2">
        <v>97.2448</v>
      </c>
    </row>
    <row r="1807">
      <c r="A1807" s="4">
        <v>45210.0</v>
      </c>
      <c r="B1807" s="2">
        <v>1332093.0</v>
      </c>
      <c r="C1807" s="2">
        <v>4839171.0</v>
      </c>
      <c r="D1807" s="2">
        <v>44.9862</v>
      </c>
    </row>
    <row r="1808">
      <c r="A1808" s="4">
        <v>45210.0</v>
      </c>
      <c r="B1808" s="2">
        <v>1685133.0</v>
      </c>
      <c r="C1808" s="2">
        <v>4839488.0</v>
      </c>
      <c r="D1808" s="2">
        <v>62.3174</v>
      </c>
    </row>
    <row r="1809">
      <c r="A1809" s="4">
        <v>45210.0</v>
      </c>
      <c r="B1809" s="2">
        <v>1519983.0</v>
      </c>
      <c r="C1809" s="2">
        <v>4837134.0</v>
      </c>
      <c r="D1809" s="2">
        <v>67.1509</v>
      </c>
    </row>
    <row r="1810">
      <c r="A1810" s="4">
        <v>45210.0</v>
      </c>
      <c r="B1810" s="2">
        <v>1685163.0</v>
      </c>
      <c r="C1810" s="2">
        <v>4839542.0</v>
      </c>
      <c r="D1810" s="2">
        <v>12.6</v>
      </c>
    </row>
    <row r="1811">
      <c r="A1811" s="4">
        <v>45210.0</v>
      </c>
      <c r="B1811" s="2">
        <v>1207683.0</v>
      </c>
      <c r="C1811" s="2">
        <v>4838434.0</v>
      </c>
      <c r="D1811" s="2">
        <v>14.0833</v>
      </c>
    </row>
    <row r="1812">
      <c r="A1812" s="4">
        <v>44955.0</v>
      </c>
      <c r="B1812" s="2">
        <v>1515963.0</v>
      </c>
      <c r="C1812" s="2">
        <v>4172099.0</v>
      </c>
      <c r="D1812" s="2">
        <v>10.3981</v>
      </c>
    </row>
    <row r="1813">
      <c r="A1813" s="4">
        <v>44955.0</v>
      </c>
      <c r="B1813" s="2">
        <v>1426233.0</v>
      </c>
      <c r="C1813" s="2">
        <v>4172319.0</v>
      </c>
      <c r="D1813" s="2">
        <v>38.4916</v>
      </c>
    </row>
    <row r="1814">
      <c r="A1814" s="4">
        <v>44955.0</v>
      </c>
      <c r="B1814" s="2">
        <v>1516263.0</v>
      </c>
      <c r="C1814" s="2">
        <v>4173317.0</v>
      </c>
      <c r="D1814" s="2">
        <v>36.5729</v>
      </c>
    </row>
    <row r="1815">
      <c r="A1815" s="4">
        <v>44955.0</v>
      </c>
      <c r="B1815" s="2">
        <v>1350873.0</v>
      </c>
      <c r="C1815" s="2">
        <v>4173115.0</v>
      </c>
      <c r="D1815" s="2">
        <v>135.3328</v>
      </c>
    </row>
    <row r="1816">
      <c r="A1816" s="4">
        <v>44955.0</v>
      </c>
      <c r="B1816" s="2">
        <v>257913.0</v>
      </c>
      <c r="C1816" s="2">
        <v>4173349.0</v>
      </c>
      <c r="D1816" s="2">
        <v>167.7224</v>
      </c>
    </row>
    <row r="1817">
      <c r="A1817" s="4">
        <v>44955.0</v>
      </c>
      <c r="B1817" s="2">
        <v>1515603.0</v>
      </c>
      <c r="C1817" s="2">
        <v>4170695.0</v>
      </c>
      <c r="D1817" s="2">
        <v>32.475</v>
      </c>
    </row>
    <row r="1818">
      <c r="A1818" s="4">
        <v>44955.0</v>
      </c>
      <c r="B1818" s="2">
        <v>1125063.0</v>
      </c>
      <c r="C1818" s="2">
        <v>4171872.0</v>
      </c>
      <c r="D1818" s="2">
        <v>107.2067</v>
      </c>
    </row>
    <row r="1819">
      <c r="A1819" s="4">
        <v>44955.0</v>
      </c>
      <c r="B1819" s="2">
        <v>1096713.0</v>
      </c>
      <c r="C1819" s="2">
        <v>4172317.0</v>
      </c>
      <c r="D1819" s="2">
        <v>119.59</v>
      </c>
    </row>
    <row r="1820">
      <c r="A1820" s="4">
        <v>44955.0</v>
      </c>
      <c r="B1820" s="2">
        <v>1334313.0</v>
      </c>
      <c r="C1820" s="2">
        <v>4173382.0</v>
      </c>
      <c r="D1820" s="2">
        <v>50.7823</v>
      </c>
    </row>
    <row r="1821">
      <c r="A1821" s="4">
        <v>44955.0</v>
      </c>
      <c r="B1821" s="2">
        <v>1185843.0</v>
      </c>
      <c r="C1821" s="2">
        <v>4172278.0</v>
      </c>
      <c r="D1821" s="2">
        <v>75.7659999999999</v>
      </c>
    </row>
    <row r="1822">
      <c r="A1822" s="4">
        <v>44955.0</v>
      </c>
      <c r="B1822" s="2">
        <v>1210233.0</v>
      </c>
      <c r="C1822" s="2">
        <v>4171695.0</v>
      </c>
      <c r="D1822" s="2">
        <v>62.0201</v>
      </c>
    </row>
    <row r="1823">
      <c r="A1823" s="4">
        <v>44955.0</v>
      </c>
      <c r="B1823" s="2">
        <v>1516233.0</v>
      </c>
      <c r="C1823" s="2">
        <v>4173166.0</v>
      </c>
      <c r="D1823" s="2">
        <v>34.2254</v>
      </c>
    </row>
    <row r="1824">
      <c r="A1824" s="4">
        <v>44955.0</v>
      </c>
      <c r="B1824" s="2">
        <v>1272693.0</v>
      </c>
      <c r="C1824" s="2">
        <v>4170850.0</v>
      </c>
      <c r="D1824" s="2">
        <v>119.78</v>
      </c>
    </row>
    <row r="1825">
      <c r="A1825" s="4">
        <v>44955.0</v>
      </c>
      <c r="B1825" s="2">
        <v>1495923.0</v>
      </c>
      <c r="C1825" s="2">
        <v>4172318.0</v>
      </c>
      <c r="D1825" s="2">
        <v>34.3275</v>
      </c>
    </row>
    <row r="1826">
      <c r="A1826" s="4">
        <v>44955.0</v>
      </c>
      <c r="B1826" s="2">
        <v>1157373.0</v>
      </c>
      <c r="C1826" s="2">
        <v>4173430.0</v>
      </c>
      <c r="D1826" s="2">
        <v>64.2654</v>
      </c>
    </row>
    <row r="1827">
      <c r="A1827" s="4">
        <v>44955.0</v>
      </c>
      <c r="B1827" s="2">
        <v>306753.0</v>
      </c>
      <c r="C1827" s="2">
        <v>4172849.0</v>
      </c>
      <c r="D1827" s="2">
        <v>38.405</v>
      </c>
    </row>
    <row r="1828">
      <c r="A1828" s="4">
        <v>44955.0</v>
      </c>
      <c r="B1828" s="2">
        <v>1515993.0</v>
      </c>
      <c r="C1828" s="2">
        <v>4173418.0</v>
      </c>
      <c r="D1828" s="2">
        <v>111.5038</v>
      </c>
    </row>
    <row r="1829">
      <c r="A1829" s="4">
        <v>45211.0</v>
      </c>
      <c r="B1829" s="2">
        <v>1677813.0</v>
      </c>
      <c r="C1829" s="2">
        <v>4840360.0</v>
      </c>
      <c r="D1829" s="2">
        <v>11.4331</v>
      </c>
    </row>
    <row r="1830">
      <c r="A1830" s="4">
        <v>45211.0</v>
      </c>
      <c r="B1830" s="2">
        <v>1685493.0</v>
      </c>
      <c r="C1830" s="2">
        <v>4840700.0</v>
      </c>
      <c r="D1830" s="2">
        <v>32.3984</v>
      </c>
    </row>
    <row r="1831">
      <c r="A1831" s="4">
        <v>44956.0</v>
      </c>
      <c r="B1831" s="2">
        <v>1081713.0</v>
      </c>
      <c r="C1831" s="2">
        <v>4175501.0</v>
      </c>
      <c r="D1831" s="2">
        <v>67.2304</v>
      </c>
    </row>
    <row r="1832">
      <c r="A1832" s="4">
        <v>44956.0</v>
      </c>
      <c r="B1832" s="2">
        <v>1333413.0</v>
      </c>
      <c r="C1832" s="2">
        <v>4174145.0</v>
      </c>
      <c r="D1832" s="2">
        <v>83.3185</v>
      </c>
    </row>
    <row r="1833">
      <c r="A1833" s="4">
        <v>45212.0</v>
      </c>
      <c r="B1833" s="2">
        <v>1686003.0</v>
      </c>
      <c r="C1833" s="2">
        <v>4842435.0</v>
      </c>
      <c r="D1833" s="2">
        <v>43.3124</v>
      </c>
    </row>
    <row r="1834">
      <c r="A1834" s="4">
        <v>45212.0</v>
      </c>
      <c r="B1834" s="2">
        <v>1372173.0</v>
      </c>
      <c r="C1834" s="2">
        <v>4842174.0</v>
      </c>
      <c r="D1834" s="2">
        <v>47.8062</v>
      </c>
    </row>
    <row r="1835">
      <c r="A1835" s="4">
        <v>45212.0</v>
      </c>
      <c r="B1835" s="2">
        <v>1389093.0</v>
      </c>
      <c r="C1835" s="2">
        <v>4843353.0</v>
      </c>
      <c r="D1835" s="2">
        <v>15.0738</v>
      </c>
    </row>
    <row r="1836">
      <c r="A1836" s="4">
        <v>45212.0</v>
      </c>
      <c r="B1836" s="2">
        <v>1600803.0</v>
      </c>
      <c r="C1836" s="2">
        <v>4844156.0</v>
      </c>
      <c r="D1836" s="2">
        <v>18.4545</v>
      </c>
    </row>
    <row r="1837">
      <c r="A1837" s="4">
        <v>44957.0</v>
      </c>
      <c r="B1837" s="2">
        <v>1202073.0</v>
      </c>
      <c r="C1837" s="2">
        <v>4179510.0</v>
      </c>
      <c r="D1837" s="2">
        <v>69.9147</v>
      </c>
    </row>
    <row r="1838">
      <c r="A1838" s="4">
        <v>44957.0</v>
      </c>
      <c r="B1838" s="2">
        <v>1497273.0</v>
      </c>
      <c r="C1838" s="2">
        <v>4178058.0</v>
      </c>
      <c r="D1838" s="2">
        <v>44.46</v>
      </c>
    </row>
    <row r="1839">
      <c r="A1839" s="4">
        <v>44957.0</v>
      </c>
      <c r="B1839" s="2">
        <v>481893.0</v>
      </c>
      <c r="C1839" s="2">
        <v>4177078.0</v>
      </c>
      <c r="D1839" s="2">
        <v>60.3367</v>
      </c>
    </row>
    <row r="1840">
      <c r="A1840" s="4">
        <v>44957.0</v>
      </c>
      <c r="B1840" s="2">
        <v>1517613.0</v>
      </c>
      <c r="C1840" s="2">
        <v>4178539.0</v>
      </c>
      <c r="D1840" s="2">
        <v>90.4084</v>
      </c>
    </row>
    <row r="1841">
      <c r="A1841" s="4">
        <v>44957.0</v>
      </c>
      <c r="B1841" s="2">
        <v>1341843.0</v>
      </c>
      <c r="C1841" s="2">
        <v>4178381.0</v>
      </c>
      <c r="D1841" s="2">
        <v>77.1556</v>
      </c>
    </row>
    <row r="1842">
      <c r="A1842" s="4">
        <v>44957.0</v>
      </c>
      <c r="B1842" s="2">
        <v>89313.0</v>
      </c>
      <c r="C1842" s="2">
        <v>4178606.0</v>
      </c>
      <c r="D1842" s="2">
        <v>42.9862</v>
      </c>
    </row>
    <row r="1843">
      <c r="A1843" s="4">
        <v>44957.0</v>
      </c>
      <c r="B1843" s="2">
        <v>1517673.0</v>
      </c>
      <c r="C1843" s="2">
        <v>4178899.0</v>
      </c>
      <c r="D1843" s="2">
        <v>60.2455</v>
      </c>
    </row>
    <row r="1844">
      <c r="A1844" s="4">
        <v>44957.0</v>
      </c>
      <c r="B1844" s="2">
        <v>1439733.0</v>
      </c>
      <c r="C1844" s="2">
        <v>4179675.0</v>
      </c>
      <c r="D1844" s="2">
        <v>67.6024</v>
      </c>
    </row>
    <row r="1845">
      <c r="A1845" s="4">
        <v>44957.0</v>
      </c>
      <c r="B1845" s="2">
        <v>1327233.0</v>
      </c>
      <c r="C1845" s="2">
        <v>4177289.0</v>
      </c>
      <c r="D1845" s="2">
        <v>41.962</v>
      </c>
    </row>
    <row r="1846">
      <c r="A1846" s="4">
        <v>45213.0</v>
      </c>
      <c r="B1846" s="2">
        <v>358443.0</v>
      </c>
      <c r="C1846" s="2">
        <v>4847473.0</v>
      </c>
      <c r="D1846" s="2">
        <v>140.5464</v>
      </c>
    </row>
    <row r="1847">
      <c r="A1847" s="4">
        <v>45213.0</v>
      </c>
      <c r="B1847" s="2">
        <v>1633593.0</v>
      </c>
      <c r="C1847" s="2">
        <v>4844290.0</v>
      </c>
      <c r="D1847" s="2">
        <v>30.1679</v>
      </c>
    </row>
    <row r="1848">
      <c r="A1848" s="4">
        <v>45213.0</v>
      </c>
      <c r="B1848" s="2">
        <v>1165353.0</v>
      </c>
      <c r="C1848" s="2">
        <v>4846716.0</v>
      </c>
      <c r="D1848" s="2">
        <v>106.056</v>
      </c>
    </row>
    <row r="1849">
      <c r="A1849" s="4">
        <v>45213.0</v>
      </c>
      <c r="B1849" s="2">
        <v>91623.0</v>
      </c>
      <c r="C1849" s="2">
        <v>4844439.0</v>
      </c>
      <c r="D1849" s="2">
        <v>38.2583</v>
      </c>
    </row>
    <row r="1850">
      <c r="A1850" s="4">
        <v>45213.0</v>
      </c>
      <c r="B1850" s="2">
        <v>1684983.0</v>
      </c>
      <c r="C1850" s="2">
        <v>4845713.0</v>
      </c>
      <c r="D1850" s="2">
        <v>42.6035</v>
      </c>
    </row>
    <row r="1851">
      <c r="A1851" s="4">
        <v>45213.0</v>
      </c>
      <c r="B1851" s="2">
        <v>1686393.0</v>
      </c>
      <c r="C1851" s="2">
        <v>4845313.0</v>
      </c>
      <c r="D1851" s="2">
        <v>23.7213</v>
      </c>
    </row>
    <row r="1852">
      <c r="A1852" s="4">
        <v>45213.0</v>
      </c>
      <c r="B1852" s="2">
        <v>1620813.0</v>
      </c>
      <c r="C1852" s="2">
        <v>4846279.0</v>
      </c>
      <c r="D1852" s="2">
        <v>38.2891</v>
      </c>
    </row>
    <row r="1853">
      <c r="A1853" s="4">
        <v>45213.0</v>
      </c>
      <c r="B1853" s="2">
        <v>1478673.0</v>
      </c>
      <c r="C1853" s="2">
        <v>4847389.0</v>
      </c>
      <c r="D1853" s="2">
        <v>70.125</v>
      </c>
    </row>
    <row r="1854">
      <c r="A1854" s="4">
        <v>44958.0</v>
      </c>
      <c r="B1854" s="2">
        <v>426423.0</v>
      </c>
      <c r="C1854" s="2">
        <v>4181331.0</v>
      </c>
      <c r="D1854" s="2">
        <v>69.9595</v>
      </c>
    </row>
    <row r="1855">
      <c r="A1855" s="4">
        <v>44958.0</v>
      </c>
      <c r="B1855" s="2">
        <v>1223523.0</v>
      </c>
      <c r="C1855" s="2">
        <v>4180950.0</v>
      </c>
      <c r="D1855" s="2">
        <v>218.833299999999</v>
      </c>
    </row>
    <row r="1856">
      <c r="A1856" s="4">
        <v>44958.0</v>
      </c>
      <c r="B1856" s="2">
        <v>1518483.0</v>
      </c>
      <c r="C1856" s="2">
        <v>4181899.0</v>
      </c>
      <c r="D1856" s="2">
        <v>72.4516</v>
      </c>
    </row>
    <row r="1857">
      <c r="A1857" s="4">
        <v>44958.0</v>
      </c>
      <c r="B1857" s="2">
        <v>1489683.0</v>
      </c>
      <c r="C1857" s="2">
        <v>4182690.0</v>
      </c>
      <c r="D1857" s="2">
        <v>88.874</v>
      </c>
    </row>
    <row r="1858">
      <c r="A1858" s="4">
        <v>44958.0</v>
      </c>
      <c r="B1858" s="2">
        <v>1492143.0</v>
      </c>
      <c r="C1858" s="2">
        <v>4182377.0</v>
      </c>
      <c r="D1858" s="2">
        <v>157.173099999999</v>
      </c>
    </row>
    <row r="1859">
      <c r="A1859" s="4">
        <v>44958.0</v>
      </c>
      <c r="B1859" s="2">
        <v>1518603.0</v>
      </c>
      <c r="C1859" s="2">
        <v>4182380.0</v>
      </c>
      <c r="D1859" s="2">
        <v>41.65</v>
      </c>
    </row>
    <row r="1860">
      <c r="A1860" s="4">
        <v>44958.0</v>
      </c>
      <c r="B1860" s="2">
        <v>1038093.0</v>
      </c>
      <c r="C1860" s="2">
        <v>4181977.0</v>
      </c>
      <c r="D1860" s="2">
        <v>48.196</v>
      </c>
    </row>
    <row r="1861">
      <c r="A1861" s="4">
        <v>44958.0</v>
      </c>
      <c r="B1861" s="2">
        <v>1329663.0</v>
      </c>
      <c r="C1861" s="2">
        <v>4180839.0</v>
      </c>
      <c r="D1861" s="2">
        <v>61.7684</v>
      </c>
    </row>
    <row r="1862">
      <c r="A1862" s="4">
        <v>44958.0</v>
      </c>
      <c r="B1862" s="2">
        <v>1518033.0</v>
      </c>
      <c r="C1862" s="2">
        <v>4180238.0</v>
      </c>
      <c r="D1862" s="2">
        <v>13.2666</v>
      </c>
    </row>
    <row r="1863">
      <c r="A1863" s="4">
        <v>44958.0</v>
      </c>
      <c r="B1863" s="2">
        <v>1292943.0</v>
      </c>
      <c r="C1863" s="2">
        <v>4182527.0</v>
      </c>
      <c r="D1863" s="2">
        <v>78.3442</v>
      </c>
    </row>
    <row r="1864">
      <c r="A1864" s="4">
        <v>44958.0</v>
      </c>
      <c r="B1864" s="2">
        <v>210783.0</v>
      </c>
      <c r="C1864" s="2">
        <v>4181261.0</v>
      </c>
      <c r="D1864" s="2">
        <v>14.7583</v>
      </c>
    </row>
    <row r="1865">
      <c r="A1865" s="4">
        <v>44958.0</v>
      </c>
      <c r="B1865" s="2">
        <v>1518723.0</v>
      </c>
      <c r="C1865" s="2">
        <v>4182873.0</v>
      </c>
      <c r="D1865" s="2">
        <v>56.3275</v>
      </c>
    </row>
    <row r="1866">
      <c r="A1866" s="4">
        <v>45214.0</v>
      </c>
      <c r="B1866" s="2">
        <v>1547133.0</v>
      </c>
      <c r="C1866" s="2">
        <v>4850766.0</v>
      </c>
      <c r="D1866" s="2">
        <v>88.2593</v>
      </c>
    </row>
    <row r="1867">
      <c r="A1867" s="4">
        <v>45214.0</v>
      </c>
      <c r="B1867" s="2">
        <v>1687713.0</v>
      </c>
      <c r="C1867" s="2">
        <v>4848979.0</v>
      </c>
      <c r="D1867" s="2">
        <v>21.1209</v>
      </c>
    </row>
    <row r="1868">
      <c r="A1868" s="4">
        <v>45214.0</v>
      </c>
      <c r="B1868" s="2">
        <v>1010553.0</v>
      </c>
      <c r="C1868" s="2">
        <v>4849655.0</v>
      </c>
      <c r="D1868" s="2">
        <v>72.8552</v>
      </c>
    </row>
    <row r="1869">
      <c r="A1869" s="4">
        <v>45214.0</v>
      </c>
      <c r="B1869" s="2">
        <v>1077423.0</v>
      </c>
      <c r="C1869" s="2">
        <v>4850056.0</v>
      </c>
      <c r="D1869" s="2">
        <v>150.5793</v>
      </c>
    </row>
    <row r="1870">
      <c r="A1870" s="4">
        <v>44959.0</v>
      </c>
      <c r="B1870" s="2">
        <v>1510953.0</v>
      </c>
      <c r="C1870" s="2">
        <v>4184985.0</v>
      </c>
      <c r="D1870" s="2">
        <v>69.1341</v>
      </c>
    </row>
    <row r="1871">
      <c r="A1871" s="4">
        <v>44959.0</v>
      </c>
      <c r="B1871" s="2">
        <v>1518903.0</v>
      </c>
      <c r="C1871" s="2">
        <v>4183570.0</v>
      </c>
      <c r="D1871" s="2">
        <v>27.575</v>
      </c>
    </row>
    <row r="1872">
      <c r="A1872" s="4">
        <v>44959.0</v>
      </c>
      <c r="B1872" s="2">
        <v>1334643.0</v>
      </c>
      <c r="C1872" s="2">
        <v>4184554.0</v>
      </c>
      <c r="D1872" s="2">
        <v>84.9138</v>
      </c>
    </row>
    <row r="1873">
      <c r="A1873" s="4">
        <v>44959.0</v>
      </c>
      <c r="B1873" s="2">
        <v>1284513.0</v>
      </c>
      <c r="C1873" s="2">
        <v>4183781.0</v>
      </c>
      <c r="D1873" s="2">
        <v>195.8536</v>
      </c>
    </row>
    <row r="1874">
      <c r="A1874" s="4">
        <v>44959.0</v>
      </c>
      <c r="B1874" s="2">
        <v>1519083.0</v>
      </c>
      <c r="C1874" s="2">
        <v>4184288.0</v>
      </c>
      <c r="D1874" s="2">
        <v>114.5267</v>
      </c>
    </row>
    <row r="1875">
      <c r="A1875" s="4">
        <v>45215.0</v>
      </c>
      <c r="B1875" s="2">
        <v>1543983.0</v>
      </c>
      <c r="C1875" s="2">
        <v>4851795.0</v>
      </c>
      <c r="D1875" s="2">
        <v>32.587</v>
      </c>
    </row>
    <row r="1876">
      <c r="A1876" s="4">
        <v>45215.0</v>
      </c>
      <c r="B1876" s="2">
        <v>1689003.0</v>
      </c>
      <c r="C1876" s="2">
        <v>4854100.0</v>
      </c>
      <c r="D1876" s="2">
        <v>72.9169</v>
      </c>
    </row>
    <row r="1877">
      <c r="A1877" s="4">
        <v>45215.0</v>
      </c>
      <c r="B1877" s="2">
        <v>1688973.0</v>
      </c>
      <c r="C1877" s="2">
        <v>4853986.0</v>
      </c>
      <c r="D1877" s="2">
        <v>136.6325</v>
      </c>
    </row>
    <row r="1878">
      <c r="A1878" s="4">
        <v>44960.0</v>
      </c>
      <c r="B1878" s="2">
        <v>1519503.0</v>
      </c>
      <c r="C1878" s="2">
        <v>4185651.0</v>
      </c>
      <c r="D1878" s="2">
        <v>39.2285</v>
      </c>
    </row>
    <row r="1879">
      <c r="A1879" s="4">
        <v>44960.0</v>
      </c>
      <c r="B1879" s="2">
        <v>1519713.0</v>
      </c>
      <c r="C1879" s="2">
        <v>4186277.0</v>
      </c>
      <c r="D1879" s="2">
        <v>49.775</v>
      </c>
    </row>
    <row r="1880">
      <c r="A1880" s="4">
        <v>44960.0</v>
      </c>
      <c r="B1880" s="2">
        <v>1351143.0</v>
      </c>
      <c r="C1880" s="2">
        <v>4185786.0</v>
      </c>
      <c r="D1880" s="2">
        <v>47.8368999999999</v>
      </c>
    </row>
    <row r="1881">
      <c r="A1881" s="4">
        <v>45216.0</v>
      </c>
      <c r="B1881" s="2">
        <v>1687653.0</v>
      </c>
      <c r="C1881" s="2">
        <v>4856839.0</v>
      </c>
      <c r="D1881" s="2">
        <v>97.4006</v>
      </c>
    </row>
    <row r="1882">
      <c r="A1882" s="4">
        <v>45216.0</v>
      </c>
      <c r="B1882" s="2">
        <v>1286103.0</v>
      </c>
      <c r="C1882" s="2">
        <v>4854469.0</v>
      </c>
      <c r="D1882" s="2">
        <v>130.5412</v>
      </c>
    </row>
    <row r="1883">
      <c r="A1883" s="4">
        <v>45216.0</v>
      </c>
      <c r="B1883" s="2">
        <v>1442013.0</v>
      </c>
      <c r="C1883" s="2">
        <v>4856770.0</v>
      </c>
      <c r="D1883" s="2">
        <v>95.2423</v>
      </c>
    </row>
    <row r="1884">
      <c r="A1884" s="4">
        <v>45216.0</v>
      </c>
      <c r="B1884" s="2">
        <v>1544253.0</v>
      </c>
      <c r="C1884" s="2">
        <v>4857051.0</v>
      </c>
      <c r="D1884" s="2">
        <v>55.0552</v>
      </c>
    </row>
    <row r="1885">
      <c r="A1885" s="4">
        <v>45216.0</v>
      </c>
      <c r="B1885" s="2">
        <v>1689333.0</v>
      </c>
      <c r="C1885" s="2">
        <v>4855272.0</v>
      </c>
      <c r="D1885" s="2">
        <v>21.2417</v>
      </c>
    </row>
    <row r="1886">
      <c r="A1886" s="4">
        <v>44961.0</v>
      </c>
      <c r="B1886" s="2">
        <v>1520613.0</v>
      </c>
      <c r="C1886" s="2">
        <v>4189664.0</v>
      </c>
      <c r="D1886" s="2">
        <v>86.4753</v>
      </c>
    </row>
    <row r="1887">
      <c r="A1887" s="4">
        <v>44961.0</v>
      </c>
      <c r="B1887" s="2">
        <v>1046973.0</v>
      </c>
      <c r="C1887" s="2">
        <v>4191446.0</v>
      </c>
      <c r="D1887" s="2">
        <v>8.1314</v>
      </c>
    </row>
    <row r="1888">
      <c r="A1888" s="4">
        <v>44961.0</v>
      </c>
      <c r="B1888" s="2">
        <v>1437663.0</v>
      </c>
      <c r="C1888" s="2">
        <v>4189190.0</v>
      </c>
      <c r="D1888" s="2">
        <v>137.4325</v>
      </c>
    </row>
    <row r="1889">
      <c r="A1889" s="4">
        <v>44961.0</v>
      </c>
      <c r="B1889" s="2">
        <v>1520733.0</v>
      </c>
      <c r="C1889" s="2">
        <v>4190002.0</v>
      </c>
      <c r="D1889" s="2">
        <v>22.9167</v>
      </c>
    </row>
    <row r="1890">
      <c r="A1890" s="4">
        <v>44961.0</v>
      </c>
      <c r="B1890" s="2">
        <v>1505163.0</v>
      </c>
      <c r="C1890" s="2">
        <v>4189904.0</v>
      </c>
      <c r="D1890" s="2">
        <v>56.0135</v>
      </c>
    </row>
    <row r="1891">
      <c r="A1891" s="4">
        <v>45217.0</v>
      </c>
      <c r="B1891" s="2">
        <v>1673853.0</v>
      </c>
      <c r="C1891" s="2">
        <v>4857757.0</v>
      </c>
      <c r="D1891" s="2">
        <v>119.9746</v>
      </c>
    </row>
    <row r="1892">
      <c r="A1892" s="4">
        <v>44962.0</v>
      </c>
      <c r="B1892" s="2">
        <v>1521753.0</v>
      </c>
      <c r="C1892" s="2">
        <v>4194896.0</v>
      </c>
      <c r="D1892" s="2">
        <v>69.5</v>
      </c>
    </row>
    <row r="1893">
      <c r="A1893" s="4">
        <v>44962.0</v>
      </c>
      <c r="B1893" s="2">
        <v>1397703.0</v>
      </c>
      <c r="C1893" s="2">
        <v>4194280.0</v>
      </c>
      <c r="D1893" s="2">
        <v>50.5167</v>
      </c>
    </row>
    <row r="1894">
      <c r="A1894" s="4">
        <v>44962.0</v>
      </c>
      <c r="B1894" s="2">
        <v>1521963.0</v>
      </c>
      <c r="C1894" s="2">
        <v>4194903.0</v>
      </c>
      <c r="D1894" s="2">
        <v>9.9526</v>
      </c>
    </row>
    <row r="1895">
      <c r="A1895" s="4">
        <v>44962.0</v>
      </c>
      <c r="B1895" s="2">
        <v>1275813.0</v>
      </c>
      <c r="C1895" s="2">
        <v>4192247.0</v>
      </c>
      <c r="D1895" s="2">
        <v>103.786799999999</v>
      </c>
    </row>
    <row r="1896">
      <c r="A1896" s="4">
        <v>44962.0</v>
      </c>
      <c r="B1896" s="2">
        <v>1521693.0</v>
      </c>
      <c r="C1896" s="2">
        <v>4193849.0</v>
      </c>
      <c r="D1896" s="2">
        <v>18.8698</v>
      </c>
    </row>
    <row r="1897">
      <c r="A1897" s="4">
        <v>44962.0</v>
      </c>
      <c r="B1897" s="2">
        <v>1521093.0</v>
      </c>
      <c r="C1897" s="2">
        <v>4191638.0</v>
      </c>
      <c r="D1897" s="2">
        <v>92.5</v>
      </c>
    </row>
    <row r="1898">
      <c r="A1898" s="4">
        <v>45218.0</v>
      </c>
      <c r="B1898" s="2">
        <v>1690593.0</v>
      </c>
      <c r="C1898" s="2">
        <v>4859758.0</v>
      </c>
      <c r="D1898" s="2">
        <v>13.7989</v>
      </c>
    </row>
    <row r="1899">
      <c r="A1899" s="4">
        <v>45218.0</v>
      </c>
      <c r="B1899" s="2">
        <v>1690803.0</v>
      </c>
      <c r="C1899" s="2">
        <v>4860537.0</v>
      </c>
      <c r="D1899" s="2">
        <v>21.9583</v>
      </c>
    </row>
    <row r="1900">
      <c r="A1900" s="4">
        <v>45218.0</v>
      </c>
      <c r="B1900" s="2">
        <v>1691013.0</v>
      </c>
      <c r="C1900" s="2">
        <v>4861293.0</v>
      </c>
      <c r="D1900" s="2">
        <v>26.7732</v>
      </c>
    </row>
    <row r="1901">
      <c r="A1901" s="4">
        <v>45218.0</v>
      </c>
      <c r="B1901" s="2">
        <v>1691103.0</v>
      </c>
      <c r="C1901" s="2">
        <v>4861674.0</v>
      </c>
      <c r="D1901" s="2">
        <v>28.082</v>
      </c>
    </row>
    <row r="1902">
      <c r="A1902" s="4">
        <v>45218.0</v>
      </c>
      <c r="B1902" s="2">
        <v>1139103.0</v>
      </c>
      <c r="C1902" s="2">
        <v>4860015.0</v>
      </c>
      <c r="D1902" s="2">
        <v>70.5579</v>
      </c>
    </row>
    <row r="1903">
      <c r="A1903" s="4">
        <v>44963.0</v>
      </c>
      <c r="B1903" s="2">
        <v>278733.0</v>
      </c>
      <c r="C1903" s="2">
        <v>4195909.0</v>
      </c>
      <c r="D1903" s="2">
        <v>71.5166</v>
      </c>
    </row>
    <row r="1904">
      <c r="A1904" s="4">
        <v>44963.0</v>
      </c>
      <c r="B1904" s="2">
        <v>1234593.0</v>
      </c>
      <c r="C1904" s="2">
        <v>4195585.0</v>
      </c>
      <c r="D1904" s="2">
        <v>68.9931</v>
      </c>
    </row>
    <row r="1905">
      <c r="A1905" s="4">
        <v>44963.0</v>
      </c>
      <c r="B1905" s="2">
        <v>1381413.0</v>
      </c>
      <c r="C1905" s="2">
        <v>4195721.0</v>
      </c>
      <c r="D1905" s="2">
        <v>71.8805</v>
      </c>
    </row>
    <row r="1906">
      <c r="A1906" s="4">
        <v>44963.0</v>
      </c>
      <c r="B1906" s="2">
        <v>1382673.0</v>
      </c>
      <c r="C1906" s="2">
        <v>4196787.0</v>
      </c>
      <c r="D1906" s="2">
        <v>36.679</v>
      </c>
    </row>
    <row r="1907">
      <c r="A1907" s="4">
        <v>44963.0</v>
      </c>
      <c r="B1907" s="2">
        <v>1319343.0</v>
      </c>
      <c r="C1907" s="2">
        <v>4196160.0</v>
      </c>
      <c r="D1907" s="2">
        <v>46.9120999999999</v>
      </c>
    </row>
    <row r="1908">
      <c r="A1908" s="4">
        <v>44963.0</v>
      </c>
      <c r="B1908" s="2">
        <v>485253.0</v>
      </c>
      <c r="C1908" s="2">
        <v>4197765.0</v>
      </c>
      <c r="D1908" s="2">
        <v>92.2557</v>
      </c>
    </row>
    <row r="1909">
      <c r="A1909" s="4">
        <v>45219.0</v>
      </c>
      <c r="B1909" s="2">
        <v>1223673.0</v>
      </c>
      <c r="C1909" s="2">
        <v>4864041.0</v>
      </c>
      <c r="D1909" s="2">
        <v>132.5757</v>
      </c>
    </row>
    <row r="1910">
      <c r="A1910" s="4">
        <v>45219.0</v>
      </c>
      <c r="B1910" s="2">
        <v>1691163.0</v>
      </c>
      <c r="C1910" s="2">
        <v>4861901.0</v>
      </c>
      <c r="D1910" s="2">
        <v>62.4167</v>
      </c>
    </row>
    <row r="1911">
      <c r="A1911" s="4">
        <v>45219.0</v>
      </c>
      <c r="B1911" s="2">
        <v>1691823.0</v>
      </c>
      <c r="C1911" s="2">
        <v>4864121.0</v>
      </c>
      <c r="D1911" s="2">
        <v>9.0256</v>
      </c>
    </row>
    <row r="1912">
      <c r="A1912" s="4">
        <v>45219.0</v>
      </c>
      <c r="B1912" s="2">
        <v>1341843.0</v>
      </c>
      <c r="C1912" s="2">
        <v>4863243.0</v>
      </c>
      <c r="D1912" s="2">
        <v>133.2374</v>
      </c>
    </row>
    <row r="1913">
      <c r="A1913" s="4">
        <v>45219.0</v>
      </c>
      <c r="B1913" s="2">
        <v>1254663.0</v>
      </c>
      <c r="C1913" s="2">
        <v>4863541.0</v>
      </c>
      <c r="D1913" s="2">
        <v>60.7481</v>
      </c>
    </row>
    <row r="1914">
      <c r="A1914" s="4">
        <v>45219.0</v>
      </c>
      <c r="B1914" s="2">
        <v>1299153.0</v>
      </c>
      <c r="C1914" s="2">
        <v>4863565.0</v>
      </c>
      <c r="D1914" s="2">
        <v>98.2768</v>
      </c>
    </row>
    <row r="1915">
      <c r="A1915" s="4">
        <v>45219.0</v>
      </c>
      <c r="B1915" s="2">
        <v>1209573.0</v>
      </c>
      <c r="C1915" s="2">
        <v>4862379.0</v>
      </c>
      <c r="D1915" s="2">
        <v>22.7948</v>
      </c>
    </row>
    <row r="1916">
      <c r="A1916" s="4">
        <v>44964.0</v>
      </c>
      <c r="B1916" s="2">
        <v>1384563.0</v>
      </c>
      <c r="C1916" s="2">
        <v>4198653.0</v>
      </c>
      <c r="D1916" s="2">
        <v>82.5625</v>
      </c>
    </row>
    <row r="1917">
      <c r="A1917" s="4">
        <v>44964.0</v>
      </c>
      <c r="B1917" s="2">
        <v>1184643.0</v>
      </c>
      <c r="C1917" s="2">
        <v>4200329.0</v>
      </c>
      <c r="D1917" s="2">
        <v>455.2836</v>
      </c>
    </row>
    <row r="1918">
      <c r="A1918" s="4">
        <v>44964.0</v>
      </c>
      <c r="B1918" s="2">
        <v>1138083.0</v>
      </c>
      <c r="C1918" s="2">
        <v>4200367.0</v>
      </c>
      <c r="D1918" s="2">
        <v>143.7558</v>
      </c>
    </row>
    <row r="1919">
      <c r="A1919" s="4">
        <v>44964.0</v>
      </c>
      <c r="B1919" s="2">
        <v>1522173.0</v>
      </c>
      <c r="C1919" s="2">
        <v>4199559.0</v>
      </c>
      <c r="D1919" s="2">
        <v>60.585</v>
      </c>
    </row>
    <row r="1920">
      <c r="A1920" s="4">
        <v>44964.0</v>
      </c>
      <c r="B1920" s="2">
        <v>1256073.0</v>
      </c>
      <c r="C1920" s="2">
        <v>4198788.0</v>
      </c>
      <c r="D1920" s="2">
        <v>72.2021</v>
      </c>
    </row>
    <row r="1921">
      <c r="A1921" s="4">
        <v>44964.0</v>
      </c>
      <c r="B1921" s="2">
        <v>1220583.0</v>
      </c>
      <c r="C1921" s="2">
        <v>4200229.0</v>
      </c>
      <c r="D1921" s="2">
        <v>67.0127</v>
      </c>
    </row>
    <row r="1922">
      <c r="A1922" s="4">
        <v>44964.0</v>
      </c>
      <c r="B1922" s="2">
        <v>1478673.0</v>
      </c>
      <c r="C1922" s="2">
        <v>4200371.0</v>
      </c>
      <c r="D1922" s="2">
        <v>41.0203</v>
      </c>
    </row>
    <row r="1923">
      <c r="A1923" s="4">
        <v>45220.0</v>
      </c>
      <c r="B1923" s="2">
        <v>1692243.0</v>
      </c>
      <c r="C1923" s="2">
        <v>4865659.0</v>
      </c>
      <c r="D1923" s="2">
        <v>61.9559</v>
      </c>
    </row>
    <row r="1924">
      <c r="A1924" s="4">
        <v>45220.0</v>
      </c>
      <c r="B1924" s="2">
        <v>1594203.0</v>
      </c>
      <c r="C1924" s="2">
        <v>4864264.0</v>
      </c>
      <c r="D1924" s="2">
        <v>145.221799999999</v>
      </c>
    </row>
    <row r="1925">
      <c r="A1925" s="4">
        <v>45220.0</v>
      </c>
      <c r="B1925" s="2">
        <v>1063383.0</v>
      </c>
      <c r="C1925" s="2">
        <v>4867309.0</v>
      </c>
      <c r="D1925" s="2">
        <v>43.6881999999999</v>
      </c>
    </row>
    <row r="1926">
      <c r="A1926" s="4">
        <v>45220.0</v>
      </c>
      <c r="B1926" s="2">
        <v>1692033.0</v>
      </c>
      <c r="C1926" s="2">
        <v>4864828.0</v>
      </c>
      <c r="D1926" s="2">
        <v>84.2208</v>
      </c>
    </row>
    <row r="1927">
      <c r="A1927" s="4">
        <v>45220.0</v>
      </c>
      <c r="B1927" s="2">
        <v>1692153.0</v>
      </c>
      <c r="C1927" s="2">
        <v>4865263.0</v>
      </c>
      <c r="D1927" s="2">
        <v>41.0695</v>
      </c>
    </row>
    <row r="1928">
      <c r="A1928" s="4">
        <v>45220.0</v>
      </c>
      <c r="B1928" s="2">
        <v>1645953.0</v>
      </c>
      <c r="C1928" s="2">
        <v>4865537.0</v>
      </c>
      <c r="D1928" s="2">
        <v>121.8139</v>
      </c>
    </row>
    <row r="1929">
      <c r="A1929" s="4">
        <v>45220.0</v>
      </c>
      <c r="B1929" s="2">
        <v>1435293.0</v>
      </c>
      <c r="C1929" s="2">
        <v>4867171.0</v>
      </c>
      <c r="D1929" s="2">
        <v>73.9191</v>
      </c>
    </row>
    <row r="1930">
      <c r="A1930" s="4">
        <v>45220.0</v>
      </c>
      <c r="B1930" s="2">
        <v>1692093.0</v>
      </c>
      <c r="C1930" s="2">
        <v>4865068.0</v>
      </c>
      <c r="D1930" s="2">
        <v>65.582</v>
      </c>
    </row>
    <row r="1931">
      <c r="A1931" s="4">
        <v>44965.0</v>
      </c>
      <c r="B1931" s="2">
        <v>1457763.0</v>
      </c>
      <c r="C1931" s="2">
        <v>4203126.0</v>
      </c>
      <c r="D1931" s="2">
        <v>115.625</v>
      </c>
    </row>
    <row r="1932">
      <c r="A1932" s="4">
        <v>44965.0</v>
      </c>
      <c r="B1932" s="2">
        <v>1030023.0</v>
      </c>
      <c r="C1932" s="2">
        <v>4202139.0</v>
      </c>
      <c r="D1932" s="2">
        <v>89.8822</v>
      </c>
    </row>
    <row r="1933">
      <c r="A1933" s="4">
        <v>44965.0</v>
      </c>
      <c r="B1933" s="2">
        <v>1523943.0</v>
      </c>
      <c r="C1933" s="2">
        <v>4202533.0</v>
      </c>
      <c r="D1933" s="2">
        <v>22.1059</v>
      </c>
    </row>
    <row r="1934">
      <c r="A1934" s="4">
        <v>44965.0</v>
      </c>
      <c r="B1934" s="2">
        <v>358443.0</v>
      </c>
      <c r="C1934" s="2">
        <v>4202982.0</v>
      </c>
      <c r="D1934" s="2">
        <v>103.2188</v>
      </c>
    </row>
    <row r="1935">
      <c r="A1935" s="4">
        <v>44965.0</v>
      </c>
      <c r="B1935" s="2">
        <v>1458843.0</v>
      </c>
      <c r="C1935" s="2">
        <v>4201867.0</v>
      </c>
      <c r="D1935" s="2">
        <v>13.0</v>
      </c>
    </row>
    <row r="1936">
      <c r="A1936" s="4">
        <v>45221.0</v>
      </c>
      <c r="B1936" s="2">
        <v>1693023.0</v>
      </c>
      <c r="C1936" s="2">
        <v>4869049.0</v>
      </c>
      <c r="D1936" s="2">
        <v>69.0728</v>
      </c>
    </row>
    <row r="1937">
      <c r="A1937" s="4">
        <v>45221.0</v>
      </c>
      <c r="B1937" s="2">
        <v>1690563.0</v>
      </c>
      <c r="C1937" s="2">
        <v>4869919.0</v>
      </c>
      <c r="D1937" s="2">
        <v>11.175</v>
      </c>
    </row>
    <row r="1938">
      <c r="A1938" s="4">
        <v>45221.0</v>
      </c>
      <c r="B1938" s="2">
        <v>1693233.0</v>
      </c>
      <c r="C1938" s="2">
        <v>4869805.0</v>
      </c>
      <c r="D1938" s="2">
        <v>35.5352</v>
      </c>
    </row>
    <row r="1939">
      <c r="A1939" s="4">
        <v>45221.0</v>
      </c>
      <c r="B1939" s="2">
        <v>1635813.0</v>
      </c>
      <c r="C1939" s="2">
        <v>4869130.0</v>
      </c>
      <c r="D1939" s="2">
        <v>89.9658</v>
      </c>
    </row>
    <row r="1940">
      <c r="A1940" s="4">
        <v>45221.0</v>
      </c>
      <c r="B1940" s="2">
        <v>1457763.0</v>
      </c>
      <c r="C1940" s="2">
        <v>4868242.0</v>
      </c>
      <c r="D1940" s="2">
        <v>83.625</v>
      </c>
    </row>
    <row r="1941">
      <c r="A1941" s="4">
        <v>45221.0</v>
      </c>
      <c r="B1941" s="2">
        <v>1588233.0</v>
      </c>
      <c r="C1941" s="2">
        <v>4869903.0</v>
      </c>
      <c r="D1941" s="2">
        <v>100.9622</v>
      </c>
    </row>
    <row r="1942">
      <c r="A1942" s="4">
        <v>45221.0</v>
      </c>
      <c r="B1942" s="2">
        <v>217743.0</v>
      </c>
      <c r="C1942" s="2">
        <v>4868444.0</v>
      </c>
      <c r="D1942" s="2">
        <v>80.1831</v>
      </c>
    </row>
    <row r="1943">
      <c r="A1943" s="4">
        <v>45221.0</v>
      </c>
      <c r="B1943" s="2">
        <v>306303.0</v>
      </c>
      <c r="C1943" s="2">
        <v>4870326.0</v>
      </c>
      <c r="D1943" s="2">
        <v>82.324</v>
      </c>
    </row>
    <row r="1944">
      <c r="A1944" s="4">
        <v>45221.0</v>
      </c>
      <c r="B1944" s="2">
        <v>414963.0</v>
      </c>
      <c r="C1944" s="2">
        <v>4867993.0</v>
      </c>
      <c r="D1944" s="2">
        <v>80.5424</v>
      </c>
    </row>
    <row r="1945">
      <c r="A1945" s="4">
        <v>45221.0</v>
      </c>
      <c r="B1945" s="2">
        <v>1030023.0</v>
      </c>
      <c r="C1945" s="2">
        <v>4869995.0</v>
      </c>
      <c r="D1945" s="2">
        <v>114.3666</v>
      </c>
    </row>
    <row r="1946">
      <c r="A1946" s="4">
        <v>45221.0</v>
      </c>
      <c r="B1946" s="2">
        <v>1058073.0</v>
      </c>
      <c r="C1946" s="2">
        <v>4869041.0</v>
      </c>
      <c r="D1946" s="2">
        <v>72.4951</v>
      </c>
    </row>
    <row r="1947">
      <c r="A1947" s="4">
        <v>45221.0</v>
      </c>
      <c r="B1947" s="2">
        <v>1611333.0</v>
      </c>
      <c r="C1947" s="2">
        <v>4868089.0</v>
      </c>
      <c r="D1947" s="2">
        <v>20.1875</v>
      </c>
    </row>
    <row r="1948">
      <c r="A1948" s="4">
        <v>45221.0</v>
      </c>
      <c r="B1948" s="2">
        <v>1434813.0</v>
      </c>
      <c r="C1948" s="2">
        <v>4868847.0</v>
      </c>
      <c r="D1948" s="2">
        <v>258.49</v>
      </c>
    </row>
    <row r="1949">
      <c r="A1949" s="4">
        <v>45221.0</v>
      </c>
      <c r="B1949" s="2">
        <v>1692993.0</v>
      </c>
      <c r="C1949" s="2">
        <v>4869090.0</v>
      </c>
      <c r="D1949" s="2">
        <v>70.5292</v>
      </c>
    </row>
    <row r="1950">
      <c r="A1950" s="4">
        <v>44966.0</v>
      </c>
      <c r="B1950" s="2">
        <v>1435473.0</v>
      </c>
      <c r="C1950" s="2">
        <v>4203765.0</v>
      </c>
      <c r="D1950" s="2">
        <v>82.275</v>
      </c>
    </row>
    <row r="1951">
      <c r="A1951" s="4">
        <v>44966.0</v>
      </c>
      <c r="B1951" s="2">
        <v>1516323.0</v>
      </c>
      <c r="C1951" s="2">
        <v>4204774.0</v>
      </c>
      <c r="D1951" s="2">
        <v>74.0718</v>
      </c>
    </row>
    <row r="1952">
      <c r="A1952" s="4">
        <v>44966.0</v>
      </c>
      <c r="B1952" s="2">
        <v>1524393.0</v>
      </c>
      <c r="C1952" s="2">
        <v>4204196.0</v>
      </c>
      <c r="D1952" s="2">
        <v>64.4</v>
      </c>
    </row>
    <row r="1953">
      <c r="A1953" s="4">
        <v>44966.0</v>
      </c>
      <c r="B1953" s="2">
        <v>1019493.0</v>
      </c>
      <c r="C1953" s="2">
        <v>4204399.0</v>
      </c>
      <c r="D1953" s="2">
        <v>118.7594</v>
      </c>
    </row>
    <row r="1954">
      <c r="A1954" s="4">
        <v>45222.0</v>
      </c>
      <c r="B1954" s="2">
        <v>1612653.0</v>
      </c>
      <c r="C1954" s="2">
        <v>4872995.0</v>
      </c>
      <c r="D1954" s="2">
        <v>50.0407</v>
      </c>
    </row>
    <row r="1955">
      <c r="A1955" s="4">
        <v>45222.0</v>
      </c>
      <c r="B1955" s="2">
        <v>1612473.0</v>
      </c>
      <c r="C1955" s="2">
        <v>4874534.0</v>
      </c>
      <c r="D1955" s="2">
        <v>26.8875</v>
      </c>
    </row>
    <row r="1956">
      <c r="A1956" s="4">
        <v>44967.0</v>
      </c>
      <c r="B1956" s="2">
        <v>217743.0</v>
      </c>
      <c r="C1956" s="2">
        <v>4207076.0</v>
      </c>
      <c r="D1956" s="2">
        <v>75.8437999999999</v>
      </c>
    </row>
    <row r="1957">
      <c r="A1957" s="4">
        <v>44967.0</v>
      </c>
      <c r="B1957" s="2">
        <v>1524873.0</v>
      </c>
      <c r="C1957" s="2">
        <v>4206136.0</v>
      </c>
      <c r="D1957" s="2">
        <v>68.7437</v>
      </c>
    </row>
    <row r="1958">
      <c r="A1958" s="4">
        <v>44967.0</v>
      </c>
      <c r="B1958" s="2">
        <v>1463253.0</v>
      </c>
      <c r="C1958" s="2">
        <v>4206861.0</v>
      </c>
      <c r="D1958" s="2">
        <v>10.8333</v>
      </c>
    </row>
    <row r="1959">
      <c r="A1959" s="4">
        <v>44967.0</v>
      </c>
      <c r="B1959" s="2">
        <v>1426383.0</v>
      </c>
      <c r="C1959" s="2">
        <v>4206331.0</v>
      </c>
      <c r="D1959" s="2">
        <v>112.845799999999</v>
      </c>
    </row>
    <row r="1960">
      <c r="A1960" s="4">
        <v>44967.0</v>
      </c>
      <c r="B1960" s="2">
        <v>1426383.0</v>
      </c>
      <c r="C1960" s="2">
        <v>4206342.0</v>
      </c>
      <c r="D1960" s="2">
        <v>99.3918999999999</v>
      </c>
    </row>
    <row r="1961">
      <c r="A1961" s="4">
        <v>44967.0</v>
      </c>
      <c r="B1961" s="2">
        <v>1288833.0</v>
      </c>
      <c r="C1961" s="2">
        <v>4206901.0</v>
      </c>
      <c r="D1961" s="2">
        <v>13.3021</v>
      </c>
    </row>
    <row r="1962">
      <c r="A1962" s="4">
        <v>44967.0</v>
      </c>
      <c r="B1962" s="2">
        <v>1520883.0</v>
      </c>
      <c r="C1962" s="2">
        <v>4206413.0</v>
      </c>
      <c r="D1962" s="2">
        <v>68.6537</v>
      </c>
    </row>
    <row r="1963">
      <c r="A1963" s="4">
        <v>44967.0</v>
      </c>
      <c r="B1963" s="2">
        <v>17043.0</v>
      </c>
      <c r="C1963" s="2">
        <v>4206847.0</v>
      </c>
      <c r="D1963" s="2">
        <v>34.2943</v>
      </c>
    </row>
    <row r="1964">
      <c r="A1964" s="4">
        <v>45223.0</v>
      </c>
      <c r="B1964" s="2">
        <v>1489683.0</v>
      </c>
      <c r="C1964" s="2">
        <v>4878459.0</v>
      </c>
      <c r="D1964" s="2">
        <v>85.2004</v>
      </c>
    </row>
    <row r="1965">
      <c r="A1965" s="4">
        <v>45223.0</v>
      </c>
      <c r="B1965" s="2">
        <v>1324833.0</v>
      </c>
      <c r="C1965" s="2">
        <v>4882458.0</v>
      </c>
      <c r="D1965" s="2">
        <v>31.5076</v>
      </c>
    </row>
    <row r="1966">
      <c r="A1966" s="4">
        <v>45223.0</v>
      </c>
      <c r="B1966" s="2">
        <v>317883.0</v>
      </c>
      <c r="C1966" s="2">
        <v>4882497.0</v>
      </c>
      <c r="D1966" s="2">
        <v>18.0358</v>
      </c>
    </row>
    <row r="1967">
      <c r="A1967" s="4">
        <v>45223.0</v>
      </c>
      <c r="B1967" s="2">
        <v>1696383.0</v>
      </c>
      <c r="C1967" s="2">
        <v>4882807.0</v>
      </c>
      <c r="D1967" s="2">
        <v>54.7987</v>
      </c>
    </row>
    <row r="1968">
      <c r="A1968" s="4">
        <v>45223.0</v>
      </c>
      <c r="B1968" s="2">
        <v>1694823.0</v>
      </c>
      <c r="C1968" s="2">
        <v>4882533.0</v>
      </c>
      <c r="D1968" s="2">
        <v>11.282</v>
      </c>
    </row>
    <row r="1969">
      <c r="A1969" s="4">
        <v>45223.0</v>
      </c>
      <c r="B1969" s="2">
        <v>1695903.0</v>
      </c>
      <c r="C1969" s="2">
        <v>4880949.0</v>
      </c>
      <c r="D1969" s="2">
        <v>92.2019</v>
      </c>
    </row>
    <row r="1970">
      <c r="A1970" s="4">
        <v>45223.0</v>
      </c>
      <c r="B1970" s="2">
        <v>120693.0</v>
      </c>
      <c r="C1970" s="2">
        <v>4883814.0</v>
      </c>
      <c r="D1970" s="2">
        <v>18.9479</v>
      </c>
    </row>
    <row r="1971">
      <c r="A1971" s="4">
        <v>45223.0</v>
      </c>
      <c r="B1971" s="2">
        <v>1692513.0</v>
      </c>
      <c r="C1971" s="2">
        <v>4878640.0</v>
      </c>
      <c r="D1971" s="2">
        <v>64.4983999999999</v>
      </c>
    </row>
    <row r="1972">
      <c r="A1972" s="4">
        <v>44968.0</v>
      </c>
      <c r="B1972" s="2">
        <v>1525383.0</v>
      </c>
      <c r="C1972" s="2">
        <v>4207906.0</v>
      </c>
      <c r="D1972" s="2">
        <v>133.3333</v>
      </c>
    </row>
    <row r="1973">
      <c r="A1973" s="4">
        <v>44968.0</v>
      </c>
      <c r="B1973" s="2">
        <v>1407573.0</v>
      </c>
      <c r="C1973" s="2">
        <v>4209022.0</v>
      </c>
      <c r="D1973" s="2">
        <v>77.7712</v>
      </c>
    </row>
    <row r="1974">
      <c r="A1974" s="4">
        <v>44968.0</v>
      </c>
      <c r="B1974" s="2">
        <v>1455903.0</v>
      </c>
      <c r="C1974" s="2">
        <v>4208495.0</v>
      </c>
      <c r="D1974" s="2">
        <v>61.4654</v>
      </c>
    </row>
    <row r="1975">
      <c r="A1975" s="4">
        <v>44968.0</v>
      </c>
      <c r="B1975" s="2">
        <v>1038093.0</v>
      </c>
      <c r="C1975" s="2">
        <v>4209847.0</v>
      </c>
      <c r="D1975" s="2">
        <v>46.8811999999999</v>
      </c>
    </row>
    <row r="1976">
      <c r="A1976" s="4">
        <v>44968.0</v>
      </c>
      <c r="B1976" s="2">
        <v>231783.0</v>
      </c>
      <c r="C1976" s="2">
        <v>4209580.0</v>
      </c>
      <c r="D1976" s="2">
        <v>126.014</v>
      </c>
    </row>
    <row r="1977">
      <c r="A1977" s="4">
        <v>44968.0</v>
      </c>
      <c r="B1977" s="2">
        <v>1526073.0</v>
      </c>
      <c r="C1977" s="2">
        <v>4210506.0</v>
      </c>
      <c r="D1977" s="2">
        <v>45.0</v>
      </c>
    </row>
    <row r="1978">
      <c r="A1978" s="4">
        <v>44968.0</v>
      </c>
      <c r="B1978" s="2">
        <v>1526163.0</v>
      </c>
      <c r="C1978" s="2">
        <v>4210955.0</v>
      </c>
      <c r="D1978" s="2">
        <v>30.0554999999999</v>
      </c>
    </row>
    <row r="1979">
      <c r="A1979" s="4">
        <v>45224.0</v>
      </c>
      <c r="B1979" s="2">
        <v>343203.0</v>
      </c>
      <c r="C1979" s="2">
        <v>4889070.0</v>
      </c>
      <c r="D1979" s="2">
        <v>38.9858</v>
      </c>
    </row>
    <row r="1980">
      <c r="A1980" s="4">
        <v>45224.0</v>
      </c>
      <c r="B1980" s="2">
        <v>1410633.0</v>
      </c>
      <c r="C1980" s="2">
        <v>4887076.0</v>
      </c>
      <c r="D1980" s="2">
        <v>78.3160999999999</v>
      </c>
    </row>
    <row r="1981">
      <c r="A1981" s="4">
        <v>45224.0</v>
      </c>
      <c r="B1981" s="2">
        <v>1511583.0</v>
      </c>
      <c r="C1981" s="2">
        <v>4885932.0</v>
      </c>
      <c r="D1981" s="2">
        <v>51.4558</v>
      </c>
    </row>
    <row r="1982">
      <c r="A1982" s="4">
        <v>45224.0</v>
      </c>
      <c r="B1982" s="2">
        <v>1696743.0</v>
      </c>
      <c r="C1982" s="2">
        <v>4884349.0</v>
      </c>
      <c r="D1982" s="2">
        <v>19.0212</v>
      </c>
    </row>
    <row r="1983">
      <c r="A1983" s="4">
        <v>44969.0</v>
      </c>
      <c r="B1983" s="2">
        <v>384483.0</v>
      </c>
      <c r="C1983" s="2">
        <v>4212512.0</v>
      </c>
      <c r="D1983" s="2">
        <v>82.0086</v>
      </c>
    </row>
    <row r="1984">
      <c r="A1984" s="4">
        <v>44969.0</v>
      </c>
      <c r="B1984" s="2">
        <v>366003.0</v>
      </c>
      <c r="C1984" s="2">
        <v>4212432.0</v>
      </c>
      <c r="D1984" s="2">
        <v>110.5378</v>
      </c>
    </row>
    <row r="1985">
      <c r="A1985" s="4">
        <v>44969.0</v>
      </c>
      <c r="B1985" s="2">
        <v>884403.0</v>
      </c>
      <c r="C1985" s="2">
        <v>4212271.0</v>
      </c>
      <c r="D1985" s="2">
        <v>66.6668</v>
      </c>
    </row>
    <row r="1986">
      <c r="A1986" s="4">
        <v>44969.0</v>
      </c>
      <c r="B1986" s="2">
        <v>1526223.0</v>
      </c>
      <c r="C1986" s="2">
        <v>4212799.0</v>
      </c>
      <c r="D1986" s="2">
        <v>49.9583</v>
      </c>
    </row>
    <row r="1987">
      <c r="A1987" s="4">
        <v>45225.0</v>
      </c>
      <c r="B1987" s="2">
        <v>1592163.0</v>
      </c>
      <c r="C1987" s="2">
        <v>4892740.0</v>
      </c>
      <c r="D1987" s="2">
        <v>33.7985</v>
      </c>
    </row>
    <row r="1988">
      <c r="A1988" s="4">
        <v>45225.0</v>
      </c>
      <c r="B1988" s="2">
        <v>457413.0</v>
      </c>
      <c r="C1988" s="2">
        <v>4897346.0</v>
      </c>
      <c r="D1988" s="2">
        <v>75.1734</v>
      </c>
    </row>
    <row r="1989">
      <c r="A1989" s="4">
        <v>45225.0</v>
      </c>
      <c r="B1989" s="2">
        <v>1546173.0</v>
      </c>
      <c r="C1989" s="2">
        <v>4897434.0</v>
      </c>
      <c r="D1989" s="2">
        <v>134.8836</v>
      </c>
    </row>
    <row r="1990">
      <c r="A1990" s="4">
        <v>45225.0</v>
      </c>
      <c r="B1990" s="2">
        <v>1580073.0</v>
      </c>
      <c r="C1990" s="2">
        <v>4894842.0</v>
      </c>
      <c r="D1990" s="2">
        <v>49.4784</v>
      </c>
    </row>
    <row r="1991">
      <c r="A1991" s="4">
        <v>45225.0</v>
      </c>
      <c r="B1991" s="2">
        <v>1700253.0</v>
      </c>
      <c r="C1991" s="2">
        <v>4898198.0</v>
      </c>
      <c r="D1991" s="2">
        <v>61.4261</v>
      </c>
    </row>
    <row r="1992">
      <c r="A1992" s="4">
        <v>45225.0</v>
      </c>
      <c r="B1992" s="2">
        <v>1173993.0</v>
      </c>
      <c r="C1992" s="2">
        <v>4898938.0</v>
      </c>
      <c r="D1992" s="2">
        <v>79.8499</v>
      </c>
    </row>
    <row r="1993">
      <c r="A1993" s="4">
        <v>45225.0</v>
      </c>
      <c r="B1993" s="2">
        <v>1442013.0</v>
      </c>
      <c r="C1993" s="2">
        <v>4895334.0</v>
      </c>
      <c r="D1993" s="2">
        <v>82.4662</v>
      </c>
    </row>
    <row r="1994">
      <c r="A1994" s="4">
        <v>45225.0</v>
      </c>
      <c r="B1994" s="2">
        <v>1360593.0</v>
      </c>
      <c r="C1994" s="2">
        <v>4896621.0</v>
      </c>
      <c r="D1994" s="2">
        <v>23.9584</v>
      </c>
    </row>
    <row r="1995">
      <c r="A1995" s="4">
        <v>45225.0</v>
      </c>
      <c r="B1995" s="2">
        <v>467223.0</v>
      </c>
      <c r="C1995" s="2">
        <v>4898809.0</v>
      </c>
      <c r="D1995" s="2">
        <v>92.9167</v>
      </c>
    </row>
    <row r="1996">
      <c r="A1996" s="4">
        <v>45225.0</v>
      </c>
      <c r="B1996" s="2">
        <v>1134153.0</v>
      </c>
      <c r="C1996" s="2">
        <v>4898001.0</v>
      </c>
      <c r="D1996" s="2">
        <v>85.2128</v>
      </c>
    </row>
    <row r="1997">
      <c r="A1997" s="4">
        <v>44970.0</v>
      </c>
      <c r="B1997" s="2">
        <v>1380573.0</v>
      </c>
      <c r="C1997" s="2">
        <v>4214114.0</v>
      </c>
      <c r="D1997" s="2">
        <v>33.25</v>
      </c>
    </row>
    <row r="1998">
      <c r="A1998" s="4">
        <v>44970.0</v>
      </c>
      <c r="B1998" s="2">
        <v>1491273.0</v>
      </c>
      <c r="C1998" s="2">
        <v>4216183.0</v>
      </c>
      <c r="D1998" s="2">
        <v>70.66</v>
      </c>
    </row>
    <row r="1999">
      <c r="A1999" s="4">
        <v>44970.0</v>
      </c>
      <c r="B1999" s="2">
        <v>1162143.0</v>
      </c>
      <c r="C1999" s="2">
        <v>4216058.0</v>
      </c>
      <c r="D1999" s="2">
        <v>124.4379</v>
      </c>
    </row>
    <row r="2000">
      <c r="A2000" s="4">
        <v>44970.0</v>
      </c>
      <c r="B2000" s="2">
        <v>1527513.0</v>
      </c>
      <c r="C2000" s="2">
        <v>4216381.0</v>
      </c>
      <c r="D2000" s="2">
        <v>68.745</v>
      </c>
    </row>
    <row r="2001">
      <c r="A2001" s="4">
        <v>44970.0</v>
      </c>
      <c r="B2001" s="2">
        <v>1128333.0</v>
      </c>
      <c r="C2001" s="2">
        <v>4214719.0</v>
      </c>
      <c r="D2001" s="2">
        <v>60.2502</v>
      </c>
    </row>
    <row r="2002">
      <c r="A2002" s="4">
        <v>44970.0</v>
      </c>
      <c r="B2002" s="2">
        <v>1527213.0</v>
      </c>
      <c r="C2002" s="2">
        <v>4215182.0</v>
      </c>
      <c r="D2002" s="2">
        <v>2.9083</v>
      </c>
    </row>
    <row r="2003">
      <c r="A2003" s="4">
        <v>44970.0</v>
      </c>
      <c r="B2003" s="2">
        <v>1410633.0</v>
      </c>
      <c r="C2003" s="2">
        <v>4215256.0</v>
      </c>
      <c r="D2003" s="2">
        <v>64.2807</v>
      </c>
    </row>
    <row r="2004">
      <c r="A2004" s="4">
        <v>45226.0</v>
      </c>
      <c r="B2004" s="2">
        <v>485253.0</v>
      </c>
      <c r="C2004" s="2">
        <v>4903726.0</v>
      </c>
      <c r="D2004" s="2">
        <v>103.365</v>
      </c>
    </row>
    <row r="2005">
      <c r="A2005" s="4">
        <v>45226.0</v>
      </c>
      <c r="B2005" s="2">
        <v>278733.0</v>
      </c>
      <c r="C2005" s="2">
        <v>4903777.0</v>
      </c>
      <c r="D2005" s="2">
        <v>67.1905</v>
      </c>
    </row>
    <row r="2006">
      <c r="A2006" s="4">
        <v>45226.0</v>
      </c>
      <c r="B2006" s="2">
        <v>1110273.0</v>
      </c>
      <c r="C2006" s="2">
        <v>4899870.0</v>
      </c>
      <c r="D2006" s="2">
        <v>84.7124</v>
      </c>
    </row>
    <row r="2007">
      <c r="A2007" s="4">
        <v>45226.0</v>
      </c>
      <c r="B2007" s="2">
        <v>1702293.0</v>
      </c>
      <c r="C2007" s="2">
        <v>4905302.0</v>
      </c>
      <c r="D2007" s="2">
        <v>88.0933</v>
      </c>
    </row>
    <row r="2008">
      <c r="A2008" s="4">
        <v>45226.0</v>
      </c>
      <c r="B2008" s="2">
        <v>1701573.0</v>
      </c>
      <c r="C2008" s="2">
        <v>4902977.0</v>
      </c>
      <c r="D2008" s="2">
        <v>24.7701</v>
      </c>
    </row>
    <row r="2009">
      <c r="A2009" s="4">
        <v>45226.0</v>
      </c>
      <c r="B2009" s="2">
        <v>1680573.0</v>
      </c>
      <c r="C2009" s="2">
        <v>4902126.0</v>
      </c>
      <c r="D2009" s="2">
        <v>40.122</v>
      </c>
    </row>
    <row r="2010">
      <c r="A2010" s="4">
        <v>45226.0</v>
      </c>
      <c r="B2010" s="2">
        <v>1701633.0</v>
      </c>
      <c r="C2010" s="2">
        <v>4903146.0</v>
      </c>
      <c r="D2010" s="2">
        <v>65.8314</v>
      </c>
    </row>
    <row r="2011">
      <c r="A2011" s="4">
        <v>45226.0</v>
      </c>
      <c r="B2011" s="2">
        <v>1141683.0</v>
      </c>
      <c r="C2011" s="2">
        <v>4904082.0</v>
      </c>
      <c r="D2011" s="2">
        <v>78.7171999999999</v>
      </c>
    </row>
    <row r="2012">
      <c r="A2012" s="4">
        <v>45226.0</v>
      </c>
      <c r="B2012" s="2">
        <v>1245363.0</v>
      </c>
      <c r="C2012" s="2">
        <v>4904809.0</v>
      </c>
      <c r="D2012" s="2">
        <v>86.6259</v>
      </c>
    </row>
    <row r="2013">
      <c r="A2013" s="4">
        <v>45226.0</v>
      </c>
      <c r="B2013" s="2">
        <v>1701393.0</v>
      </c>
      <c r="C2013" s="2">
        <v>4902341.0</v>
      </c>
      <c r="D2013" s="2">
        <v>70.1161999999999</v>
      </c>
    </row>
    <row r="2014">
      <c r="A2014" s="4">
        <v>44971.0</v>
      </c>
      <c r="B2014" s="2">
        <v>1527813.0</v>
      </c>
      <c r="C2014" s="2">
        <v>4217594.0</v>
      </c>
      <c r="D2014" s="2">
        <v>39.483</v>
      </c>
    </row>
    <row r="2015">
      <c r="A2015" s="4">
        <v>44971.0</v>
      </c>
      <c r="B2015" s="2">
        <v>1527693.0</v>
      </c>
      <c r="C2015" s="2">
        <v>4217088.0</v>
      </c>
      <c r="D2015" s="2">
        <v>42.607</v>
      </c>
    </row>
    <row r="2016">
      <c r="A2016" s="4">
        <v>45227.0</v>
      </c>
      <c r="B2016" s="2">
        <v>1703133.0</v>
      </c>
      <c r="C2016" s="2">
        <v>4908594.0</v>
      </c>
      <c r="D2016" s="2">
        <v>66.5751</v>
      </c>
    </row>
    <row r="2017">
      <c r="A2017" s="4">
        <v>45227.0</v>
      </c>
      <c r="B2017" s="2">
        <v>1255503.0</v>
      </c>
      <c r="C2017" s="2">
        <v>4907233.0</v>
      </c>
      <c r="D2017" s="2">
        <v>84.5513</v>
      </c>
    </row>
    <row r="2018">
      <c r="A2018" s="4">
        <v>45227.0</v>
      </c>
      <c r="B2018" s="2">
        <v>1672743.0</v>
      </c>
      <c r="C2018" s="2">
        <v>4908605.0</v>
      </c>
      <c r="D2018" s="2">
        <v>62.9154</v>
      </c>
    </row>
    <row r="2019">
      <c r="A2019" s="4">
        <v>45227.0</v>
      </c>
      <c r="B2019" s="2">
        <v>1704633.0</v>
      </c>
      <c r="C2019" s="2">
        <v>4915930.0</v>
      </c>
      <c r="D2019" s="2">
        <v>55.5374</v>
      </c>
    </row>
    <row r="2020">
      <c r="A2020" s="4">
        <v>45227.0</v>
      </c>
      <c r="B2020" s="2">
        <v>1618653.0</v>
      </c>
      <c r="C2020" s="2">
        <v>4909614.0</v>
      </c>
      <c r="D2020" s="2">
        <v>53.3803</v>
      </c>
    </row>
    <row r="2021">
      <c r="A2021" s="4">
        <v>45227.0</v>
      </c>
      <c r="B2021" s="2">
        <v>1428633.0</v>
      </c>
      <c r="C2021" s="2">
        <v>4909762.0</v>
      </c>
      <c r="D2021" s="2">
        <v>137.498299999999</v>
      </c>
    </row>
    <row r="2022">
      <c r="A2022" s="4">
        <v>45227.0</v>
      </c>
      <c r="B2022" s="2">
        <v>1261383.0</v>
      </c>
      <c r="C2022" s="2">
        <v>4911682.0</v>
      </c>
      <c r="D2022" s="2">
        <v>76.2749999999999</v>
      </c>
    </row>
    <row r="2023">
      <c r="A2023" s="4">
        <v>45227.0</v>
      </c>
      <c r="B2023" s="2">
        <v>1163223.0</v>
      </c>
      <c r="C2023" s="2">
        <v>4916070.0</v>
      </c>
      <c r="D2023" s="2">
        <v>57.6413</v>
      </c>
    </row>
    <row r="2024">
      <c r="A2024" s="4">
        <v>45227.0</v>
      </c>
      <c r="B2024" s="2">
        <v>328023.0</v>
      </c>
      <c r="C2024" s="2">
        <v>4906910.0</v>
      </c>
      <c r="D2024" s="2">
        <v>61.2953</v>
      </c>
    </row>
    <row r="2025">
      <c r="A2025" s="4">
        <v>45227.0</v>
      </c>
      <c r="B2025" s="2">
        <v>1704873.0</v>
      </c>
      <c r="C2025" s="2">
        <v>4916630.0</v>
      </c>
      <c r="D2025" s="2">
        <v>30.1208</v>
      </c>
    </row>
    <row r="2026">
      <c r="A2026" s="4">
        <v>45227.0</v>
      </c>
      <c r="B2026" s="2">
        <v>1423773.0</v>
      </c>
      <c r="C2026" s="2">
        <v>4911741.0</v>
      </c>
      <c r="D2026" s="2">
        <v>126.842099999999</v>
      </c>
    </row>
    <row r="2027">
      <c r="A2027" s="4">
        <v>44972.0</v>
      </c>
      <c r="B2027" s="2">
        <v>1322583.0</v>
      </c>
      <c r="C2027" s="2">
        <v>4219352.0</v>
      </c>
      <c r="D2027" s="2">
        <v>68.745</v>
      </c>
    </row>
    <row r="2028">
      <c r="A2028" s="4">
        <v>44972.0</v>
      </c>
      <c r="B2028" s="2">
        <v>1528053.0</v>
      </c>
      <c r="C2028" s="2">
        <v>4221371.0</v>
      </c>
      <c r="D2028" s="2">
        <v>80.7204</v>
      </c>
    </row>
    <row r="2029">
      <c r="A2029" s="4">
        <v>44972.0</v>
      </c>
      <c r="B2029" s="2">
        <v>1528773.0</v>
      </c>
      <c r="C2029" s="2">
        <v>4221263.0</v>
      </c>
      <c r="D2029" s="2">
        <v>14.6846</v>
      </c>
    </row>
    <row r="2030">
      <c r="A2030" s="4">
        <v>44972.0</v>
      </c>
      <c r="B2030" s="2">
        <v>1528503.0</v>
      </c>
      <c r="C2030" s="2">
        <v>4220344.0</v>
      </c>
      <c r="D2030" s="2">
        <v>125.5934</v>
      </c>
    </row>
    <row r="2031">
      <c r="A2031" s="4">
        <v>44972.0</v>
      </c>
      <c r="B2031" s="2">
        <v>1446543.0</v>
      </c>
      <c r="C2031" s="2">
        <v>4219628.0</v>
      </c>
      <c r="D2031" s="2">
        <v>38.6239</v>
      </c>
    </row>
    <row r="2032">
      <c r="A2032" s="4">
        <v>44972.0</v>
      </c>
      <c r="B2032" s="2">
        <v>1528353.0</v>
      </c>
      <c r="C2032" s="2">
        <v>4219686.0</v>
      </c>
      <c r="D2032" s="2">
        <v>64.9892</v>
      </c>
    </row>
    <row r="2033">
      <c r="A2033" s="4">
        <v>44972.0</v>
      </c>
      <c r="B2033" s="2">
        <v>1267803.0</v>
      </c>
      <c r="C2033" s="2">
        <v>4221240.0</v>
      </c>
      <c r="D2033" s="2">
        <v>63.105</v>
      </c>
    </row>
    <row r="2034">
      <c r="A2034" s="4">
        <v>44972.0</v>
      </c>
      <c r="B2034" s="2">
        <v>1176873.0</v>
      </c>
      <c r="C2034" s="2">
        <v>4220859.0</v>
      </c>
      <c r="D2034" s="2">
        <v>70.712</v>
      </c>
    </row>
    <row r="2035">
      <c r="A2035" s="4">
        <v>45228.0</v>
      </c>
      <c r="B2035" s="2">
        <v>212493.0</v>
      </c>
      <c r="C2035" s="2">
        <v>4923458.0</v>
      </c>
      <c r="D2035" s="2">
        <v>79.0342</v>
      </c>
    </row>
    <row r="2036">
      <c r="A2036" s="4">
        <v>45228.0</v>
      </c>
      <c r="B2036" s="2">
        <v>1433613.0</v>
      </c>
      <c r="C2036" s="2">
        <v>4923730.0</v>
      </c>
      <c r="D2036" s="2">
        <v>29.8425</v>
      </c>
    </row>
    <row r="2037">
      <c r="A2037" s="4">
        <v>45228.0</v>
      </c>
      <c r="B2037" s="2">
        <v>1707273.0</v>
      </c>
      <c r="C2037" s="2">
        <v>4925893.0</v>
      </c>
      <c r="D2037" s="2">
        <v>62.5212</v>
      </c>
    </row>
    <row r="2038">
      <c r="A2038" s="4">
        <v>45228.0</v>
      </c>
      <c r="B2038" s="2">
        <v>197373.0</v>
      </c>
      <c r="C2038" s="2">
        <v>4919057.0</v>
      </c>
      <c r="D2038" s="2">
        <v>54.5459</v>
      </c>
    </row>
    <row r="2039">
      <c r="A2039" s="4">
        <v>45228.0</v>
      </c>
      <c r="B2039" s="2">
        <v>1705413.0</v>
      </c>
      <c r="C2039" s="2">
        <v>4919677.0</v>
      </c>
      <c r="D2039" s="2">
        <v>65.2739</v>
      </c>
    </row>
    <row r="2040">
      <c r="A2040" s="4">
        <v>45228.0</v>
      </c>
      <c r="B2040" s="2">
        <v>1699773.0</v>
      </c>
      <c r="C2040" s="2">
        <v>4925670.0</v>
      </c>
      <c r="D2040" s="2">
        <v>53.0895</v>
      </c>
    </row>
    <row r="2041">
      <c r="A2041" s="4">
        <v>45228.0</v>
      </c>
      <c r="B2041" s="2">
        <v>1706313.0</v>
      </c>
      <c r="C2041" s="2">
        <v>4922622.0</v>
      </c>
      <c r="D2041" s="2">
        <v>40.9222</v>
      </c>
    </row>
    <row r="2042">
      <c r="A2042" s="4">
        <v>45228.0</v>
      </c>
      <c r="B2042" s="2">
        <v>1636413.0</v>
      </c>
      <c r="C2042" s="2">
        <v>4923530.0</v>
      </c>
      <c r="D2042" s="2">
        <v>56.3831</v>
      </c>
    </row>
    <row r="2043">
      <c r="A2043" s="4">
        <v>45228.0</v>
      </c>
      <c r="B2043" s="2">
        <v>1369833.0</v>
      </c>
      <c r="C2043" s="2">
        <v>4918625.0</v>
      </c>
      <c r="D2043" s="2">
        <v>84.9654999999999</v>
      </c>
    </row>
    <row r="2044">
      <c r="A2044" s="4">
        <v>44973.0</v>
      </c>
      <c r="B2044" s="2">
        <v>1529133.0</v>
      </c>
      <c r="C2044" s="2">
        <v>4222584.0</v>
      </c>
      <c r="D2044" s="2">
        <v>20.1819</v>
      </c>
    </row>
    <row r="2045">
      <c r="A2045" s="4">
        <v>44973.0</v>
      </c>
      <c r="B2045" s="2">
        <v>1426383.0</v>
      </c>
      <c r="C2045" s="2">
        <v>4222969.0</v>
      </c>
      <c r="D2045" s="2">
        <v>111.5962</v>
      </c>
    </row>
    <row r="2046">
      <c r="A2046" s="4">
        <v>44973.0</v>
      </c>
      <c r="B2046" s="2">
        <v>1529193.0</v>
      </c>
      <c r="C2046" s="2">
        <v>4222741.0</v>
      </c>
      <c r="D2046" s="2">
        <v>44.6321</v>
      </c>
    </row>
    <row r="2047">
      <c r="A2047" s="4">
        <v>44973.0</v>
      </c>
      <c r="B2047" s="2">
        <v>1253823.0</v>
      </c>
      <c r="C2047" s="2">
        <v>4223149.0</v>
      </c>
      <c r="D2047" s="2">
        <v>69.2666</v>
      </c>
    </row>
    <row r="2048">
      <c r="A2048" s="4">
        <v>45229.0</v>
      </c>
      <c r="B2048" s="2">
        <v>1144893.0</v>
      </c>
      <c r="C2048" s="2">
        <v>4934293.0</v>
      </c>
      <c r="D2048" s="2">
        <v>53.3125</v>
      </c>
    </row>
    <row r="2049">
      <c r="A2049" s="4">
        <v>45229.0</v>
      </c>
      <c r="B2049" s="2">
        <v>426423.0</v>
      </c>
      <c r="C2049" s="2">
        <v>4930437.0</v>
      </c>
      <c r="D2049" s="2">
        <v>99.4871999999999</v>
      </c>
    </row>
    <row r="2050">
      <c r="A2050" s="4">
        <v>45229.0</v>
      </c>
      <c r="B2050" s="2">
        <v>1709013.0</v>
      </c>
      <c r="C2050" s="2">
        <v>4932465.0</v>
      </c>
      <c r="D2050" s="2">
        <v>20.425</v>
      </c>
    </row>
    <row r="2051">
      <c r="A2051" s="4">
        <v>45229.0</v>
      </c>
      <c r="B2051" s="2">
        <v>1426383.0</v>
      </c>
      <c r="C2051" s="2">
        <v>4928813.0</v>
      </c>
      <c r="D2051" s="2">
        <v>97.0116</v>
      </c>
    </row>
    <row r="2052">
      <c r="A2052" s="4">
        <v>45229.0</v>
      </c>
      <c r="B2052" s="2">
        <v>1369353.0</v>
      </c>
      <c r="C2052" s="2">
        <v>4933209.0</v>
      </c>
      <c r="D2052" s="2">
        <v>43.7916</v>
      </c>
    </row>
    <row r="2053">
      <c r="A2053" s="4">
        <v>45229.0</v>
      </c>
      <c r="B2053" s="2">
        <v>1709133.0</v>
      </c>
      <c r="C2053" s="2">
        <v>4933465.0</v>
      </c>
      <c r="D2053" s="2">
        <v>24.4633</v>
      </c>
    </row>
    <row r="2054">
      <c r="A2054" s="4">
        <v>45229.0</v>
      </c>
      <c r="B2054" s="2">
        <v>948573.0</v>
      </c>
      <c r="C2054" s="2">
        <v>4933373.0</v>
      </c>
      <c r="D2054" s="2">
        <v>29.2408</v>
      </c>
    </row>
    <row r="2055">
      <c r="A2055" s="4">
        <v>45229.0</v>
      </c>
      <c r="B2055" s="2">
        <v>1709073.0</v>
      </c>
      <c r="C2055" s="2">
        <v>4932657.0</v>
      </c>
      <c r="D2055" s="2">
        <v>15.8912</v>
      </c>
    </row>
    <row r="2056">
      <c r="A2056" s="4">
        <v>45229.0</v>
      </c>
      <c r="B2056" s="2">
        <v>1397703.0</v>
      </c>
      <c r="C2056" s="2">
        <v>4929713.0</v>
      </c>
      <c r="D2056" s="2">
        <v>55.4416</v>
      </c>
    </row>
    <row r="2057">
      <c r="A2057" s="4">
        <v>44974.0</v>
      </c>
      <c r="B2057" s="2">
        <v>1236333.0</v>
      </c>
      <c r="C2057" s="2">
        <v>4223631.0</v>
      </c>
      <c r="D2057" s="2">
        <v>94.5557</v>
      </c>
    </row>
    <row r="2058">
      <c r="A2058" s="4">
        <v>44974.0</v>
      </c>
      <c r="B2058" s="2">
        <v>1529913.0</v>
      </c>
      <c r="C2058" s="2">
        <v>4225210.0</v>
      </c>
      <c r="D2058" s="2">
        <v>54.4389</v>
      </c>
    </row>
    <row r="2059">
      <c r="A2059" s="4">
        <v>44974.0</v>
      </c>
      <c r="B2059" s="2">
        <v>1237893.0</v>
      </c>
      <c r="C2059" s="2">
        <v>4224520.0</v>
      </c>
      <c r="D2059" s="2">
        <v>69.4617</v>
      </c>
    </row>
    <row r="2060">
      <c r="A2060" s="4">
        <v>44974.0</v>
      </c>
      <c r="B2060" s="2">
        <v>1248333.0</v>
      </c>
      <c r="C2060" s="2">
        <v>4224433.0</v>
      </c>
      <c r="D2060" s="2">
        <v>33.1666</v>
      </c>
    </row>
    <row r="2061">
      <c r="A2061" s="4">
        <v>44974.0</v>
      </c>
      <c r="B2061" s="2">
        <v>1438953.0</v>
      </c>
      <c r="C2061" s="2">
        <v>4223921.0</v>
      </c>
      <c r="D2061" s="2">
        <v>32.4501</v>
      </c>
    </row>
    <row r="2062">
      <c r="A2062" s="4">
        <v>45230.0</v>
      </c>
      <c r="B2062" s="2">
        <v>1708653.0</v>
      </c>
      <c r="C2062" s="2">
        <v>4940473.0</v>
      </c>
      <c r="D2062" s="2">
        <v>54.5524</v>
      </c>
    </row>
    <row r="2063">
      <c r="A2063" s="4">
        <v>45230.0</v>
      </c>
      <c r="B2063" s="2">
        <v>1618173.0</v>
      </c>
      <c r="C2063" s="2">
        <v>4943293.0</v>
      </c>
      <c r="D2063" s="2">
        <v>46.2542</v>
      </c>
    </row>
    <row r="2064">
      <c r="A2064" s="4">
        <v>45230.0</v>
      </c>
      <c r="B2064" s="2">
        <v>1709433.0</v>
      </c>
      <c r="C2064" s="2">
        <v>4942049.0</v>
      </c>
      <c r="D2064" s="2">
        <v>21.2166</v>
      </c>
    </row>
    <row r="2065">
      <c r="A2065" s="4">
        <v>45230.0</v>
      </c>
      <c r="B2065" s="2">
        <v>1214823.0</v>
      </c>
      <c r="C2065" s="2">
        <v>4940773.0</v>
      </c>
      <c r="D2065" s="2">
        <v>98.6003</v>
      </c>
    </row>
    <row r="2066">
      <c r="A2066" s="4">
        <v>45230.0</v>
      </c>
      <c r="B2066" s="2">
        <v>1495833.0</v>
      </c>
      <c r="C2066" s="2">
        <v>4943737.0</v>
      </c>
      <c r="D2066" s="2">
        <v>59.0081</v>
      </c>
    </row>
    <row r="2067">
      <c r="A2067" s="4">
        <v>45230.0</v>
      </c>
      <c r="B2067" s="2">
        <v>1669353.0</v>
      </c>
      <c r="C2067" s="2">
        <v>4935121.0</v>
      </c>
      <c r="D2067" s="2">
        <v>62.0794999999999</v>
      </c>
    </row>
    <row r="2068">
      <c r="A2068" s="4">
        <v>45230.0</v>
      </c>
      <c r="B2068" s="2">
        <v>367683.0</v>
      </c>
      <c r="C2068" s="2">
        <v>4942473.0</v>
      </c>
      <c r="D2068" s="2">
        <v>59.7764999999999</v>
      </c>
    </row>
    <row r="2069">
      <c r="A2069" s="4">
        <v>45230.0</v>
      </c>
      <c r="B2069" s="2">
        <v>1291233.0</v>
      </c>
      <c r="C2069" s="2">
        <v>4944749.0</v>
      </c>
      <c r="D2069" s="2">
        <v>83.0471</v>
      </c>
    </row>
    <row r="2070">
      <c r="A2070" s="4">
        <v>44975.0</v>
      </c>
      <c r="B2070" s="2">
        <v>1491483.0</v>
      </c>
      <c r="C2070" s="2">
        <v>4228095.0</v>
      </c>
      <c r="D2070" s="2">
        <v>59.6881</v>
      </c>
    </row>
    <row r="2071">
      <c r="A2071" s="4">
        <v>44975.0</v>
      </c>
      <c r="B2071" s="2">
        <v>1060173.0</v>
      </c>
      <c r="C2071" s="2">
        <v>4227747.0</v>
      </c>
      <c r="D2071" s="2">
        <v>62.4757999999999</v>
      </c>
    </row>
    <row r="2072">
      <c r="A2072" s="4">
        <v>44975.0</v>
      </c>
      <c r="B2072" s="2">
        <v>1204983.0</v>
      </c>
      <c r="C2072" s="2">
        <v>4226207.0</v>
      </c>
      <c r="D2072" s="2">
        <v>64.6328</v>
      </c>
    </row>
    <row r="2073">
      <c r="A2073" s="4">
        <v>44975.0</v>
      </c>
      <c r="B2073" s="2">
        <v>1428633.0</v>
      </c>
      <c r="C2073" s="2">
        <v>4225997.0</v>
      </c>
      <c r="D2073" s="2">
        <v>143.6362</v>
      </c>
    </row>
    <row r="2074">
      <c r="A2074" s="4">
        <v>44975.0</v>
      </c>
      <c r="B2074" s="2">
        <v>1530243.0</v>
      </c>
      <c r="C2074" s="2">
        <v>4226431.0</v>
      </c>
      <c r="D2074" s="2">
        <v>68.13</v>
      </c>
    </row>
    <row r="2075">
      <c r="A2075" s="4">
        <v>44975.0</v>
      </c>
      <c r="B2075" s="2">
        <v>1530153.0</v>
      </c>
      <c r="C2075" s="2">
        <v>4226149.0</v>
      </c>
      <c r="D2075" s="2">
        <v>20.6234</v>
      </c>
    </row>
    <row r="2076">
      <c r="A2076" s="4">
        <v>45231.0</v>
      </c>
      <c r="B2076" s="2">
        <v>1334643.0</v>
      </c>
      <c r="C2076" s="2">
        <v>4947449.0</v>
      </c>
      <c r="D2076" s="2">
        <v>136.1136</v>
      </c>
    </row>
    <row r="2077">
      <c r="A2077" s="4">
        <v>45231.0</v>
      </c>
      <c r="B2077" s="2">
        <v>1713333.0</v>
      </c>
      <c r="C2077" s="2">
        <v>4949681.0</v>
      </c>
      <c r="D2077" s="2">
        <v>50.0437</v>
      </c>
    </row>
    <row r="2078">
      <c r="A2078" s="4">
        <v>45231.0</v>
      </c>
      <c r="B2078" s="2">
        <v>1703733.0</v>
      </c>
      <c r="C2078" s="2">
        <v>4947561.0</v>
      </c>
      <c r="D2078" s="2">
        <v>202.9058</v>
      </c>
    </row>
    <row r="2079">
      <c r="A2079" s="4">
        <v>45231.0</v>
      </c>
      <c r="B2079" s="2">
        <v>1048983.0</v>
      </c>
      <c r="C2079" s="2">
        <v>4952681.0</v>
      </c>
      <c r="D2079" s="2">
        <v>41.0834</v>
      </c>
    </row>
    <row r="2080">
      <c r="A2080" s="4">
        <v>45231.0</v>
      </c>
      <c r="B2080" s="2">
        <v>1713393.0</v>
      </c>
      <c r="C2080" s="2">
        <v>4951005.0</v>
      </c>
      <c r="D2080" s="2">
        <v>139.8881</v>
      </c>
    </row>
    <row r="2081">
      <c r="A2081" s="4">
        <v>45231.0</v>
      </c>
      <c r="B2081" s="2">
        <v>1666593.0</v>
      </c>
      <c r="C2081" s="2">
        <v>4950101.0</v>
      </c>
      <c r="D2081" s="2">
        <v>35.8023</v>
      </c>
    </row>
    <row r="2082">
      <c r="A2082" s="4">
        <v>45231.0</v>
      </c>
      <c r="B2082" s="2">
        <v>1713693.0</v>
      </c>
      <c r="C2082" s="2">
        <v>4951145.0</v>
      </c>
      <c r="D2082" s="2">
        <v>44.6076</v>
      </c>
    </row>
    <row r="2083">
      <c r="A2083" s="4">
        <v>45231.0</v>
      </c>
      <c r="B2083" s="2">
        <v>1478463.0</v>
      </c>
      <c r="C2083" s="2">
        <v>4954381.0</v>
      </c>
      <c r="D2083" s="2">
        <v>38.8600999999999</v>
      </c>
    </row>
    <row r="2084">
      <c r="A2084" s="4">
        <v>45231.0</v>
      </c>
      <c r="B2084" s="2">
        <v>1156023.0</v>
      </c>
      <c r="C2084" s="2">
        <v>4948497.0</v>
      </c>
      <c r="D2084" s="2">
        <v>52.2951</v>
      </c>
    </row>
    <row r="2085">
      <c r="A2085" s="4">
        <v>45231.0</v>
      </c>
      <c r="B2085" s="2">
        <v>1102863.0</v>
      </c>
      <c r="C2085" s="2">
        <v>4955961.0</v>
      </c>
      <c r="D2085" s="2">
        <v>48.8151</v>
      </c>
    </row>
    <row r="2086">
      <c r="A2086" s="4">
        <v>45231.0</v>
      </c>
      <c r="B2086" s="2">
        <v>1567323.0</v>
      </c>
      <c r="C2086" s="2">
        <v>4955737.0</v>
      </c>
      <c r="D2086" s="2">
        <v>105.581299999999</v>
      </c>
    </row>
    <row r="2087">
      <c r="A2087" s="4">
        <v>45231.0</v>
      </c>
      <c r="B2087" s="2">
        <v>1714173.0</v>
      </c>
      <c r="C2087" s="2">
        <v>4952909.0</v>
      </c>
      <c r="D2087" s="2">
        <v>17.794</v>
      </c>
    </row>
    <row r="2088">
      <c r="A2088" s="4">
        <v>44976.0</v>
      </c>
      <c r="B2088" s="2">
        <v>1519083.0</v>
      </c>
      <c r="C2088" s="2">
        <v>4229780.0</v>
      </c>
      <c r="D2088" s="2">
        <v>114.5912</v>
      </c>
    </row>
    <row r="2089">
      <c r="A2089" s="4">
        <v>44976.0</v>
      </c>
      <c r="B2089" s="2">
        <v>392763.0</v>
      </c>
      <c r="C2089" s="2">
        <v>4230584.0</v>
      </c>
      <c r="D2089" s="2">
        <v>141.9572</v>
      </c>
    </row>
    <row r="2090">
      <c r="A2090" s="4">
        <v>44976.0</v>
      </c>
      <c r="B2090" s="2">
        <v>1531503.0</v>
      </c>
      <c r="C2090" s="2">
        <v>4231129.0</v>
      </c>
      <c r="D2090" s="2">
        <v>28.6854999999999</v>
      </c>
    </row>
    <row r="2091">
      <c r="A2091" s="4">
        <v>44976.0</v>
      </c>
      <c r="B2091" s="2">
        <v>1530993.0</v>
      </c>
      <c r="C2091" s="2">
        <v>4229339.0</v>
      </c>
      <c r="D2091" s="2">
        <v>111.8484</v>
      </c>
    </row>
    <row r="2092">
      <c r="A2092" s="4">
        <v>44976.0</v>
      </c>
      <c r="B2092" s="2">
        <v>1455873.0</v>
      </c>
      <c r="C2092" s="2">
        <v>4228619.0</v>
      </c>
      <c r="D2092" s="2">
        <v>74.3893</v>
      </c>
    </row>
    <row r="2093">
      <c r="A2093" s="4">
        <v>45232.0</v>
      </c>
      <c r="B2093" s="2">
        <v>1717773.0</v>
      </c>
      <c r="C2093" s="2">
        <v>4965445.0</v>
      </c>
      <c r="D2093" s="2">
        <v>19.16</v>
      </c>
    </row>
    <row r="2094">
      <c r="A2094" s="4">
        <v>45232.0</v>
      </c>
      <c r="B2094" s="2">
        <v>1716813.0</v>
      </c>
      <c r="C2094" s="2">
        <v>4962481.0</v>
      </c>
      <c r="D2094" s="2">
        <v>62.6583</v>
      </c>
    </row>
    <row r="2095">
      <c r="A2095" s="4">
        <v>45232.0</v>
      </c>
      <c r="B2095" s="2">
        <v>1715973.0</v>
      </c>
      <c r="C2095" s="2">
        <v>4959165.0</v>
      </c>
      <c r="D2095" s="2">
        <v>19.9917</v>
      </c>
    </row>
    <row r="2096">
      <c r="A2096" s="4">
        <v>45232.0</v>
      </c>
      <c r="B2096" s="2">
        <v>1716513.0</v>
      </c>
      <c r="C2096" s="2">
        <v>4961141.0</v>
      </c>
      <c r="D2096" s="2">
        <v>34.07</v>
      </c>
    </row>
    <row r="2097">
      <c r="A2097" s="4">
        <v>45232.0</v>
      </c>
      <c r="B2097" s="2">
        <v>1717833.0</v>
      </c>
      <c r="C2097" s="2">
        <v>4965689.0</v>
      </c>
      <c r="D2097" s="2">
        <v>249.2964</v>
      </c>
    </row>
    <row r="2098">
      <c r="A2098" s="4">
        <v>45232.0</v>
      </c>
      <c r="B2098" s="2">
        <v>1718073.0</v>
      </c>
      <c r="C2098" s="2">
        <v>4966509.0</v>
      </c>
      <c r="D2098" s="2">
        <v>21.3037</v>
      </c>
    </row>
    <row r="2099">
      <c r="A2099" s="4">
        <v>44977.0</v>
      </c>
      <c r="B2099" s="2">
        <v>1345623.0</v>
      </c>
      <c r="C2099" s="2">
        <v>4233721.0</v>
      </c>
      <c r="D2099" s="2">
        <v>39.3333</v>
      </c>
    </row>
    <row r="2100">
      <c r="A2100" s="4">
        <v>44977.0</v>
      </c>
      <c r="B2100" s="2">
        <v>1077423.0</v>
      </c>
      <c r="C2100" s="2">
        <v>4233080.0</v>
      </c>
      <c r="D2100" s="2">
        <v>201.0529</v>
      </c>
    </row>
    <row r="2101">
      <c r="A2101" s="4">
        <v>44977.0</v>
      </c>
      <c r="B2101" s="2">
        <v>1530873.0</v>
      </c>
      <c r="C2101" s="2">
        <v>4231899.0</v>
      </c>
      <c r="D2101" s="2">
        <v>73.0364999999999</v>
      </c>
    </row>
    <row r="2102">
      <c r="A2102" s="4">
        <v>44977.0</v>
      </c>
      <c r="B2102" s="2">
        <v>1433553.0</v>
      </c>
      <c r="C2102" s="2">
        <v>4232270.0</v>
      </c>
      <c r="D2102" s="2">
        <v>51.7703</v>
      </c>
    </row>
    <row r="2103">
      <c r="A2103" s="4">
        <v>44977.0</v>
      </c>
      <c r="B2103" s="2">
        <v>1531563.0</v>
      </c>
      <c r="C2103" s="2">
        <v>4231375.0</v>
      </c>
      <c r="D2103" s="2">
        <v>35.4408</v>
      </c>
    </row>
    <row r="2104">
      <c r="A2104" s="4">
        <v>45233.0</v>
      </c>
      <c r="B2104" s="2">
        <v>1137723.0</v>
      </c>
      <c r="C2104" s="2">
        <v>4971945.0</v>
      </c>
      <c r="D2104" s="2">
        <v>116.1214</v>
      </c>
    </row>
    <row r="2105">
      <c r="A2105" s="4">
        <v>45233.0</v>
      </c>
      <c r="B2105" s="2">
        <v>1719333.0</v>
      </c>
      <c r="C2105" s="2">
        <v>4970629.0</v>
      </c>
      <c r="D2105" s="2">
        <v>40.2893</v>
      </c>
    </row>
    <row r="2106">
      <c r="A2106" s="4">
        <v>45233.0</v>
      </c>
      <c r="B2106" s="2">
        <v>1715553.0</v>
      </c>
      <c r="C2106" s="2">
        <v>4967953.0</v>
      </c>
      <c r="D2106" s="2">
        <v>45.4208</v>
      </c>
    </row>
    <row r="2107">
      <c r="A2107" s="4">
        <v>45233.0</v>
      </c>
      <c r="B2107" s="2">
        <v>1561233.0</v>
      </c>
      <c r="C2107" s="2">
        <v>4974993.0</v>
      </c>
      <c r="D2107" s="2">
        <v>72.6789</v>
      </c>
    </row>
    <row r="2108">
      <c r="A2108" s="4">
        <v>45233.0</v>
      </c>
      <c r="B2108" s="2">
        <v>1648083.0</v>
      </c>
      <c r="C2108" s="2">
        <v>4976509.0</v>
      </c>
      <c r="D2108" s="2">
        <v>73.7425</v>
      </c>
    </row>
    <row r="2109">
      <c r="A2109" s="4">
        <v>45233.0</v>
      </c>
      <c r="B2109" s="2">
        <v>1653453.0</v>
      </c>
      <c r="C2109" s="2">
        <v>4968865.0</v>
      </c>
      <c r="D2109" s="2">
        <v>63.951</v>
      </c>
    </row>
    <row r="2110">
      <c r="A2110" s="4">
        <v>45233.0</v>
      </c>
      <c r="B2110" s="2">
        <v>1287393.0</v>
      </c>
      <c r="C2110" s="2">
        <v>4969601.0</v>
      </c>
      <c r="D2110" s="2">
        <v>135.6927</v>
      </c>
    </row>
    <row r="2111">
      <c r="A2111" s="4">
        <v>44978.0</v>
      </c>
      <c r="B2111" s="2">
        <v>1089273.0</v>
      </c>
      <c r="C2111" s="2">
        <v>4235184.0</v>
      </c>
      <c r="D2111" s="2">
        <v>72.8164</v>
      </c>
    </row>
    <row r="2112">
      <c r="A2112" s="4">
        <v>44978.0</v>
      </c>
      <c r="B2112" s="2">
        <v>996933.0</v>
      </c>
      <c r="C2112" s="2">
        <v>4234573.0</v>
      </c>
      <c r="D2112" s="2">
        <v>191.673</v>
      </c>
    </row>
    <row r="2113">
      <c r="A2113" s="4">
        <v>44978.0</v>
      </c>
      <c r="B2113" s="2">
        <v>1286103.0</v>
      </c>
      <c r="C2113" s="2">
        <v>4236320.0</v>
      </c>
      <c r="D2113" s="2">
        <v>195.442099999999</v>
      </c>
    </row>
    <row r="2114">
      <c r="A2114" s="4">
        <v>44978.0</v>
      </c>
      <c r="B2114" s="2">
        <v>1306983.0</v>
      </c>
      <c r="C2114" s="2">
        <v>4235751.0</v>
      </c>
      <c r="D2114" s="2">
        <v>139.9049</v>
      </c>
    </row>
    <row r="2115">
      <c r="A2115" s="4">
        <v>45234.0</v>
      </c>
      <c r="B2115" s="2">
        <v>1547883.0</v>
      </c>
      <c r="C2115" s="2">
        <v>4988373.0</v>
      </c>
      <c r="D2115" s="2">
        <v>64.971</v>
      </c>
    </row>
    <row r="2116">
      <c r="A2116" s="4">
        <v>45234.0</v>
      </c>
      <c r="B2116" s="2">
        <v>1046973.0</v>
      </c>
      <c r="C2116" s="2">
        <v>4990881.0</v>
      </c>
      <c r="D2116" s="2">
        <v>128.3237</v>
      </c>
    </row>
    <row r="2117">
      <c r="A2117" s="4">
        <v>45234.0</v>
      </c>
      <c r="B2117" s="2">
        <v>1542783.0</v>
      </c>
      <c r="C2117" s="2">
        <v>4987217.0</v>
      </c>
      <c r="D2117" s="2">
        <v>40.3921999999999</v>
      </c>
    </row>
    <row r="2118">
      <c r="A2118" s="4">
        <v>45234.0</v>
      </c>
      <c r="B2118" s="2">
        <v>1725153.0</v>
      </c>
      <c r="C2118" s="2">
        <v>4990897.0</v>
      </c>
      <c r="D2118" s="2">
        <v>69.7571</v>
      </c>
    </row>
    <row r="2119">
      <c r="A2119" s="4">
        <v>45234.0</v>
      </c>
      <c r="B2119" s="2">
        <v>1405893.0</v>
      </c>
      <c r="C2119" s="2">
        <v>4984369.0</v>
      </c>
      <c r="D2119" s="2">
        <v>136.3213</v>
      </c>
    </row>
    <row r="2120">
      <c r="A2120" s="4">
        <v>44979.0</v>
      </c>
      <c r="B2120" s="2">
        <v>1533183.0</v>
      </c>
      <c r="C2120" s="2">
        <v>4238398.0</v>
      </c>
      <c r="D2120" s="2">
        <v>92.7715999999999</v>
      </c>
    </row>
    <row r="2121">
      <c r="A2121" s="4">
        <v>44979.0</v>
      </c>
      <c r="B2121" s="2">
        <v>1379253.0</v>
      </c>
      <c r="C2121" s="2">
        <v>4237679.0</v>
      </c>
      <c r="D2121" s="2">
        <v>87.8023</v>
      </c>
    </row>
    <row r="2122">
      <c r="A2122" s="4">
        <v>44979.0</v>
      </c>
      <c r="B2122" s="2">
        <v>1533273.0</v>
      </c>
      <c r="C2122" s="2">
        <v>4238191.0</v>
      </c>
      <c r="D2122" s="2">
        <v>149.9925</v>
      </c>
    </row>
    <row r="2123">
      <c r="A2123" s="4">
        <v>44979.0</v>
      </c>
      <c r="B2123" s="2">
        <v>1318413.0</v>
      </c>
      <c r="C2123" s="2">
        <v>4238284.0</v>
      </c>
      <c r="D2123" s="2">
        <v>65.9238</v>
      </c>
    </row>
    <row r="2124">
      <c r="A2124" s="4">
        <v>44979.0</v>
      </c>
      <c r="B2124" s="2">
        <v>1504203.0</v>
      </c>
      <c r="C2124" s="2">
        <v>4236492.0</v>
      </c>
      <c r="D2124" s="2">
        <v>184.575</v>
      </c>
    </row>
    <row r="2125">
      <c r="A2125" s="4">
        <v>45235.0</v>
      </c>
      <c r="B2125" s="2">
        <v>1723353.0</v>
      </c>
      <c r="C2125" s="2">
        <v>5001337.0</v>
      </c>
      <c r="D2125" s="2">
        <v>94.4529999999999</v>
      </c>
    </row>
    <row r="2126">
      <c r="A2126" s="4">
        <v>45235.0</v>
      </c>
      <c r="B2126" s="2">
        <v>473733.0</v>
      </c>
      <c r="C2126" s="2">
        <v>4995509.0</v>
      </c>
      <c r="D2126" s="2">
        <v>29.97</v>
      </c>
    </row>
    <row r="2127">
      <c r="A2127" s="4">
        <v>45235.0</v>
      </c>
      <c r="B2127" s="2">
        <v>1426383.0</v>
      </c>
      <c r="C2127" s="2">
        <v>4997497.0</v>
      </c>
      <c r="D2127" s="2">
        <v>86.5262999999999</v>
      </c>
    </row>
    <row r="2128">
      <c r="A2128" s="4">
        <v>45235.0</v>
      </c>
      <c r="B2128" s="2">
        <v>1728633.0</v>
      </c>
      <c r="C2128" s="2">
        <v>5005025.0</v>
      </c>
      <c r="D2128" s="2">
        <v>14.5577</v>
      </c>
    </row>
    <row r="2129">
      <c r="A2129" s="4">
        <v>45235.0</v>
      </c>
      <c r="B2129" s="2">
        <v>1334313.0</v>
      </c>
      <c r="C2129" s="2">
        <v>5004785.0</v>
      </c>
      <c r="D2129" s="2">
        <v>38.4722</v>
      </c>
    </row>
    <row r="2130">
      <c r="A2130" s="4">
        <v>45235.0</v>
      </c>
      <c r="B2130" s="2">
        <v>1217883.0</v>
      </c>
      <c r="C2130" s="2">
        <v>4996017.0</v>
      </c>
      <c r="D2130" s="2">
        <v>100.192199999999</v>
      </c>
    </row>
    <row r="2131">
      <c r="A2131" s="4">
        <v>45235.0</v>
      </c>
      <c r="B2131" s="2">
        <v>1725633.0</v>
      </c>
      <c r="C2131" s="2">
        <v>4993005.0</v>
      </c>
      <c r="D2131" s="2">
        <v>59.7498</v>
      </c>
    </row>
    <row r="2132">
      <c r="A2132" s="4">
        <v>45235.0</v>
      </c>
      <c r="B2132" s="2">
        <v>1726653.0</v>
      </c>
      <c r="C2132" s="2">
        <v>5007249.0</v>
      </c>
      <c r="D2132" s="2">
        <v>63.0739</v>
      </c>
    </row>
    <row r="2133">
      <c r="A2133" s="4">
        <v>45235.0</v>
      </c>
      <c r="B2133" s="2">
        <v>1727013.0</v>
      </c>
      <c r="C2133" s="2">
        <v>4999101.0</v>
      </c>
      <c r="D2133" s="2">
        <v>73.8661</v>
      </c>
    </row>
    <row r="2134">
      <c r="A2134" s="4">
        <v>45235.0</v>
      </c>
      <c r="B2134" s="2">
        <v>1727193.0</v>
      </c>
      <c r="C2134" s="2">
        <v>5002085.0</v>
      </c>
      <c r="D2134" s="2">
        <v>15.25</v>
      </c>
    </row>
    <row r="2135">
      <c r="A2135" s="4">
        <v>45235.0</v>
      </c>
      <c r="B2135" s="2">
        <v>1722093.0</v>
      </c>
      <c r="C2135" s="2">
        <v>5006305.0</v>
      </c>
      <c r="D2135" s="2">
        <v>64.9425</v>
      </c>
    </row>
    <row r="2136">
      <c r="A2136" s="4">
        <v>45235.0</v>
      </c>
      <c r="B2136" s="2">
        <v>174933.0</v>
      </c>
      <c r="C2136" s="2">
        <v>4996749.0</v>
      </c>
      <c r="D2136" s="2">
        <v>85.8708</v>
      </c>
    </row>
    <row r="2137">
      <c r="A2137" s="4">
        <v>44980.0</v>
      </c>
      <c r="B2137" s="2">
        <v>1510953.0</v>
      </c>
      <c r="C2137" s="2">
        <v>4239262.0</v>
      </c>
      <c r="D2137" s="2">
        <v>189.352899999999</v>
      </c>
    </row>
    <row r="2138">
      <c r="A2138" s="4">
        <v>44980.0</v>
      </c>
      <c r="B2138" s="2">
        <v>1532433.0</v>
      </c>
      <c r="C2138" s="2">
        <v>4239554.0</v>
      </c>
      <c r="D2138" s="2">
        <v>10.5326999999999</v>
      </c>
    </row>
    <row r="2139">
      <c r="A2139" s="4">
        <v>45236.0</v>
      </c>
      <c r="B2139" s="2">
        <v>1305483.0</v>
      </c>
      <c r="C2139" s="2">
        <v>5017352.0</v>
      </c>
      <c r="D2139" s="2">
        <v>72.7959</v>
      </c>
    </row>
    <row r="2140">
      <c r="A2140" s="4">
        <v>45236.0</v>
      </c>
      <c r="B2140" s="2">
        <v>1712253.0</v>
      </c>
      <c r="C2140" s="2">
        <v>5008681.0</v>
      </c>
      <c r="D2140" s="2">
        <v>129.8483</v>
      </c>
    </row>
    <row r="2141">
      <c r="A2141" s="4">
        <v>45236.0</v>
      </c>
      <c r="B2141" s="2">
        <v>1732233.0</v>
      </c>
      <c r="C2141" s="2">
        <v>5018490.0</v>
      </c>
      <c r="D2141" s="2">
        <v>12.1011</v>
      </c>
    </row>
    <row r="2142">
      <c r="A2142" s="4">
        <v>45236.0</v>
      </c>
      <c r="B2142" s="2">
        <v>1729773.0</v>
      </c>
      <c r="C2142" s="2">
        <v>5009285.0</v>
      </c>
      <c r="D2142" s="2">
        <v>26.2084</v>
      </c>
    </row>
    <row r="2143">
      <c r="A2143" s="4">
        <v>45236.0</v>
      </c>
      <c r="B2143" s="2">
        <v>1729293.0</v>
      </c>
      <c r="C2143" s="2">
        <v>5007705.0</v>
      </c>
      <c r="D2143" s="2">
        <v>68.258</v>
      </c>
    </row>
    <row r="2144">
      <c r="A2144" s="4">
        <v>45236.0</v>
      </c>
      <c r="B2144" s="2">
        <v>265773.0</v>
      </c>
      <c r="C2144" s="2">
        <v>5015921.0</v>
      </c>
      <c r="D2144" s="2">
        <v>81.5713</v>
      </c>
    </row>
    <row r="2145">
      <c r="A2145" s="4">
        <v>45236.0</v>
      </c>
      <c r="B2145" s="2">
        <v>1452153.0</v>
      </c>
      <c r="C2145" s="2">
        <v>5015571.0</v>
      </c>
      <c r="D2145" s="2">
        <v>42.1076</v>
      </c>
    </row>
    <row r="2146">
      <c r="A2146" s="4">
        <v>45236.0</v>
      </c>
      <c r="B2146" s="2">
        <v>1719633.0</v>
      </c>
      <c r="C2146" s="2">
        <v>5012345.0</v>
      </c>
      <c r="D2146" s="2">
        <v>74.0</v>
      </c>
    </row>
    <row r="2147">
      <c r="A2147" s="4">
        <v>45236.0</v>
      </c>
      <c r="B2147" s="2">
        <v>1732233.0</v>
      </c>
      <c r="C2147" s="2">
        <v>5018537.0</v>
      </c>
      <c r="D2147" s="2">
        <v>12.1011</v>
      </c>
    </row>
    <row r="2148">
      <c r="A2148" s="4">
        <v>45236.0</v>
      </c>
      <c r="B2148" s="2">
        <v>1151883.0</v>
      </c>
      <c r="C2148" s="2">
        <v>5012253.0</v>
      </c>
      <c r="D2148" s="2">
        <v>82.2524</v>
      </c>
    </row>
    <row r="2149">
      <c r="A2149" s="4">
        <v>45236.0</v>
      </c>
      <c r="B2149" s="2">
        <v>1077423.0</v>
      </c>
      <c r="C2149" s="2">
        <v>5018199.0</v>
      </c>
      <c r="D2149" s="2">
        <v>65.5821999999999</v>
      </c>
    </row>
    <row r="2150">
      <c r="A2150" s="4">
        <v>44981.0</v>
      </c>
      <c r="B2150" s="2">
        <v>1292223.0</v>
      </c>
      <c r="C2150" s="2">
        <v>4241945.0</v>
      </c>
      <c r="D2150" s="2">
        <v>57.585</v>
      </c>
    </row>
    <row r="2151">
      <c r="A2151" s="4">
        <v>44981.0</v>
      </c>
      <c r="B2151" s="2">
        <v>1534473.0</v>
      </c>
      <c r="C2151" s="2">
        <v>4242528.0</v>
      </c>
      <c r="D2151" s="2">
        <v>47.0947999999999</v>
      </c>
    </row>
    <row r="2152">
      <c r="A2152" s="4">
        <v>44981.0</v>
      </c>
      <c r="B2152" s="2">
        <v>1413543.0</v>
      </c>
      <c r="C2152" s="2">
        <v>4242207.0</v>
      </c>
      <c r="D2152" s="2">
        <v>110.687099999999</v>
      </c>
    </row>
    <row r="2153">
      <c r="A2153" s="4">
        <v>44981.0</v>
      </c>
      <c r="B2153" s="2">
        <v>1534623.0</v>
      </c>
      <c r="C2153" s="2">
        <v>4243026.0</v>
      </c>
      <c r="D2153" s="2">
        <v>36.1186</v>
      </c>
    </row>
    <row r="2154">
      <c r="A2154" s="4">
        <v>45237.0</v>
      </c>
      <c r="B2154" s="2">
        <v>1734513.0</v>
      </c>
      <c r="C2154" s="2">
        <v>5026839.0</v>
      </c>
      <c r="D2154" s="2">
        <v>7.4925</v>
      </c>
    </row>
    <row r="2155">
      <c r="A2155" s="4">
        <v>45237.0</v>
      </c>
      <c r="B2155" s="2">
        <v>1732683.0</v>
      </c>
      <c r="C2155" s="2">
        <v>5019903.0</v>
      </c>
      <c r="D2155" s="2">
        <v>21.9253</v>
      </c>
    </row>
    <row r="2156">
      <c r="A2156" s="4">
        <v>45237.0</v>
      </c>
      <c r="B2156" s="2">
        <v>231213.0</v>
      </c>
      <c r="C2156" s="2">
        <v>5021800.0</v>
      </c>
      <c r="D2156" s="2">
        <v>122.7764</v>
      </c>
    </row>
    <row r="2157">
      <c r="A2157" s="4">
        <v>45237.0</v>
      </c>
      <c r="B2157" s="2">
        <v>1733913.0</v>
      </c>
      <c r="C2157" s="2">
        <v>5024571.0</v>
      </c>
      <c r="D2157" s="2">
        <v>63.125</v>
      </c>
    </row>
    <row r="2158">
      <c r="A2158" s="4">
        <v>45237.0</v>
      </c>
      <c r="B2158" s="2">
        <v>1733643.0</v>
      </c>
      <c r="C2158" s="2">
        <v>5026836.0</v>
      </c>
      <c r="D2158" s="2">
        <v>60.4651999999999</v>
      </c>
    </row>
    <row r="2159">
      <c r="A2159" s="4">
        <v>45237.0</v>
      </c>
      <c r="B2159" s="2">
        <v>1194483.0</v>
      </c>
      <c r="C2159" s="2">
        <v>5026983.0</v>
      </c>
      <c r="D2159" s="2">
        <v>96.0927</v>
      </c>
    </row>
    <row r="2160">
      <c r="A2160" s="4">
        <v>45237.0</v>
      </c>
      <c r="B2160" s="2">
        <v>1594803.0</v>
      </c>
      <c r="C2160" s="2">
        <v>5028006.0</v>
      </c>
      <c r="D2160" s="2">
        <v>26.6455999999999</v>
      </c>
    </row>
    <row r="2161">
      <c r="A2161" s="4">
        <v>45237.0</v>
      </c>
      <c r="B2161" s="2">
        <v>1733193.0</v>
      </c>
      <c r="C2161" s="2">
        <v>5021830.0</v>
      </c>
      <c r="D2161" s="2">
        <v>28.1916</v>
      </c>
    </row>
    <row r="2162">
      <c r="A2162" s="4">
        <v>44982.0</v>
      </c>
      <c r="B2162" s="2">
        <v>1535313.0</v>
      </c>
      <c r="C2162" s="2">
        <v>4245647.0</v>
      </c>
      <c r="D2162" s="2">
        <v>21.1868</v>
      </c>
    </row>
    <row r="2163">
      <c r="A2163" s="4">
        <v>44982.0</v>
      </c>
      <c r="B2163" s="2">
        <v>234783.0</v>
      </c>
      <c r="C2163" s="2">
        <v>4246063.0</v>
      </c>
      <c r="D2163" s="2">
        <v>280.8655</v>
      </c>
    </row>
    <row r="2164">
      <c r="A2164" s="4">
        <v>44982.0</v>
      </c>
      <c r="B2164" s="2">
        <v>1535193.0</v>
      </c>
      <c r="C2164" s="2">
        <v>4245185.0</v>
      </c>
      <c r="D2164" s="2">
        <v>72.3672</v>
      </c>
    </row>
    <row r="2165">
      <c r="A2165" s="4">
        <v>44982.0</v>
      </c>
      <c r="B2165" s="2">
        <v>1535343.0</v>
      </c>
      <c r="C2165" s="2">
        <v>4245835.0</v>
      </c>
      <c r="D2165" s="2">
        <v>13.8714</v>
      </c>
    </row>
    <row r="2166">
      <c r="A2166" s="4">
        <v>44982.0</v>
      </c>
      <c r="B2166" s="2">
        <v>437733.0</v>
      </c>
      <c r="C2166" s="2">
        <v>4245824.0</v>
      </c>
      <c r="D2166" s="2">
        <v>63.8097999999999</v>
      </c>
    </row>
    <row r="2167">
      <c r="A2167" s="4">
        <v>44982.0</v>
      </c>
      <c r="B2167" s="2">
        <v>367683.0</v>
      </c>
      <c r="C2167" s="2">
        <v>4245184.0</v>
      </c>
      <c r="D2167" s="2">
        <v>47.0530999999999</v>
      </c>
    </row>
    <row r="2168">
      <c r="A2168" s="4">
        <v>44982.0</v>
      </c>
      <c r="B2168" s="2">
        <v>1533513.0</v>
      </c>
      <c r="C2168" s="2">
        <v>4244424.0</v>
      </c>
      <c r="D2168" s="2">
        <v>105.9297</v>
      </c>
    </row>
    <row r="2169">
      <c r="A2169" s="4">
        <v>44982.0</v>
      </c>
      <c r="B2169" s="2">
        <v>1389153.0</v>
      </c>
      <c r="C2169" s="2">
        <v>4245404.0</v>
      </c>
      <c r="D2169" s="2">
        <v>29.7536</v>
      </c>
    </row>
    <row r="2170">
      <c r="A2170" s="4">
        <v>44982.0</v>
      </c>
      <c r="B2170" s="2">
        <v>1074813.0</v>
      </c>
      <c r="C2170" s="2">
        <v>4246217.0</v>
      </c>
      <c r="D2170" s="2">
        <v>58.8634999999999</v>
      </c>
    </row>
    <row r="2171">
      <c r="A2171" s="4">
        <v>45238.0</v>
      </c>
      <c r="B2171" s="2">
        <v>1736403.0</v>
      </c>
      <c r="C2171" s="2">
        <v>5033751.0</v>
      </c>
      <c r="D2171" s="2">
        <v>15.8738</v>
      </c>
    </row>
    <row r="2172">
      <c r="A2172" s="4">
        <v>45238.0</v>
      </c>
      <c r="B2172" s="2">
        <v>1737573.0</v>
      </c>
      <c r="C2172" s="2">
        <v>5037864.0</v>
      </c>
      <c r="D2172" s="2">
        <v>13.2227</v>
      </c>
    </row>
    <row r="2173">
      <c r="A2173" s="4">
        <v>45238.0</v>
      </c>
      <c r="B2173" s="2">
        <v>1736073.0</v>
      </c>
      <c r="C2173" s="2">
        <v>5035581.0</v>
      </c>
      <c r="D2173" s="2">
        <v>19.6818</v>
      </c>
    </row>
    <row r="2174">
      <c r="A2174" s="4">
        <v>45238.0</v>
      </c>
      <c r="B2174" s="2">
        <v>1628463.0</v>
      </c>
      <c r="C2174" s="2">
        <v>5035521.0</v>
      </c>
      <c r="D2174" s="2">
        <v>38.4205999999999</v>
      </c>
    </row>
    <row r="2175">
      <c r="A2175" s="4">
        <v>45238.0</v>
      </c>
      <c r="B2175" s="2">
        <v>1736763.0</v>
      </c>
      <c r="C2175" s="2">
        <v>5035032.0</v>
      </c>
      <c r="D2175" s="2">
        <v>16.3317</v>
      </c>
    </row>
    <row r="2176">
      <c r="A2176" s="4">
        <v>45238.0</v>
      </c>
      <c r="B2176" s="2">
        <v>1499163.0</v>
      </c>
      <c r="C2176" s="2">
        <v>5032128.0</v>
      </c>
      <c r="D2176" s="2">
        <v>100.7644</v>
      </c>
    </row>
    <row r="2177">
      <c r="A2177" s="4">
        <v>45238.0</v>
      </c>
      <c r="B2177" s="2">
        <v>1128333.0</v>
      </c>
      <c r="C2177" s="2">
        <v>5034666.0</v>
      </c>
      <c r="D2177" s="2">
        <v>67.9974</v>
      </c>
    </row>
    <row r="2178">
      <c r="A2178" s="4">
        <v>45238.0</v>
      </c>
      <c r="B2178" s="2">
        <v>1733463.0</v>
      </c>
      <c r="C2178" s="2">
        <v>5032332.0</v>
      </c>
      <c r="D2178" s="2">
        <v>25.6944</v>
      </c>
    </row>
    <row r="2179">
      <c r="A2179" s="4">
        <v>45238.0</v>
      </c>
      <c r="B2179" s="2">
        <v>1513473.0</v>
      </c>
      <c r="C2179" s="2">
        <v>5030750.0</v>
      </c>
      <c r="D2179" s="2">
        <v>105.334899999999</v>
      </c>
    </row>
    <row r="2180">
      <c r="A2180" s="4">
        <v>45238.0</v>
      </c>
      <c r="B2180" s="2">
        <v>1737453.0</v>
      </c>
      <c r="C2180" s="2">
        <v>5037390.0</v>
      </c>
      <c r="D2180" s="2">
        <v>41.4021</v>
      </c>
    </row>
    <row r="2181">
      <c r="A2181" s="4">
        <v>44983.0</v>
      </c>
      <c r="B2181" s="2">
        <v>1511583.0</v>
      </c>
      <c r="C2181" s="2">
        <v>4247828.0</v>
      </c>
      <c r="D2181" s="2">
        <v>69.3168</v>
      </c>
    </row>
    <row r="2182">
      <c r="A2182" s="4">
        <v>44983.0</v>
      </c>
      <c r="B2182" s="2">
        <v>1536243.0</v>
      </c>
      <c r="C2182" s="2">
        <v>4249206.0</v>
      </c>
      <c r="D2182" s="2">
        <v>166.0</v>
      </c>
    </row>
    <row r="2183">
      <c r="A2183" s="4">
        <v>44983.0</v>
      </c>
      <c r="B2183" s="2">
        <v>1536243.0</v>
      </c>
      <c r="C2183" s="2">
        <v>4249257.0</v>
      </c>
      <c r="D2183" s="2">
        <v>145.3334</v>
      </c>
    </row>
    <row r="2184">
      <c r="A2184" s="4">
        <v>44983.0</v>
      </c>
      <c r="B2184" s="2">
        <v>1511853.0</v>
      </c>
      <c r="C2184" s="2">
        <v>4247049.0</v>
      </c>
      <c r="D2184" s="2">
        <v>43.8997999999999</v>
      </c>
    </row>
    <row r="2185">
      <c r="A2185" s="4">
        <v>44983.0</v>
      </c>
      <c r="B2185" s="2">
        <v>1155453.0</v>
      </c>
      <c r="C2185" s="2">
        <v>4247986.0</v>
      </c>
      <c r="D2185" s="2">
        <v>52.3105999999999</v>
      </c>
    </row>
    <row r="2186">
      <c r="A2186" s="4">
        <v>44983.0</v>
      </c>
      <c r="B2186" s="2">
        <v>248073.0</v>
      </c>
      <c r="C2186" s="2">
        <v>4249721.0</v>
      </c>
      <c r="D2186" s="2">
        <v>67.0313</v>
      </c>
    </row>
    <row r="2187">
      <c r="A2187" s="4">
        <v>44983.0</v>
      </c>
      <c r="B2187" s="2">
        <v>1400133.0</v>
      </c>
      <c r="C2187" s="2">
        <v>4250150.0</v>
      </c>
      <c r="D2187" s="2">
        <v>20.4849</v>
      </c>
    </row>
    <row r="2188">
      <c r="A2188" s="4">
        <v>44983.0</v>
      </c>
      <c r="B2188" s="2">
        <v>1261383.0</v>
      </c>
      <c r="C2188" s="2">
        <v>4248159.0</v>
      </c>
      <c r="D2188" s="2">
        <v>128.4222</v>
      </c>
    </row>
    <row r="2189">
      <c r="A2189" s="4">
        <v>45239.0</v>
      </c>
      <c r="B2189" s="2">
        <v>1737153.0</v>
      </c>
      <c r="C2189" s="2">
        <v>5040309.0</v>
      </c>
      <c r="D2189" s="2">
        <v>34.8134</v>
      </c>
    </row>
    <row r="2190">
      <c r="A2190" s="4">
        <v>45239.0</v>
      </c>
      <c r="B2190" s="2">
        <v>1739193.0</v>
      </c>
      <c r="C2190" s="2">
        <v>5043999.0</v>
      </c>
      <c r="D2190" s="2">
        <v>7.123</v>
      </c>
    </row>
    <row r="2191">
      <c r="A2191" s="4">
        <v>45239.0</v>
      </c>
      <c r="B2191" s="2">
        <v>1604373.0</v>
      </c>
      <c r="C2191" s="2">
        <v>5043408.0</v>
      </c>
      <c r="D2191" s="2">
        <v>69.3674999999999</v>
      </c>
    </row>
    <row r="2192">
      <c r="A2192" s="4">
        <v>45239.0</v>
      </c>
      <c r="B2192" s="2">
        <v>1739073.0</v>
      </c>
      <c r="C2192" s="2">
        <v>5043555.0</v>
      </c>
      <c r="D2192" s="2">
        <v>25.5799</v>
      </c>
    </row>
    <row r="2193">
      <c r="A2193" s="4">
        <v>45239.0</v>
      </c>
      <c r="B2193" s="2">
        <v>1678863.0</v>
      </c>
      <c r="C2193" s="2">
        <v>5040588.0</v>
      </c>
      <c r="D2193" s="2">
        <v>49.2912</v>
      </c>
    </row>
    <row r="2194">
      <c r="A2194" s="4">
        <v>45239.0</v>
      </c>
      <c r="B2194" s="2">
        <v>1737723.0</v>
      </c>
      <c r="C2194" s="2">
        <v>5038503.0</v>
      </c>
      <c r="D2194" s="2">
        <v>39.0833</v>
      </c>
    </row>
    <row r="2195">
      <c r="A2195" s="4">
        <v>45239.0</v>
      </c>
      <c r="B2195" s="2">
        <v>1738623.0</v>
      </c>
      <c r="C2195" s="2">
        <v>5041920.0</v>
      </c>
      <c r="D2195" s="2">
        <v>7.1175</v>
      </c>
    </row>
    <row r="2196">
      <c r="A2196" s="4">
        <v>45239.0</v>
      </c>
      <c r="B2196" s="2">
        <v>1630143.0</v>
      </c>
      <c r="C2196" s="2">
        <v>5038026.0</v>
      </c>
      <c r="D2196" s="2">
        <v>13.8</v>
      </c>
    </row>
    <row r="2197">
      <c r="A2197" s="4">
        <v>45239.0</v>
      </c>
      <c r="B2197" s="2">
        <v>1626093.0</v>
      </c>
      <c r="C2197" s="2">
        <v>5045655.0</v>
      </c>
      <c r="D2197" s="2">
        <v>94.0054</v>
      </c>
    </row>
    <row r="2198">
      <c r="A2198" s="4">
        <v>44984.0</v>
      </c>
      <c r="B2198" s="2">
        <v>481893.0</v>
      </c>
      <c r="C2198" s="2">
        <v>4251056.0</v>
      </c>
      <c r="D2198" s="2">
        <v>88.2918</v>
      </c>
    </row>
    <row r="2199">
      <c r="A2199" s="4">
        <v>44984.0</v>
      </c>
      <c r="B2199" s="2">
        <v>1427553.0</v>
      </c>
      <c r="C2199" s="2">
        <v>4251787.0</v>
      </c>
      <c r="D2199" s="2">
        <v>96.7128</v>
      </c>
    </row>
    <row r="2200">
      <c r="A2200" s="4">
        <v>44984.0</v>
      </c>
      <c r="B2200" s="2">
        <v>1151883.0</v>
      </c>
      <c r="C2200" s="2">
        <v>4250452.0</v>
      </c>
      <c r="D2200" s="2">
        <v>68.6422999999999</v>
      </c>
    </row>
    <row r="2201">
      <c r="A2201" s="4">
        <v>44984.0</v>
      </c>
      <c r="B2201" s="2">
        <v>323583.0</v>
      </c>
      <c r="C2201" s="2">
        <v>4252001.0</v>
      </c>
      <c r="D2201" s="2">
        <v>120.2137</v>
      </c>
    </row>
    <row r="2202">
      <c r="A2202" s="4">
        <v>44984.0</v>
      </c>
      <c r="B2202" s="2">
        <v>1537083.0</v>
      </c>
      <c r="C2202" s="2">
        <v>4252460.0</v>
      </c>
      <c r="D2202" s="2">
        <v>23.1787</v>
      </c>
    </row>
    <row r="2203">
      <c r="A2203" s="4">
        <v>44984.0</v>
      </c>
      <c r="B2203" s="2">
        <v>1536903.0</v>
      </c>
      <c r="C2203" s="2">
        <v>4251840.0</v>
      </c>
      <c r="D2203" s="2">
        <v>49.2479</v>
      </c>
    </row>
    <row r="2204">
      <c r="A2204" s="4">
        <v>44984.0</v>
      </c>
      <c r="B2204" s="2">
        <v>1440333.0</v>
      </c>
      <c r="C2204" s="2">
        <v>4252138.0</v>
      </c>
      <c r="D2204" s="2">
        <v>62.9332</v>
      </c>
    </row>
    <row r="2205">
      <c r="A2205" s="4">
        <v>44984.0</v>
      </c>
      <c r="B2205" s="2">
        <v>1536813.0</v>
      </c>
      <c r="C2205" s="2">
        <v>4251568.0</v>
      </c>
      <c r="D2205" s="2">
        <v>13.825</v>
      </c>
    </row>
    <row r="2206">
      <c r="A2206" s="4">
        <v>44984.0</v>
      </c>
      <c r="B2206" s="2">
        <v>1447083.0</v>
      </c>
      <c r="C2206" s="2">
        <v>4253213.0</v>
      </c>
      <c r="D2206" s="2">
        <v>129.0496</v>
      </c>
    </row>
    <row r="2207">
      <c r="A2207" s="4">
        <v>44984.0</v>
      </c>
      <c r="B2207" s="2">
        <v>1537203.0</v>
      </c>
      <c r="C2207" s="2">
        <v>4253124.0</v>
      </c>
      <c r="D2207" s="2">
        <v>30.59</v>
      </c>
    </row>
    <row r="2208">
      <c r="A2208" s="4">
        <v>45240.0</v>
      </c>
      <c r="B2208" s="2">
        <v>1197873.0</v>
      </c>
      <c r="C2208" s="2">
        <v>5051592.0</v>
      </c>
      <c r="D2208" s="2">
        <v>54.5919</v>
      </c>
    </row>
    <row r="2209">
      <c r="A2209" s="4">
        <v>45240.0</v>
      </c>
      <c r="B2209" s="2">
        <v>1738983.0</v>
      </c>
      <c r="C2209" s="2">
        <v>5047890.0</v>
      </c>
      <c r="D2209" s="2">
        <v>108.8089</v>
      </c>
    </row>
    <row r="2210">
      <c r="A2210" s="4">
        <v>45240.0</v>
      </c>
      <c r="B2210" s="2">
        <v>1740243.0</v>
      </c>
      <c r="C2210" s="2">
        <v>5051352.0</v>
      </c>
      <c r="D2210" s="2">
        <v>64.7388</v>
      </c>
    </row>
    <row r="2211">
      <c r="A2211" s="4">
        <v>45240.0</v>
      </c>
      <c r="B2211" s="2">
        <v>1740963.0</v>
      </c>
      <c r="C2211" s="2">
        <v>5049714.0</v>
      </c>
      <c r="D2211" s="2">
        <v>5.6881</v>
      </c>
    </row>
    <row r="2212">
      <c r="A2212" s="4">
        <v>45240.0</v>
      </c>
      <c r="B2212" s="2">
        <v>1741833.0</v>
      </c>
      <c r="C2212" s="2">
        <v>5052600.0</v>
      </c>
      <c r="D2212" s="2">
        <v>28.2</v>
      </c>
    </row>
    <row r="2213">
      <c r="A2213" s="4">
        <v>45240.0</v>
      </c>
      <c r="B2213" s="2">
        <v>1607913.0</v>
      </c>
      <c r="C2213" s="2">
        <v>5051721.0</v>
      </c>
      <c r="D2213" s="2">
        <v>216.6608</v>
      </c>
    </row>
    <row r="2214">
      <c r="A2214" s="4">
        <v>45240.0</v>
      </c>
      <c r="B2214" s="2">
        <v>1740453.0</v>
      </c>
      <c r="C2214" s="2">
        <v>5048148.0</v>
      </c>
      <c r="D2214" s="2">
        <v>85.8334</v>
      </c>
    </row>
    <row r="2215">
      <c r="A2215" s="4">
        <v>45240.0</v>
      </c>
      <c r="B2215" s="2">
        <v>1138083.0</v>
      </c>
      <c r="C2215" s="2">
        <v>5052156.0</v>
      </c>
      <c r="D2215" s="2">
        <v>149.9933</v>
      </c>
    </row>
    <row r="2216">
      <c r="A2216" s="4">
        <v>44985.0</v>
      </c>
      <c r="B2216" s="2">
        <v>1478823.0</v>
      </c>
      <c r="C2216" s="2">
        <v>4253760.0</v>
      </c>
      <c r="D2216" s="2">
        <v>69.7266</v>
      </c>
    </row>
    <row r="2217">
      <c r="A2217" s="4">
        <v>44985.0</v>
      </c>
      <c r="B2217" s="2">
        <v>1339833.0</v>
      </c>
      <c r="C2217" s="2">
        <v>4255698.0</v>
      </c>
      <c r="D2217" s="2">
        <v>44.8109999999999</v>
      </c>
    </row>
    <row r="2218">
      <c r="A2218" s="4">
        <v>44985.0</v>
      </c>
      <c r="B2218" s="2">
        <v>473733.0</v>
      </c>
      <c r="C2218" s="2">
        <v>4254211.0</v>
      </c>
      <c r="D2218" s="2">
        <v>29.04</v>
      </c>
    </row>
    <row r="2219">
      <c r="A2219" s="4">
        <v>44985.0</v>
      </c>
      <c r="B2219" s="2">
        <v>1405383.0</v>
      </c>
      <c r="C2219" s="2">
        <v>4253765.0</v>
      </c>
      <c r="D2219" s="2">
        <v>111.9592</v>
      </c>
    </row>
    <row r="2220">
      <c r="A2220" s="4">
        <v>44985.0</v>
      </c>
      <c r="B2220" s="2">
        <v>359103.0</v>
      </c>
      <c r="C2220" s="2">
        <v>4253645.0</v>
      </c>
      <c r="D2220" s="2">
        <v>2.75</v>
      </c>
    </row>
    <row r="2221">
      <c r="A2221" s="4">
        <v>44985.0</v>
      </c>
      <c r="B2221" s="2">
        <v>1335123.0</v>
      </c>
      <c r="C2221" s="2">
        <v>4254075.0</v>
      </c>
      <c r="D2221" s="2">
        <v>87.7316999999999</v>
      </c>
    </row>
    <row r="2222">
      <c r="A2222" s="4">
        <v>44985.0</v>
      </c>
      <c r="B2222" s="2">
        <v>1058073.0</v>
      </c>
      <c r="C2222" s="2">
        <v>4253943.0</v>
      </c>
      <c r="D2222" s="2">
        <v>96.4122</v>
      </c>
    </row>
    <row r="2223">
      <c r="A2223" s="4">
        <v>45241.0</v>
      </c>
      <c r="B2223" s="2">
        <v>1744533.0</v>
      </c>
      <c r="C2223" s="2">
        <v>5061690.0</v>
      </c>
      <c r="D2223" s="2">
        <v>12.6792</v>
      </c>
    </row>
    <row r="2224">
      <c r="A2224" s="4">
        <v>45241.0</v>
      </c>
      <c r="B2224" s="2">
        <v>1496013.0</v>
      </c>
      <c r="C2224" s="2">
        <v>5055957.0</v>
      </c>
      <c r="D2224" s="2">
        <v>169.729599999999</v>
      </c>
    </row>
    <row r="2225">
      <c r="A2225" s="4">
        <v>45241.0</v>
      </c>
      <c r="B2225" s="2">
        <v>1744983.0</v>
      </c>
      <c r="C2225" s="2">
        <v>5063154.0</v>
      </c>
      <c r="D2225" s="2">
        <v>28.2084</v>
      </c>
    </row>
    <row r="2226">
      <c r="A2226" s="4">
        <v>45241.0</v>
      </c>
      <c r="B2226" s="2">
        <v>1073343.0</v>
      </c>
      <c r="C2226" s="2">
        <v>5064483.0</v>
      </c>
      <c r="D2226" s="2">
        <v>29.2499999999999</v>
      </c>
    </row>
    <row r="2227">
      <c r="A2227" s="4">
        <v>45241.0</v>
      </c>
      <c r="B2227" s="2">
        <v>359853.0</v>
      </c>
      <c r="C2227" s="2">
        <v>5066556.0</v>
      </c>
      <c r="D2227" s="2">
        <v>203.3333</v>
      </c>
    </row>
    <row r="2228">
      <c r="A2228" s="4">
        <v>45241.0</v>
      </c>
      <c r="B2228" s="2">
        <v>1151013.0</v>
      </c>
      <c r="C2228" s="2">
        <v>5056890.0</v>
      </c>
      <c r="D2228" s="2">
        <v>133.0804</v>
      </c>
    </row>
    <row r="2229">
      <c r="A2229" s="4">
        <v>45241.0</v>
      </c>
      <c r="B2229" s="2">
        <v>1745733.0</v>
      </c>
      <c r="C2229" s="2">
        <v>5065905.0</v>
      </c>
      <c r="D2229" s="2">
        <v>52.8938</v>
      </c>
    </row>
    <row r="2230">
      <c r="A2230" s="4">
        <v>45241.0</v>
      </c>
      <c r="B2230" s="2">
        <v>1741923.0</v>
      </c>
      <c r="C2230" s="2">
        <v>5055984.0</v>
      </c>
      <c r="D2230" s="2">
        <v>31.8679</v>
      </c>
    </row>
    <row r="2231">
      <c r="A2231" s="4">
        <v>45241.0</v>
      </c>
      <c r="B2231" s="2">
        <v>1625403.0</v>
      </c>
      <c r="C2231" s="2">
        <v>5056821.0</v>
      </c>
      <c r="D2231" s="2">
        <v>38.7392</v>
      </c>
    </row>
    <row r="2232">
      <c r="A2232" s="4">
        <v>45241.0</v>
      </c>
      <c r="B2232" s="2">
        <v>228423.0</v>
      </c>
      <c r="C2232" s="2">
        <v>5063478.0</v>
      </c>
      <c r="D2232" s="2">
        <v>216.0071</v>
      </c>
    </row>
    <row r="2233">
      <c r="A2233" s="4">
        <v>45241.0</v>
      </c>
      <c r="B2233" s="2">
        <v>1745193.0</v>
      </c>
      <c r="C2233" s="2">
        <v>5064225.0</v>
      </c>
      <c r="D2233" s="2">
        <v>39.626</v>
      </c>
    </row>
    <row r="2234">
      <c r="A2234" s="4">
        <v>45241.0</v>
      </c>
      <c r="B2234" s="2">
        <v>1743963.0</v>
      </c>
      <c r="C2234" s="2">
        <v>5059869.0</v>
      </c>
      <c r="D2234" s="2">
        <v>20.186</v>
      </c>
    </row>
    <row r="2235">
      <c r="A2235" s="4">
        <v>45241.0</v>
      </c>
      <c r="B2235" s="2">
        <v>1744563.0</v>
      </c>
      <c r="C2235" s="2">
        <v>5066946.0</v>
      </c>
      <c r="D2235" s="2">
        <v>70.1958</v>
      </c>
    </row>
    <row r="2236">
      <c r="A2236" s="4">
        <v>45241.0</v>
      </c>
      <c r="B2236" s="2">
        <v>1745163.0</v>
      </c>
      <c r="C2236" s="2">
        <v>5063793.0</v>
      </c>
      <c r="D2236" s="2">
        <v>19.485</v>
      </c>
    </row>
    <row r="2237">
      <c r="A2237" s="4">
        <v>45241.0</v>
      </c>
      <c r="B2237" s="2">
        <v>1743453.0</v>
      </c>
      <c r="C2237" s="2">
        <v>5058084.0</v>
      </c>
      <c r="D2237" s="2">
        <v>28.9834</v>
      </c>
    </row>
    <row r="2238">
      <c r="A2238" s="4">
        <v>45241.0</v>
      </c>
      <c r="B2238" s="2">
        <v>423153.0</v>
      </c>
      <c r="C2238" s="2">
        <v>5057751.0</v>
      </c>
      <c r="D2238" s="2">
        <v>152.2211</v>
      </c>
    </row>
    <row r="2239">
      <c r="A2239" s="4">
        <v>45241.0</v>
      </c>
      <c r="B2239" s="2">
        <v>1744893.0</v>
      </c>
      <c r="C2239" s="2">
        <v>5062782.0</v>
      </c>
      <c r="D2239" s="2">
        <v>118.653999999999</v>
      </c>
    </row>
    <row r="2240">
      <c r="A2240" s="4">
        <v>45241.0</v>
      </c>
      <c r="B2240" s="2">
        <v>1744383.0</v>
      </c>
      <c r="C2240" s="2">
        <v>5061162.0</v>
      </c>
      <c r="D2240" s="2">
        <v>19.7499</v>
      </c>
    </row>
    <row r="2241">
      <c r="A2241" s="4">
        <v>45241.0</v>
      </c>
      <c r="B2241" s="2">
        <v>1741863.0</v>
      </c>
      <c r="C2241" s="2">
        <v>5055894.0</v>
      </c>
      <c r="D2241" s="2">
        <v>11.925</v>
      </c>
    </row>
    <row r="2242">
      <c r="A2242" s="4">
        <v>45241.0</v>
      </c>
      <c r="B2242" s="2">
        <v>1746063.0</v>
      </c>
      <c r="C2242" s="2">
        <v>5067201.0</v>
      </c>
      <c r="D2242" s="2">
        <v>53.7346</v>
      </c>
    </row>
    <row r="2243">
      <c r="A2243" s="4">
        <v>45241.0</v>
      </c>
      <c r="B2243" s="2">
        <v>1455903.0</v>
      </c>
      <c r="C2243" s="2">
        <v>5061933.0</v>
      </c>
      <c r="D2243" s="2">
        <v>74.9951</v>
      </c>
    </row>
    <row r="2244">
      <c r="A2244" s="4">
        <v>44986.0</v>
      </c>
      <c r="B2244" s="2">
        <v>63963.0</v>
      </c>
      <c r="C2244" s="2">
        <v>4258897.0</v>
      </c>
      <c r="D2244" s="2">
        <v>38.9617</v>
      </c>
    </row>
    <row r="2245">
      <c r="A2245" s="4">
        <v>44986.0</v>
      </c>
      <c r="B2245" s="2">
        <v>91623.0</v>
      </c>
      <c r="C2245" s="2">
        <v>4256827.0</v>
      </c>
      <c r="D2245" s="2">
        <v>37.5816</v>
      </c>
    </row>
    <row r="2246">
      <c r="A2246" s="4">
        <v>44986.0</v>
      </c>
      <c r="B2246" s="2">
        <v>1539003.0</v>
      </c>
      <c r="C2246" s="2">
        <v>4259936.0</v>
      </c>
      <c r="D2246" s="2">
        <v>51.51</v>
      </c>
    </row>
    <row r="2247">
      <c r="A2247" s="4">
        <v>44986.0</v>
      </c>
      <c r="B2247" s="2">
        <v>477483.0</v>
      </c>
      <c r="C2247" s="2">
        <v>4257682.0</v>
      </c>
      <c r="D2247" s="2">
        <v>69.0351999999999</v>
      </c>
    </row>
    <row r="2248">
      <c r="A2248" s="4">
        <v>44986.0</v>
      </c>
      <c r="B2248" s="2">
        <v>1538223.0</v>
      </c>
      <c r="C2248" s="2">
        <v>4256777.0</v>
      </c>
      <c r="D2248" s="2">
        <v>15.825</v>
      </c>
    </row>
    <row r="2249">
      <c r="A2249" s="4">
        <v>44986.0</v>
      </c>
      <c r="B2249" s="2">
        <v>1539063.0</v>
      </c>
      <c r="C2249" s="2">
        <v>4260154.0</v>
      </c>
      <c r="D2249" s="2">
        <v>12.276</v>
      </c>
    </row>
    <row r="2250">
      <c r="A2250" s="4">
        <v>45242.0</v>
      </c>
      <c r="B2250" s="2">
        <v>1748823.0</v>
      </c>
      <c r="C2250" s="2">
        <v>5077821.0</v>
      </c>
      <c r="D2250" s="2">
        <v>36.3786</v>
      </c>
    </row>
    <row r="2251">
      <c r="A2251" s="4">
        <v>45242.0</v>
      </c>
      <c r="B2251" s="2">
        <v>1748163.0</v>
      </c>
      <c r="C2251" s="2">
        <v>5075238.0</v>
      </c>
      <c r="D2251" s="2">
        <v>40.4829</v>
      </c>
    </row>
    <row r="2252">
      <c r="A2252" s="4">
        <v>45242.0</v>
      </c>
      <c r="B2252" s="2">
        <v>1748493.0</v>
      </c>
      <c r="C2252" s="2">
        <v>5076462.0</v>
      </c>
      <c r="D2252" s="2">
        <v>21.6083</v>
      </c>
    </row>
    <row r="2253">
      <c r="A2253" s="4">
        <v>45242.0</v>
      </c>
      <c r="B2253" s="2">
        <v>996933.0</v>
      </c>
      <c r="C2253" s="2">
        <v>5074290.0</v>
      </c>
      <c r="D2253" s="2">
        <v>252.419299999999</v>
      </c>
    </row>
    <row r="2254">
      <c r="A2254" s="4">
        <v>45242.0</v>
      </c>
      <c r="B2254" s="2">
        <v>1533513.0</v>
      </c>
      <c r="C2254" s="2">
        <v>5069709.0</v>
      </c>
      <c r="D2254" s="2">
        <v>124.359599999999</v>
      </c>
    </row>
    <row r="2255">
      <c r="A2255" s="4">
        <v>45242.0</v>
      </c>
      <c r="B2255" s="2">
        <v>1409553.0</v>
      </c>
      <c r="C2255" s="2">
        <v>5069094.0</v>
      </c>
      <c r="D2255" s="2">
        <v>95.8068999999999</v>
      </c>
    </row>
    <row r="2256">
      <c r="A2256" s="4">
        <v>45242.0</v>
      </c>
      <c r="B2256" s="2">
        <v>1749123.0</v>
      </c>
      <c r="C2256" s="2">
        <v>5079285.0</v>
      </c>
      <c r="D2256" s="2">
        <v>24.9251999999999</v>
      </c>
    </row>
    <row r="2257">
      <c r="A2257" s="4">
        <v>45242.0</v>
      </c>
      <c r="B2257" s="2">
        <v>1615683.0</v>
      </c>
      <c r="C2257" s="2">
        <v>5077995.0</v>
      </c>
      <c r="D2257" s="2">
        <v>20.8708</v>
      </c>
    </row>
    <row r="2258">
      <c r="A2258" s="4">
        <v>45242.0</v>
      </c>
      <c r="B2258" s="2">
        <v>1588893.0</v>
      </c>
      <c r="C2258" s="2">
        <v>5073861.0</v>
      </c>
      <c r="D2258" s="2">
        <v>22.524</v>
      </c>
    </row>
    <row r="2259">
      <c r="A2259" s="4">
        <v>45242.0</v>
      </c>
      <c r="B2259" s="2">
        <v>146283.0</v>
      </c>
      <c r="C2259" s="2">
        <v>5076405.0</v>
      </c>
      <c r="D2259" s="2">
        <v>120.0834</v>
      </c>
    </row>
    <row r="2260">
      <c r="A2260" s="4">
        <v>45242.0</v>
      </c>
      <c r="B2260" s="2">
        <v>306303.0</v>
      </c>
      <c r="C2260" s="2">
        <v>5077800.0</v>
      </c>
      <c r="D2260" s="2">
        <v>97.0921</v>
      </c>
    </row>
    <row r="2261">
      <c r="A2261" s="4">
        <v>45242.0</v>
      </c>
      <c r="B2261" s="2">
        <v>77973.0</v>
      </c>
      <c r="C2261" s="2">
        <v>5068383.0</v>
      </c>
      <c r="D2261" s="2">
        <v>15.7332</v>
      </c>
    </row>
    <row r="2262">
      <c r="A2262" s="4">
        <v>45242.0</v>
      </c>
      <c r="B2262" s="2">
        <v>1236333.0</v>
      </c>
      <c r="C2262" s="2">
        <v>5076342.0</v>
      </c>
      <c r="D2262" s="2">
        <v>83.5784999999999</v>
      </c>
    </row>
    <row r="2263">
      <c r="A2263" s="4">
        <v>45242.0</v>
      </c>
      <c r="B2263" s="2">
        <v>1736523.0</v>
      </c>
      <c r="C2263" s="2">
        <v>5069304.0</v>
      </c>
      <c r="D2263" s="2">
        <v>52.2549</v>
      </c>
    </row>
    <row r="2264">
      <c r="A2264" s="4">
        <v>45242.0</v>
      </c>
      <c r="B2264" s="2">
        <v>1747713.0</v>
      </c>
      <c r="C2264" s="2">
        <v>5073891.0</v>
      </c>
      <c r="D2264" s="2">
        <v>29.5951</v>
      </c>
    </row>
    <row r="2265">
      <c r="A2265" s="4">
        <v>44987.0</v>
      </c>
      <c r="B2265" s="2">
        <v>1296513.0</v>
      </c>
      <c r="C2265" s="2">
        <v>4260995.0</v>
      </c>
      <c r="D2265" s="2">
        <v>45.003</v>
      </c>
    </row>
    <row r="2266">
      <c r="A2266" s="4">
        <v>44987.0</v>
      </c>
      <c r="B2266" s="2">
        <v>1327233.0</v>
      </c>
      <c r="C2266" s="2">
        <v>4260861.0</v>
      </c>
      <c r="D2266" s="2">
        <v>41.962</v>
      </c>
    </row>
    <row r="2267">
      <c r="A2267" s="4">
        <v>44987.0</v>
      </c>
      <c r="B2267" s="2">
        <v>1188093.0</v>
      </c>
      <c r="C2267" s="2">
        <v>4262623.0</v>
      </c>
      <c r="D2267" s="2">
        <v>36.0433</v>
      </c>
    </row>
    <row r="2268">
      <c r="A2268" s="4">
        <v>44987.0</v>
      </c>
      <c r="B2268" s="2">
        <v>1539153.0</v>
      </c>
      <c r="C2268" s="2">
        <v>4260471.0</v>
      </c>
      <c r="D2268" s="2">
        <v>14.8096</v>
      </c>
    </row>
    <row r="2269">
      <c r="A2269" s="4">
        <v>44987.0</v>
      </c>
      <c r="B2269" s="2">
        <v>1030023.0</v>
      </c>
      <c r="C2269" s="2">
        <v>4260798.0</v>
      </c>
      <c r="D2269" s="2">
        <v>76.8113</v>
      </c>
    </row>
    <row r="2270">
      <c r="A2270" s="4">
        <v>44987.0</v>
      </c>
      <c r="B2270" s="2">
        <v>1210233.0</v>
      </c>
      <c r="C2270" s="2">
        <v>4261754.0</v>
      </c>
      <c r="D2270" s="2">
        <v>33.7818</v>
      </c>
    </row>
    <row r="2271">
      <c r="A2271" s="4">
        <v>44987.0</v>
      </c>
      <c r="B2271" s="2">
        <v>1407333.0</v>
      </c>
      <c r="C2271" s="2">
        <v>4262022.0</v>
      </c>
      <c r="D2271" s="2">
        <v>57.1016999999999</v>
      </c>
    </row>
    <row r="2272">
      <c r="A2272" s="4">
        <v>45243.0</v>
      </c>
      <c r="B2272" s="2">
        <v>1749693.0</v>
      </c>
      <c r="C2272" s="2">
        <v>5082060.0</v>
      </c>
      <c r="D2272" s="2">
        <v>65.403</v>
      </c>
    </row>
    <row r="2273">
      <c r="A2273" s="4">
        <v>45243.0</v>
      </c>
      <c r="B2273" s="2">
        <v>1505163.0</v>
      </c>
      <c r="C2273" s="2">
        <v>5080434.0</v>
      </c>
      <c r="D2273" s="2">
        <v>101.101099999999</v>
      </c>
    </row>
    <row r="2274">
      <c r="A2274" s="4">
        <v>45243.0</v>
      </c>
      <c r="B2274" s="2">
        <v>1750653.0</v>
      </c>
      <c r="C2274" s="2">
        <v>5085018.0</v>
      </c>
      <c r="D2274" s="2">
        <v>31.9417999999999</v>
      </c>
    </row>
    <row r="2275">
      <c r="A2275" s="4">
        <v>45243.0</v>
      </c>
      <c r="B2275" s="2">
        <v>1750683.0</v>
      </c>
      <c r="C2275" s="2">
        <v>5085102.0</v>
      </c>
      <c r="D2275" s="2">
        <v>20.838</v>
      </c>
    </row>
    <row r="2276">
      <c r="A2276" s="4">
        <v>45243.0</v>
      </c>
      <c r="B2276" s="2">
        <v>1750443.0</v>
      </c>
      <c r="C2276" s="2">
        <v>5084250.0</v>
      </c>
      <c r="D2276" s="2">
        <v>71.7</v>
      </c>
    </row>
    <row r="2277">
      <c r="A2277" s="4">
        <v>45243.0</v>
      </c>
      <c r="B2277" s="2">
        <v>1750533.0</v>
      </c>
      <c r="C2277" s="2">
        <v>5084574.0</v>
      </c>
      <c r="D2277" s="2">
        <v>55.9341</v>
      </c>
    </row>
    <row r="2278">
      <c r="A2278" s="4">
        <v>45243.0</v>
      </c>
      <c r="B2278" s="2">
        <v>1750323.0</v>
      </c>
      <c r="C2278" s="2">
        <v>5083827.0</v>
      </c>
      <c r="D2278" s="2">
        <v>8.75</v>
      </c>
    </row>
    <row r="2279">
      <c r="A2279" s="4">
        <v>45243.0</v>
      </c>
      <c r="B2279" s="2">
        <v>1718313.0</v>
      </c>
      <c r="C2279" s="2">
        <v>5086428.0</v>
      </c>
      <c r="D2279" s="2">
        <v>90.625</v>
      </c>
    </row>
    <row r="2280">
      <c r="A2280" s="4">
        <v>45243.0</v>
      </c>
      <c r="B2280" s="2">
        <v>1751253.0</v>
      </c>
      <c r="C2280" s="2">
        <v>5086965.0</v>
      </c>
      <c r="D2280" s="2">
        <v>13.8239</v>
      </c>
    </row>
    <row r="2281">
      <c r="A2281" s="4">
        <v>45243.0</v>
      </c>
      <c r="B2281" s="2">
        <v>1519623.0</v>
      </c>
      <c r="C2281" s="2">
        <v>5087631.0</v>
      </c>
      <c r="D2281" s="2">
        <v>65.0312</v>
      </c>
    </row>
    <row r="2282">
      <c r="A2282" s="4">
        <v>45243.0</v>
      </c>
      <c r="B2282" s="2">
        <v>1669353.0</v>
      </c>
      <c r="C2282" s="2">
        <v>5079981.0</v>
      </c>
      <c r="D2282" s="2">
        <v>71.8741</v>
      </c>
    </row>
    <row r="2283">
      <c r="A2283" s="4">
        <v>45243.0</v>
      </c>
      <c r="B2283" s="2">
        <v>1407333.0</v>
      </c>
      <c r="C2283" s="2">
        <v>5085777.0</v>
      </c>
      <c r="D2283" s="2">
        <v>131.982299999999</v>
      </c>
    </row>
    <row r="2284">
      <c r="A2284" s="4">
        <v>45243.0</v>
      </c>
      <c r="B2284" s="2">
        <v>450963.0</v>
      </c>
      <c r="C2284" s="2">
        <v>5086302.0</v>
      </c>
      <c r="D2284" s="2">
        <v>66.421</v>
      </c>
    </row>
    <row r="2285">
      <c r="A2285" s="4">
        <v>44988.0</v>
      </c>
      <c r="B2285" s="2">
        <v>1423773.0</v>
      </c>
      <c r="C2285" s="2">
        <v>4263934.0</v>
      </c>
      <c r="D2285" s="2">
        <v>86.2032</v>
      </c>
    </row>
    <row r="2286">
      <c r="A2286" s="4">
        <v>44988.0</v>
      </c>
      <c r="B2286" s="2">
        <v>1046973.0</v>
      </c>
      <c r="C2286" s="2">
        <v>4263943.0</v>
      </c>
      <c r="D2286" s="2">
        <v>7.1104</v>
      </c>
    </row>
    <row r="2287">
      <c r="A2287" s="4">
        <v>44988.0</v>
      </c>
      <c r="B2287" s="2">
        <v>1434813.0</v>
      </c>
      <c r="C2287" s="2">
        <v>4263710.0</v>
      </c>
      <c r="D2287" s="2">
        <v>298.7627</v>
      </c>
    </row>
    <row r="2288">
      <c r="A2288" s="4">
        <v>44988.0</v>
      </c>
      <c r="B2288" s="2">
        <v>1167393.0</v>
      </c>
      <c r="C2288" s="2">
        <v>4264485.0</v>
      </c>
      <c r="D2288" s="2">
        <v>96.2865</v>
      </c>
    </row>
    <row r="2289">
      <c r="A2289" s="4">
        <v>44988.0</v>
      </c>
      <c r="B2289" s="2">
        <v>1441353.0</v>
      </c>
      <c r="C2289" s="2">
        <v>4264146.0</v>
      </c>
      <c r="D2289" s="2">
        <v>112.7866</v>
      </c>
    </row>
    <row r="2290">
      <c r="A2290" s="4">
        <v>44988.0</v>
      </c>
      <c r="B2290" s="2">
        <v>1458843.0</v>
      </c>
      <c r="C2290" s="2">
        <v>4263636.0</v>
      </c>
      <c r="D2290" s="2">
        <v>34.3700999999999</v>
      </c>
    </row>
    <row r="2291">
      <c r="A2291" s="4">
        <v>45244.0</v>
      </c>
      <c r="B2291" s="2">
        <v>1754043.0</v>
      </c>
      <c r="C2291" s="2">
        <v>5096802.0</v>
      </c>
      <c r="D2291" s="2">
        <v>78.1847</v>
      </c>
    </row>
    <row r="2292">
      <c r="A2292" s="4">
        <v>45244.0</v>
      </c>
      <c r="B2292" s="2">
        <v>1332093.0</v>
      </c>
      <c r="C2292" s="2">
        <v>5089167.0</v>
      </c>
      <c r="D2292" s="2">
        <v>38.5596</v>
      </c>
    </row>
    <row r="2293">
      <c r="A2293" s="4">
        <v>45244.0</v>
      </c>
      <c r="B2293" s="2">
        <v>1753053.0</v>
      </c>
      <c r="C2293" s="2">
        <v>5093655.0</v>
      </c>
      <c r="D2293" s="2">
        <v>25.0165</v>
      </c>
    </row>
    <row r="2294">
      <c r="A2294" s="4">
        <v>45244.0</v>
      </c>
      <c r="B2294" s="2">
        <v>217743.0</v>
      </c>
      <c r="C2294" s="2">
        <v>5094702.0</v>
      </c>
      <c r="D2294" s="2">
        <v>128.1811</v>
      </c>
    </row>
    <row r="2295">
      <c r="A2295" s="4">
        <v>45244.0</v>
      </c>
      <c r="B2295" s="2">
        <v>1752333.0</v>
      </c>
      <c r="C2295" s="2">
        <v>5091009.0</v>
      </c>
      <c r="D2295" s="2">
        <v>33.2917</v>
      </c>
    </row>
    <row r="2296">
      <c r="A2296" s="4">
        <v>45244.0</v>
      </c>
      <c r="B2296" s="2">
        <v>1754103.0</v>
      </c>
      <c r="C2296" s="2">
        <v>5097078.0</v>
      </c>
      <c r="D2296" s="2">
        <v>50.6261</v>
      </c>
    </row>
    <row r="2297">
      <c r="A2297" s="4">
        <v>45244.0</v>
      </c>
      <c r="B2297" s="2">
        <v>1535193.0</v>
      </c>
      <c r="C2297" s="2">
        <v>5092110.0</v>
      </c>
      <c r="D2297" s="2">
        <v>30.0199</v>
      </c>
    </row>
    <row r="2298">
      <c r="A2298" s="4">
        <v>45244.0</v>
      </c>
      <c r="B2298" s="2">
        <v>1752663.0</v>
      </c>
      <c r="C2298" s="2">
        <v>5092173.0</v>
      </c>
      <c r="D2298" s="2">
        <v>35.5522999999999</v>
      </c>
    </row>
    <row r="2299">
      <c r="A2299" s="4">
        <v>45244.0</v>
      </c>
      <c r="B2299" s="2">
        <v>1753773.0</v>
      </c>
      <c r="C2299" s="2">
        <v>5095848.0</v>
      </c>
      <c r="D2299" s="2">
        <v>54.5764</v>
      </c>
    </row>
    <row r="2300">
      <c r="A2300" s="4">
        <v>45244.0</v>
      </c>
      <c r="B2300" s="2">
        <v>62733.0</v>
      </c>
      <c r="C2300" s="2">
        <v>5096391.0</v>
      </c>
      <c r="D2300" s="2">
        <v>29.7</v>
      </c>
    </row>
    <row r="2301">
      <c r="A2301" s="4">
        <v>45244.0</v>
      </c>
      <c r="B2301" s="2">
        <v>1753443.0</v>
      </c>
      <c r="C2301" s="2">
        <v>5094837.0</v>
      </c>
      <c r="D2301" s="2">
        <v>35.0721</v>
      </c>
    </row>
    <row r="2302">
      <c r="A2302" s="4">
        <v>45244.0</v>
      </c>
      <c r="B2302" s="2">
        <v>1752153.0</v>
      </c>
      <c r="C2302" s="2">
        <v>5090427.0</v>
      </c>
      <c r="D2302" s="2">
        <v>78.8539</v>
      </c>
    </row>
    <row r="2303">
      <c r="A2303" s="4">
        <v>44989.0</v>
      </c>
      <c r="B2303" s="2">
        <v>257913.0</v>
      </c>
      <c r="C2303" s="2">
        <v>4269055.0</v>
      </c>
      <c r="D2303" s="2">
        <v>209.484899999999</v>
      </c>
    </row>
    <row r="2304">
      <c r="A2304" s="4">
        <v>44989.0</v>
      </c>
      <c r="B2304" s="2">
        <v>1530873.0</v>
      </c>
      <c r="C2304" s="2">
        <v>4267949.0</v>
      </c>
      <c r="D2304" s="2">
        <v>17.7327999999999</v>
      </c>
    </row>
    <row r="2305">
      <c r="A2305" s="4">
        <v>44989.0</v>
      </c>
      <c r="B2305" s="2">
        <v>1397703.0</v>
      </c>
      <c r="C2305" s="2">
        <v>4265624.0</v>
      </c>
      <c r="D2305" s="2">
        <v>44.6046</v>
      </c>
    </row>
    <row r="2306">
      <c r="A2306" s="4">
        <v>44989.0</v>
      </c>
      <c r="B2306" s="2">
        <v>1333263.0</v>
      </c>
      <c r="C2306" s="2">
        <v>4265496.0</v>
      </c>
      <c r="D2306" s="2">
        <v>110.5713</v>
      </c>
    </row>
    <row r="2307">
      <c r="A2307" s="4">
        <v>44989.0</v>
      </c>
      <c r="B2307" s="2">
        <v>491733.0</v>
      </c>
      <c r="C2307" s="2">
        <v>4267144.0</v>
      </c>
      <c r="D2307" s="2">
        <v>80.3816</v>
      </c>
    </row>
    <row r="2308">
      <c r="A2308" s="4">
        <v>45245.0</v>
      </c>
      <c r="B2308" s="2">
        <v>120213.0</v>
      </c>
      <c r="C2308" s="2">
        <v>5098704.0</v>
      </c>
      <c r="D2308" s="2">
        <v>65.6198</v>
      </c>
    </row>
    <row r="2309">
      <c r="A2309" s="4">
        <v>45245.0</v>
      </c>
      <c r="B2309" s="2">
        <v>1752903.0</v>
      </c>
      <c r="C2309" s="2">
        <v>5098719.0</v>
      </c>
      <c r="D2309" s="2">
        <v>65.7805999999999</v>
      </c>
    </row>
    <row r="2310">
      <c r="A2310" s="4">
        <v>45245.0</v>
      </c>
      <c r="B2310" s="2">
        <v>1360233.0</v>
      </c>
      <c r="C2310" s="2">
        <v>5103993.0</v>
      </c>
      <c r="D2310" s="2">
        <v>60.6553999999999</v>
      </c>
    </row>
    <row r="2311">
      <c r="A2311" s="4">
        <v>45245.0</v>
      </c>
      <c r="B2311" s="2">
        <v>334263.0</v>
      </c>
      <c r="C2311" s="2">
        <v>5099856.0</v>
      </c>
      <c r="D2311" s="2">
        <v>53.5336</v>
      </c>
    </row>
    <row r="2312">
      <c r="A2312" s="4">
        <v>45245.0</v>
      </c>
      <c r="B2312" s="2">
        <v>1756143.0</v>
      </c>
      <c r="C2312" s="2">
        <v>5105115.0</v>
      </c>
      <c r="D2312" s="2">
        <v>72.2358</v>
      </c>
    </row>
    <row r="2313">
      <c r="A2313" s="4">
        <v>45245.0</v>
      </c>
      <c r="B2313" s="2">
        <v>1755453.0</v>
      </c>
      <c r="C2313" s="2">
        <v>5102163.0</v>
      </c>
      <c r="D2313" s="2">
        <v>28.3263</v>
      </c>
    </row>
    <row r="2314">
      <c r="A2314" s="4">
        <v>45245.0</v>
      </c>
      <c r="B2314" s="2">
        <v>1754433.0</v>
      </c>
      <c r="C2314" s="2">
        <v>5098143.0</v>
      </c>
      <c r="D2314" s="2">
        <v>17.2763</v>
      </c>
    </row>
    <row r="2315">
      <c r="A2315" s="4">
        <v>45245.0</v>
      </c>
      <c r="B2315" s="2">
        <v>1367703.0</v>
      </c>
      <c r="C2315" s="2">
        <v>5102112.0</v>
      </c>
      <c r="D2315" s="2">
        <v>42.8498</v>
      </c>
    </row>
    <row r="2316">
      <c r="A2316" s="4">
        <v>44990.0</v>
      </c>
      <c r="B2316" s="2">
        <v>1541583.0</v>
      </c>
      <c r="C2316" s="2">
        <v>4269377.0</v>
      </c>
      <c r="D2316" s="2">
        <v>25.7361</v>
      </c>
    </row>
    <row r="2317">
      <c r="A2317" s="4">
        <v>44990.0</v>
      </c>
      <c r="B2317" s="2">
        <v>1058073.0</v>
      </c>
      <c r="C2317" s="2">
        <v>4270740.0</v>
      </c>
      <c r="D2317" s="2">
        <v>5.7333</v>
      </c>
    </row>
    <row r="2318">
      <c r="A2318" s="4">
        <v>44990.0</v>
      </c>
      <c r="B2318" s="2">
        <v>1418553.0</v>
      </c>
      <c r="C2318" s="2">
        <v>4269637.0</v>
      </c>
      <c r="D2318" s="2">
        <v>57.4128</v>
      </c>
    </row>
    <row r="2319">
      <c r="A2319" s="4">
        <v>44990.0</v>
      </c>
      <c r="B2319" s="2">
        <v>1542183.0</v>
      </c>
      <c r="C2319" s="2">
        <v>4271813.0</v>
      </c>
      <c r="D2319" s="2">
        <v>87.427</v>
      </c>
    </row>
    <row r="2320">
      <c r="A2320" s="4">
        <v>44990.0</v>
      </c>
      <c r="B2320" s="2">
        <v>1344573.0</v>
      </c>
      <c r="C2320" s="2">
        <v>4269663.0</v>
      </c>
      <c r="D2320" s="2">
        <v>93.0666</v>
      </c>
    </row>
    <row r="2321">
      <c r="A2321" s="4">
        <v>44990.0</v>
      </c>
      <c r="B2321" s="2">
        <v>1286103.0</v>
      </c>
      <c r="C2321" s="2">
        <v>4269301.0</v>
      </c>
      <c r="D2321" s="2">
        <v>180.393</v>
      </c>
    </row>
    <row r="2322">
      <c r="A2322" s="4">
        <v>44990.0</v>
      </c>
      <c r="B2322" s="2">
        <v>1542243.0</v>
      </c>
      <c r="C2322" s="2">
        <v>4271939.0</v>
      </c>
      <c r="D2322" s="2">
        <v>12.3667</v>
      </c>
    </row>
    <row r="2323">
      <c r="A2323" s="4">
        <v>44990.0</v>
      </c>
      <c r="B2323" s="2">
        <v>242553.0</v>
      </c>
      <c r="C2323" s="2">
        <v>4272076.0</v>
      </c>
      <c r="D2323" s="2">
        <v>49.8576</v>
      </c>
    </row>
    <row r="2324">
      <c r="A2324" s="4">
        <v>45246.0</v>
      </c>
      <c r="B2324" s="2">
        <v>1757463.0</v>
      </c>
      <c r="C2324" s="2">
        <v>5109249.0</v>
      </c>
      <c r="D2324" s="2">
        <v>57.2068</v>
      </c>
    </row>
    <row r="2325">
      <c r="A2325" s="4">
        <v>45246.0</v>
      </c>
      <c r="B2325" s="2">
        <v>423153.0</v>
      </c>
      <c r="C2325" s="2">
        <v>5112255.0</v>
      </c>
      <c r="D2325" s="2">
        <v>60.5423</v>
      </c>
    </row>
    <row r="2326">
      <c r="A2326" s="4">
        <v>45246.0</v>
      </c>
      <c r="B2326" s="2">
        <v>1341933.0</v>
      </c>
      <c r="C2326" s="2">
        <v>5110290.0</v>
      </c>
      <c r="D2326" s="2">
        <v>34.8904</v>
      </c>
    </row>
    <row r="2327">
      <c r="A2327" s="4">
        <v>45246.0</v>
      </c>
      <c r="B2327" s="2">
        <v>1738923.0</v>
      </c>
      <c r="C2327" s="2">
        <v>5111967.0</v>
      </c>
      <c r="D2327" s="2">
        <v>53.068</v>
      </c>
    </row>
    <row r="2328">
      <c r="A2328" s="4">
        <v>45246.0</v>
      </c>
      <c r="B2328" s="2">
        <v>63723.0</v>
      </c>
      <c r="C2328" s="2">
        <v>5107212.0</v>
      </c>
      <c r="D2328" s="2">
        <v>51.8204</v>
      </c>
    </row>
    <row r="2329">
      <c r="A2329" s="4">
        <v>45246.0</v>
      </c>
      <c r="B2329" s="2">
        <v>1757493.0</v>
      </c>
      <c r="C2329" s="2">
        <v>5109231.0</v>
      </c>
      <c r="D2329" s="2">
        <v>53.0427</v>
      </c>
    </row>
    <row r="2330">
      <c r="A2330" s="4">
        <v>45246.0</v>
      </c>
      <c r="B2330" s="2">
        <v>1746933.0</v>
      </c>
      <c r="C2330" s="2">
        <v>5109831.0</v>
      </c>
      <c r="D2330" s="2">
        <v>58.3553</v>
      </c>
    </row>
    <row r="2331">
      <c r="A2331" s="4">
        <v>45246.0</v>
      </c>
      <c r="B2331" s="2">
        <v>1757193.0</v>
      </c>
      <c r="C2331" s="2">
        <v>5108364.0</v>
      </c>
      <c r="D2331" s="2">
        <v>99.033</v>
      </c>
    </row>
    <row r="2332">
      <c r="A2332" s="4">
        <v>45246.0</v>
      </c>
      <c r="B2332" s="2">
        <v>1757973.0</v>
      </c>
      <c r="C2332" s="2">
        <v>5110875.0</v>
      </c>
      <c r="D2332" s="2">
        <v>45.9166</v>
      </c>
    </row>
    <row r="2333">
      <c r="A2333" s="4">
        <v>45246.0</v>
      </c>
      <c r="B2333" s="2">
        <v>1758423.0</v>
      </c>
      <c r="C2333" s="2">
        <v>5112333.0</v>
      </c>
      <c r="D2333" s="2">
        <v>17.5355</v>
      </c>
    </row>
    <row r="2334">
      <c r="A2334" s="4">
        <v>44991.0</v>
      </c>
      <c r="B2334" s="2">
        <v>1543143.0</v>
      </c>
      <c r="C2334" s="2">
        <v>4275340.0</v>
      </c>
      <c r="D2334" s="2">
        <v>64.4381</v>
      </c>
    </row>
    <row r="2335">
      <c r="A2335" s="4">
        <v>44991.0</v>
      </c>
      <c r="B2335" s="2">
        <v>1185603.0</v>
      </c>
      <c r="C2335" s="2">
        <v>4274771.0</v>
      </c>
      <c r="D2335" s="2">
        <v>58.7314</v>
      </c>
    </row>
    <row r="2336">
      <c r="A2336" s="4">
        <v>44991.0</v>
      </c>
      <c r="B2336" s="2">
        <v>366003.0</v>
      </c>
      <c r="C2336" s="2">
        <v>4274384.0</v>
      </c>
      <c r="D2336" s="2">
        <v>99.5199999999999</v>
      </c>
    </row>
    <row r="2337">
      <c r="A2337" s="4">
        <v>44991.0</v>
      </c>
      <c r="B2337" s="2">
        <v>1543353.0</v>
      </c>
      <c r="C2337" s="2">
        <v>4276005.0</v>
      </c>
      <c r="D2337" s="2">
        <v>25.7338</v>
      </c>
    </row>
    <row r="2338">
      <c r="A2338" s="4">
        <v>44991.0</v>
      </c>
      <c r="B2338" s="2">
        <v>1542783.0</v>
      </c>
      <c r="C2338" s="2">
        <v>4274593.0</v>
      </c>
      <c r="D2338" s="2">
        <v>36.875</v>
      </c>
    </row>
    <row r="2339">
      <c r="A2339" s="4">
        <v>44991.0</v>
      </c>
      <c r="B2339" s="2">
        <v>1542573.0</v>
      </c>
      <c r="C2339" s="2">
        <v>4273404.0</v>
      </c>
      <c r="D2339" s="2">
        <v>14.9917</v>
      </c>
    </row>
    <row r="2340">
      <c r="A2340" s="4">
        <v>44991.0</v>
      </c>
      <c r="B2340" s="2">
        <v>318843.0</v>
      </c>
      <c r="C2340" s="2">
        <v>4274927.0</v>
      </c>
      <c r="D2340" s="2">
        <v>38.1946</v>
      </c>
    </row>
    <row r="2341">
      <c r="A2341" s="4">
        <v>44991.0</v>
      </c>
      <c r="B2341" s="2">
        <v>1542813.0</v>
      </c>
      <c r="C2341" s="2">
        <v>4274215.0</v>
      </c>
      <c r="D2341" s="2">
        <v>29.9834</v>
      </c>
    </row>
    <row r="2342">
      <c r="A2342" s="4">
        <v>45247.0</v>
      </c>
      <c r="B2342" s="2">
        <v>1760403.0</v>
      </c>
      <c r="C2342" s="2">
        <v>5119611.0</v>
      </c>
      <c r="D2342" s="2">
        <v>115.8333</v>
      </c>
    </row>
    <row r="2343">
      <c r="A2343" s="4">
        <v>45247.0</v>
      </c>
      <c r="B2343" s="2">
        <v>1759473.0</v>
      </c>
      <c r="C2343" s="2">
        <v>5116098.0</v>
      </c>
      <c r="D2343" s="2">
        <v>31.6666</v>
      </c>
    </row>
    <row r="2344">
      <c r="A2344" s="4">
        <v>45247.0</v>
      </c>
      <c r="B2344" s="2">
        <v>1759143.0</v>
      </c>
      <c r="C2344" s="2">
        <v>5114967.0</v>
      </c>
      <c r="D2344" s="2">
        <v>27.1191</v>
      </c>
    </row>
    <row r="2345">
      <c r="A2345" s="4">
        <v>45247.0</v>
      </c>
      <c r="B2345" s="2">
        <v>1759533.0</v>
      </c>
      <c r="C2345" s="2">
        <v>5116644.0</v>
      </c>
      <c r="D2345" s="2">
        <v>57.8018999999999</v>
      </c>
    </row>
    <row r="2346">
      <c r="A2346" s="4">
        <v>45247.0</v>
      </c>
      <c r="B2346" s="2">
        <v>1407333.0</v>
      </c>
      <c r="C2346" s="2">
        <v>5117631.0</v>
      </c>
      <c r="D2346" s="2">
        <v>104.5679</v>
      </c>
    </row>
    <row r="2347">
      <c r="A2347" s="4">
        <v>45247.0</v>
      </c>
      <c r="B2347" s="2">
        <v>1237893.0</v>
      </c>
      <c r="C2347" s="2">
        <v>5118333.0</v>
      </c>
      <c r="D2347" s="2">
        <v>108.591199999999</v>
      </c>
    </row>
    <row r="2348">
      <c r="A2348" s="4">
        <v>45247.0</v>
      </c>
      <c r="B2348" s="2">
        <v>1510383.0</v>
      </c>
      <c r="C2348" s="2">
        <v>5118624.0</v>
      </c>
      <c r="D2348" s="2">
        <v>80.5513</v>
      </c>
    </row>
    <row r="2349">
      <c r="A2349" s="4">
        <v>45247.0</v>
      </c>
      <c r="B2349" s="2">
        <v>1759293.0</v>
      </c>
      <c r="C2349" s="2">
        <v>5115546.0</v>
      </c>
      <c r="D2349" s="2">
        <v>24.9167</v>
      </c>
    </row>
    <row r="2350">
      <c r="A2350" s="4">
        <v>45247.0</v>
      </c>
      <c r="B2350" s="2">
        <v>1245363.0</v>
      </c>
      <c r="C2350" s="2">
        <v>5120928.0</v>
      </c>
      <c r="D2350" s="2">
        <v>71.651</v>
      </c>
    </row>
    <row r="2351">
      <c r="A2351" s="4">
        <v>45247.0</v>
      </c>
      <c r="B2351" s="2">
        <v>1760613.0</v>
      </c>
      <c r="C2351" s="2">
        <v>5120085.0</v>
      </c>
      <c r="D2351" s="2">
        <v>68.8450999999999</v>
      </c>
    </row>
    <row r="2352">
      <c r="A2352" s="4">
        <v>45247.0</v>
      </c>
      <c r="B2352" s="2">
        <v>1760313.0</v>
      </c>
      <c r="C2352" s="2">
        <v>5119047.0</v>
      </c>
      <c r="D2352" s="2">
        <v>35.0493</v>
      </c>
    </row>
    <row r="2353">
      <c r="A2353" s="4">
        <v>45247.0</v>
      </c>
      <c r="B2353" s="2">
        <v>1758993.0</v>
      </c>
      <c r="C2353" s="2">
        <v>5114592.0</v>
      </c>
      <c r="D2353" s="2">
        <v>21.1084</v>
      </c>
    </row>
    <row r="2354">
      <c r="A2354" s="4">
        <v>45247.0</v>
      </c>
      <c r="B2354" s="2">
        <v>1759023.0</v>
      </c>
      <c r="C2354" s="2">
        <v>5114637.0</v>
      </c>
      <c r="D2354" s="2">
        <v>7.2109</v>
      </c>
    </row>
    <row r="2355">
      <c r="A2355" s="4">
        <v>45247.0</v>
      </c>
      <c r="B2355" s="2">
        <v>1409583.0</v>
      </c>
      <c r="C2355" s="2">
        <v>5113572.0</v>
      </c>
      <c r="D2355" s="2">
        <v>85.6526</v>
      </c>
    </row>
    <row r="2356">
      <c r="A2356" s="4">
        <v>45247.0</v>
      </c>
      <c r="B2356" s="2">
        <v>1760643.0</v>
      </c>
      <c r="C2356" s="2">
        <v>5120187.0</v>
      </c>
      <c r="D2356" s="2">
        <v>31.1875</v>
      </c>
    </row>
    <row r="2357">
      <c r="A2357" s="4">
        <v>44992.0</v>
      </c>
      <c r="B2357" s="2">
        <v>1423773.0</v>
      </c>
      <c r="C2357" s="2">
        <v>4278428.0</v>
      </c>
      <c r="D2357" s="2">
        <v>69.6355</v>
      </c>
    </row>
    <row r="2358">
      <c r="A2358" s="4">
        <v>44992.0</v>
      </c>
      <c r="B2358" s="2">
        <v>1543923.0</v>
      </c>
      <c r="C2358" s="2">
        <v>4278089.0</v>
      </c>
      <c r="D2358" s="2">
        <v>60.3976</v>
      </c>
    </row>
    <row r="2359">
      <c r="A2359" s="4">
        <v>44992.0</v>
      </c>
      <c r="B2359" s="2">
        <v>1341843.0</v>
      </c>
      <c r="C2359" s="2">
        <v>4279128.0</v>
      </c>
      <c r="D2359" s="2">
        <v>122.558799999999</v>
      </c>
    </row>
    <row r="2360">
      <c r="A2360" s="4">
        <v>44992.0</v>
      </c>
      <c r="B2360" s="2">
        <v>1291233.0</v>
      </c>
      <c r="C2360" s="2">
        <v>4278107.0</v>
      </c>
      <c r="D2360" s="2">
        <v>80.2308999999999</v>
      </c>
    </row>
    <row r="2361">
      <c r="A2361" s="4">
        <v>44992.0</v>
      </c>
      <c r="B2361" s="2">
        <v>1368123.0</v>
      </c>
      <c r="C2361" s="2">
        <v>4276826.0</v>
      </c>
      <c r="D2361" s="2">
        <v>39.4393</v>
      </c>
    </row>
    <row r="2362">
      <c r="A2362" s="4">
        <v>44992.0</v>
      </c>
      <c r="B2362" s="2">
        <v>1544253.0</v>
      </c>
      <c r="C2362" s="2">
        <v>4279189.0</v>
      </c>
      <c r="D2362" s="2">
        <v>82.1712</v>
      </c>
    </row>
    <row r="2363">
      <c r="A2363" s="4">
        <v>44992.0</v>
      </c>
      <c r="B2363" s="2">
        <v>1543953.0</v>
      </c>
      <c r="C2363" s="2">
        <v>4278170.0</v>
      </c>
      <c r="D2363" s="2">
        <v>13.2365</v>
      </c>
    </row>
    <row r="2364">
      <c r="A2364" s="4">
        <v>45248.0</v>
      </c>
      <c r="B2364" s="2">
        <v>1762653.0</v>
      </c>
      <c r="C2364" s="2">
        <v>5127111.0</v>
      </c>
      <c r="D2364" s="2">
        <v>46.0346</v>
      </c>
    </row>
    <row r="2365">
      <c r="A2365" s="4">
        <v>45248.0</v>
      </c>
      <c r="B2365" s="2">
        <v>1763853.0</v>
      </c>
      <c r="C2365" s="2">
        <v>5131566.0</v>
      </c>
      <c r="D2365" s="2">
        <v>27.3583</v>
      </c>
    </row>
    <row r="2366">
      <c r="A2366" s="4">
        <v>45248.0</v>
      </c>
      <c r="B2366" s="2">
        <v>1761573.0</v>
      </c>
      <c r="C2366" s="2">
        <v>5123493.0</v>
      </c>
      <c r="D2366" s="2">
        <v>74.2334</v>
      </c>
    </row>
    <row r="2367">
      <c r="A2367" s="4">
        <v>45248.0</v>
      </c>
      <c r="B2367" s="2">
        <v>1351803.0</v>
      </c>
      <c r="C2367" s="2">
        <v>5125812.0</v>
      </c>
      <c r="D2367" s="2">
        <v>100.9053</v>
      </c>
    </row>
    <row r="2368">
      <c r="A2368" s="4">
        <v>45248.0</v>
      </c>
      <c r="B2368" s="2">
        <v>1764093.0</v>
      </c>
      <c r="C2368" s="2">
        <v>5132481.0</v>
      </c>
      <c r="D2368" s="2">
        <v>38.9667</v>
      </c>
    </row>
    <row r="2369">
      <c r="A2369" s="4">
        <v>45248.0</v>
      </c>
      <c r="B2369" s="2">
        <v>1759203.0</v>
      </c>
      <c r="C2369" s="2">
        <v>5124984.0</v>
      </c>
      <c r="D2369" s="2">
        <v>53.0542</v>
      </c>
    </row>
    <row r="2370">
      <c r="A2370" s="4">
        <v>45248.0</v>
      </c>
      <c r="B2370" s="2">
        <v>1762683.0</v>
      </c>
      <c r="C2370" s="2">
        <v>5127237.0</v>
      </c>
      <c r="D2370" s="2">
        <v>26.8458</v>
      </c>
    </row>
    <row r="2371">
      <c r="A2371" s="4">
        <v>45248.0</v>
      </c>
      <c r="B2371" s="2">
        <v>1758333.0</v>
      </c>
      <c r="C2371" s="2">
        <v>5125986.0</v>
      </c>
      <c r="D2371" s="2">
        <v>72.9057</v>
      </c>
    </row>
    <row r="2372">
      <c r="A2372" s="4">
        <v>45248.0</v>
      </c>
      <c r="B2372" s="2">
        <v>1125543.0</v>
      </c>
      <c r="C2372" s="2">
        <v>5132808.0</v>
      </c>
      <c r="D2372" s="2">
        <v>64.0038</v>
      </c>
    </row>
    <row r="2373">
      <c r="A2373" s="4">
        <v>45248.0</v>
      </c>
      <c r="B2373" s="2">
        <v>1763583.0</v>
      </c>
      <c r="C2373" s="2">
        <v>5130369.0</v>
      </c>
      <c r="D2373" s="2">
        <v>71.5873</v>
      </c>
    </row>
    <row r="2374">
      <c r="A2374" s="4">
        <v>45248.0</v>
      </c>
      <c r="B2374" s="2">
        <v>1040523.0</v>
      </c>
      <c r="C2374" s="2">
        <v>5126868.0</v>
      </c>
      <c r="D2374" s="2">
        <v>67.2817</v>
      </c>
    </row>
    <row r="2375">
      <c r="A2375" s="4">
        <v>45248.0</v>
      </c>
      <c r="B2375" s="2">
        <v>1220073.0</v>
      </c>
      <c r="C2375" s="2">
        <v>5124441.0</v>
      </c>
      <c r="D2375" s="2">
        <v>118.4296</v>
      </c>
    </row>
    <row r="2376">
      <c r="A2376" s="4">
        <v>45248.0</v>
      </c>
      <c r="B2376" s="2">
        <v>1763553.0</v>
      </c>
      <c r="C2376" s="2">
        <v>5130252.0</v>
      </c>
      <c r="D2376" s="2">
        <v>19.6288</v>
      </c>
    </row>
    <row r="2377">
      <c r="A2377" s="4">
        <v>45248.0</v>
      </c>
      <c r="B2377" s="2">
        <v>1763133.0</v>
      </c>
      <c r="C2377" s="2">
        <v>5128788.0</v>
      </c>
      <c r="D2377" s="2">
        <v>27.1154</v>
      </c>
    </row>
    <row r="2378">
      <c r="A2378" s="4">
        <v>45248.0</v>
      </c>
      <c r="B2378" s="2">
        <v>1762263.0</v>
      </c>
      <c r="C2378" s="2">
        <v>5125782.0</v>
      </c>
      <c r="D2378" s="2">
        <v>31.7536</v>
      </c>
    </row>
    <row r="2379">
      <c r="A2379" s="4">
        <v>45248.0</v>
      </c>
      <c r="B2379" s="2">
        <v>1651263.0</v>
      </c>
      <c r="C2379" s="2">
        <v>5126298.0</v>
      </c>
      <c r="D2379" s="2">
        <v>29.0167</v>
      </c>
    </row>
    <row r="2380">
      <c r="A2380" s="4">
        <v>45248.0</v>
      </c>
      <c r="B2380" s="2">
        <v>1676103.0</v>
      </c>
      <c r="C2380" s="2">
        <v>5132799.0</v>
      </c>
      <c r="D2380" s="2">
        <v>113.9623</v>
      </c>
    </row>
    <row r="2381">
      <c r="A2381" s="4">
        <v>45248.0</v>
      </c>
      <c r="B2381" s="2">
        <v>1635813.0</v>
      </c>
      <c r="C2381" s="2">
        <v>5124447.0</v>
      </c>
      <c r="D2381" s="2">
        <v>84.6518</v>
      </c>
    </row>
    <row r="2382">
      <c r="A2382" s="4">
        <v>45248.0</v>
      </c>
      <c r="B2382" s="2">
        <v>1762443.0</v>
      </c>
      <c r="C2382" s="2">
        <v>5126502.0</v>
      </c>
      <c r="D2382" s="2">
        <v>5.656</v>
      </c>
    </row>
    <row r="2383">
      <c r="A2383" s="4">
        <v>45248.0</v>
      </c>
      <c r="B2383" s="2">
        <v>1761633.0</v>
      </c>
      <c r="C2383" s="2">
        <v>5123661.0</v>
      </c>
      <c r="D2383" s="2">
        <v>12.4563</v>
      </c>
    </row>
    <row r="2384">
      <c r="A2384" s="4">
        <v>44993.0</v>
      </c>
      <c r="B2384" s="2">
        <v>1544523.0</v>
      </c>
      <c r="C2384" s="2">
        <v>4280251.0</v>
      </c>
      <c r="D2384" s="2">
        <v>95.26</v>
      </c>
    </row>
    <row r="2385">
      <c r="A2385" s="4">
        <v>44993.0</v>
      </c>
      <c r="B2385" s="2">
        <v>1478673.0</v>
      </c>
      <c r="C2385" s="2">
        <v>4281781.0</v>
      </c>
      <c r="D2385" s="2">
        <v>69.8318</v>
      </c>
    </row>
    <row r="2386">
      <c r="A2386" s="4">
        <v>44993.0</v>
      </c>
      <c r="B2386" s="2">
        <v>1544043.0</v>
      </c>
      <c r="C2386" s="2">
        <v>4279493.0</v>
      </c>
      <c r="D2386" s="2">
        <v>134.7</v>
      </c>
    </row>
    <row r="2387">
      <c r="A2387" s="4">
        <v>44993.0</v>
      </c>
      <c r="B2387" s="2">
        <v>1545003.0</v>
      </c>
      <c r="C2387" s="2">
        <v>4282000.0</v>
      </c>
      <c r="D2387" s="2">
        <v>23.4603</v>
      </c>
    </row>
    <row r="2388">
      <c r="A2388" s="4">
        <v>44993.0</v>
      </c>
      <c r="B2388" s="2">
        <v>1145583.0</v>
      </c>
      <c r="C2388" s="2">
        <v>4281912.0</v>
      </c>
      <c r="D2388" s="2">
        <v>64.2482</v>
      </c>
    </row>
    <row r="2389">
      <c r="A2389" s="4">
        <v>45249.0</v>
      </c>
      <c r="B2389" s="2">
        <v>1741203.0</v>
      </c>
      <c r="C2389" s="2">
        <v>5140881.0</v>
      </c>
      <c r="D2389" s="2">
        <v>50.1415</v>
      </c>
    </row>
    <row r="2390">
      <c r="A2390" s="4">
        <v>45249.0</v>
      </c>
      <c r="B2390" s="2">
        <v>1765713.0</v>
      </c>
      <c r="C2390" s="2">
        <v>5139159.0</v>
      </c>
      <c r="D2390" s="2">
        <v>8.5806</v>
      </c>
    </row>
    <row r="2391">
      <c r="A2391" s="4">
        <v>45249.0</v>
      </c>
      <c r="B2391" s="2">
        <v>1765233.0</v>
      </c>
      <c r="C2391" s="2">
        <v>5137140.0</v>
      </c>
      <c r="D2391" s="2">
        <v>47.4209</v>
      </c>
    </row>
    <row r="2392">
      <c r="A2392" s="4">
        <v>45249.0</v>
      </c>
      <c r="B2392" s="2">
        <v>1767423.0</v>
      </c>
      <c r="C2392" s="2">
        <v>5145396.0</v>
      </c>
      <c r="D2392" s="2">
        <v>11.6167</v>
      </c>
    </row>
    <row r="2393">
      <c r="A2393" s="4">
        <v>45249.0</v>
      </c>
      <c r="B2393" s="2">
        <v>344343.0</v>
      </c>
      <c r="C2393" s="2">
        <v>5139621.0</v>
      </c>
      <c r="D2393" s="2">
        <v>66.4671</v>
      </c>
    </row>
    <row r="2394">
      <c r="A2394" s="4">
        <v>45249.0</v>
      </c>
      <c r="B2394" s="2">
        <v>1722513.0</v>
      </c>
      <c r="C2394" s="2">
        <v>5137782.0</v>
      </c>
      <c r="D2394" s="2">
        <v>64.3366</v>
      </c>
    </row>
    <row r="2395">
      <c r="A2395" s="4">
        <v>45249.0</v>
      </c>
      <c r="B2395" s="2">
        <v>1602633.0</v>
      </c>
      <c r="C2395" s="2">
        <v>5138205.0</v>
      </c>
      <c r="D2395" s="2">
        <v>33.0768</v>
      </c>
    </row>
    <row r="2396">
      <c r="A2396" s="4">
        <v>45249.0</v>
      </c>
      <c r="B2396" s="2">
        <v>1442013.0</v>
      </c>
      <c r="C2396" s="2">
        <v>5138718.0</v>
      </c>
      <c r="D2396" s="2">
        <v>110.6591</v>
      </c>
    </row>
    <row r="2397">
      <c r="A2397" s="4">
        <v>45249.0</v>
      </c>
      <c r="B2397" s="2">
        <v>1767603.0</v>
      </c>
      <c r="C2397" s="2">
        <v>5145981.0</v>
      </c>
      <c r="D2397" s="2">
        <v>34.5033</v>
      </c>
    </row>
    <row r="2398">
      <c r="A2398" s="4">
        <v>45249.0</v>
      </c>
      <c r="B2398" s="2">
        <v>1766133.0</v>
      </c>
      <c r="C2398" s="2">
        <v>5141163.0</v>
      </c>
      <c r="D2398" s="2">
        <v>339.625</v>
      </c>
    </row>
    <row r="2399">
      <c r="A2399" s="4">
        <v>45249.0</v>
      </c>
      <c r="B2399" s="2">
        <v>1767813.0</v>
      </c>
      <c r="C2399" s="2">
        <v>5146773.0</v>
      </c>
      <c r="D2399" s="2">
        <v>16.26</v>
      </c>
    </row>
    <row r="2400">
      <c r="A2400" s="4">
        <v>45249.0</v>
      </c>
      <c r="B2400" s="2">
        <v>1711593.0</v>
      </c>
      <c r="C2400" s="2">
        <v>5143536.0</v>
      </c>
      <c r="D2400" s="2">
        <v>57.4</v>
      </c>
    </row>
    <row r="2401">
      <c r="A2401" s="4">
        <v>45249.0</v>
      </c>
      <c r="B2401" s="2">
        <v>1764993.0</v>
      </c>
      <c r="C2401" s="2">
        <v>5136105.0</v>
      </c>
      <c r="D2401" s="2">
        <v>62.7094</v>
      </c>
    </row>
    <row r="2402">
      <c r="A2402" s="4">
        <v>45249.0</v>
      </c>
      <c r="B2402" s="2">
        <v>1766343.0</v>
      </c>
      <c r="C2402" s="2">
        <v>5141877.0</v>
      </c>
      <c r="D2402" s="2">
        <v>69.111</v>
      </c>
    </row>
    <row r="2403">
      <c r="A2403" s="4">
        <v>45249.0</v>
      </c>
      <c r="B2403" s="2">
        <v>1348683.0</v>
      </c>
      <c r="C2403" s="2">
        <v>5142702.0</v>
      </c>
      <c r="D2403" s="2">
        <v>72.7054</v>
      </c>
    </row>
    <row r="2404">
      <c r="A2404" s="4">
        <v>45249.0</v>
      </c>
      <c r="B2404" s="2">
        <v>1767873.0</v>
      </c>
      <c r="C2404" s="2">
        <v>5147379.0</v>
      </c>
      <c r="D2404" s="2">
        <v>334.0383</v>
      </c>
    </row>
    <row r="2405">
      <c r="A2405" s="4">
        <v>45249.0</v>
      </c>
      <c r="B2405" s="2">
        <v>1149063.0</v>
      </c>
      <c r="C2405" s="2">
        <v>5142555.0</v>
      </c>
      <c r="D2405" s="2">
        <v>84.6409999999999</v>
      </c>
    </row>
    <row r="2406">
      <c r="A2406" s="4">
        <v>45249.0</v>
      </c>
      <c r="B2406" s="2">
        <v>1752753.0</v>
      </c>
      <c r="C2406" s="2">
        <v>5135937.0</v>
      </c>
      <c r="D2406" s="2">
        <v>21.8333</v>
      </c>
    </row>
    <row r="2407">
      <c r="A2407" s="4">
        <v>45249.0</v>
      </c>
      <c r="B2407" s="2">
        <v>1595253.0</v>
      </c>
      <c r="C2407" s="2">
        <v>5139975.0</v>
      </c>
      <c r="D2407" s="2">
        <v>116.9797</v>
      </c>
    </row>
    <row r="2408">
      <c r="A2408" s="4">
        <v>45249.0</v>
      </c>
      <c r="B2408" s="2">
        <v>1714293.0</v>
      </c>
      <c r="C2408" s="2">
        <v>5143509.0</v>
      </c>
      <c r="D2408" s="2">
        <v>27.4375</v>
      </c>
    </row>
    <row r="2409">
      <c r="A2409" s="4">
        <v>44994.0</v>
      </c>
      <c r="B2409" s="2">
        <v>1137153.0</v>
      </c>
      <c r="C2409" s="2">
        <v>4283372.0</v>
      </c>
      <c r="D2409" s="2">
        <v>10.12</v>
      </c>
    </row>
    <row r="2410">
      <c r="A2410" s="4">
        <v>44994.0</v>
      </c>
      <c r="B2410" s="2">
        <v>1149063.0</v>
      </c>
      <c r="C2410" s="2">
        <v>4283022.0</v>
      </c>
      <c r="D2410" s="2">
        <v>69.6846</v>
      </c>
    </row>
    <row r="2411">
      <c r="A2411" s="4">
        <v>45250.0</v>
      </c>
      <c r="B2411" s="2">
        <v>1454223.0</v>
      </c>
      <c r="C2411" s="2">
        <v>5147880.0</v>
      </c>
      <c r="D2411" s="2">
        <v>28.7788</v>
      </c>
    </row>
    <row r="2412">
      <c r="A2412" s="4">
        <v>45250.0</v>
      </c>
      <c r="B2412" s="2">
        <v>1770063.0</v>
      </c>
      <c r="C2412" s="2">
        <v>5155083.0</v>
      </c>
      <c r="D2412" s="2">
        <v>24.9167</v>
      </c>
    </row>
    <row r="2413">
      <c r="A2413" s="4">
        <v>45250.0</v>
      </c>
      <c r="B2413" s="2">
        <v>1451553.0</v>
      </c>
      <c r="C2413" s="2">
        <v>5152797.0</v>
      </c>
      <c r="D2413" s="2">
        <v>83.9546</v>
      </c>
    </row>
    <row r="2414">
      <c r="A2414" s="4">
        <v>45250.0</v>
      </c>
      <c r="B2414" s="2">
        <v>392763.0</v>
      </c>
      <c r="C2414" s="2">
        <v>5158818.0</v>
      </c>
      <c r="D2414" s="2">
        <v>14.0833</v>
      </c>
    </row>
    <row r="2415">
      <c r="A2415" s="4">
        <v>45250.0</v>
      </c>
      <c r="B2415" s="2">
        <v>1611873.0</v>
      </c>
      <c r="C2415" s="2">
        <v>5157624.0</v>
      </c>
      <c r="D2415" s="2">
        <v>68.0562</v>
      </c>
    </row>
    <row r="2416">
      <c r="A2416" s="4">
        <v>45250.0</v>
      </c>
      <c r="B2416" s="2">
        <v>392763.0</v>
      </c>
      <c r="C2416" s="2">
        <v>5159043.0</v>
      </c>
      <c r="D2416" s="2">
        <v>203.4427</v>
      </c>
    </row>
    <row r="2417">
      <c r="A2417" s="4">
        <v>45250.0</v>
      </c>
      <c r="B2417" s="2">
        <v>1768623.0</v>
      </c>
      <c r="C2417" s="2">
        <v>5149908.0</v>
      </c>
      <c r="D2417" s="2">
        <v>28.8</v>
      </c>
    </row>
    <row r="2418">
      <c r="A2418" s="4">
        <v>45250.0</v>
      </c>
      <c r="B2418" s="2">
        <v>1702653.0</v>
      </c>
      <c r="C2418" s="2">
        <v>5159718.0</v>
      </c>
      <c r="D2418" s="2">
        <v>69.8846</v>
      </c>
    </row>
    <row r="2419">
      <c r="A2419" s="4">
        <v>45250.0</v>
      </c>
      <c r="B2419" s="2">
        <v>1265883.0</v>
      </c>
      <c r="C2419" s="2">
        <v>5150790.0</v>
      </c>
      <c r="D2419" s="2">
        <v>72.119</v>
      </c>
    </row>
    <row r="2420">
      <c r="A2420" s="4">
        <v>45250.0</v>
      </c>
      <c r="B2420" s="2">
        <v>1770333.0</v>
      </c>
      <c r="C2420" s="2">
        <v>5155872.0</v>
      </c>
      <c r="D2420" s="2">
        <v>56.8334</v>
      </c>
    </row>
    <row r="2421">
      <c r="A2421" s="4">
        <v>45250.0</v>
      </c>
      <c r="B2421" s="2">
        <v>1648683.0</v>
      </c>
      <c r="C2421" s="2">
        <v>5157582.0</v>
      </c>
      <c r="D2421" s="2">
        <v>93.8844</v>
      </c>
    </row>
    <row r="2422">
      <c r="A2422" s="4">
        <v>45250.0</v>
      </c>
      <c r="B2422" s="2">
        <v>1771053.0</v>
      </c>
      <c r="C2422" s="2">
        <v>5158203.0</v>
      </c>
      <c r="D2422" s="2">
        <v>11.2625</v>
      </c>
    </row>
    <row r="2423">
      <c r="A2423" s="4">
        <v>45250.0</v>
      </c>
      <c r="B2423" s="2">
        <v>58503.0</v>
      </c>
      <c r="C2423" s="2">
        <v>5150829.0</v>
      </c>
      <c r="D2423" s="2">
        <v>36.0792</v>
      </c>
    </row>
    <row r="2424">
      <c r="A2424" s="4">
        <v>45250.0</v>
      </c>
      <c r="B2424" s="2">
        <v>1769823.0</v>
      </c>
      <c r="C2424" s="2">
        <v>5154210.0</v>
      </c>
      <c r="D2424" s="2">
        <v>33.9489</v>
      </c>
    </row>
    <row r="2425">
      <c r="A2425" s="4">
        <v>45250.0</v>
      </c>
      <c r="B2425" s="2">
        <v>1060173.0</v>
      </c>
      <c r="C2425" s="2">
        <v>5151786.0</v>
      </c>
      <c r="D2425" s="2">
        <v>62.6037</v>
      </c>
    </row>
    <row r="2426">
      <c r="A2426" s="4">
        <v>45250.0</v>
      </c>
      <c r="B2426" s="2">
        <v>1657713.0</v>
      </c>
      <c r="C2426" s="2">
        <v>5150016.0</v>
      </c>
      <c r="D2426" s="2">
        <v>53.7756</v>
      </c>
    </row>
    <row r="2427">
      <c r="A2427" s="4">
        <v>45250.0</v>
      </c>
      <c r="B2427" s="2">
        <v>1151013.0</v>
      </c>
      <c r="C2427" s="2">
        <v>5158809.0</v>
      </c>
      <c r="D2427" s="2">
        <v>37.5751</v>
      </c>
    </row>
    <row r="2428">
      <c r="A2428" s="4">
        <v>44995.0</v>
      </c>
      <c r="B2428" s="2">
        <v>1432323.0</v>
      </c>
      <c r="C2428" s="2">
        <v>4285841.0</v>
      </c>
      <c r="D2428" s="2">
        <v>38.4400999999999</v>
      </c>
    </row>
    <row r="2429">
      <c r="A2429" s="4">
        <v>44995.0</v>
      </c>
      <c r="B2429" s="2">
        <v>1545483.0</v>
      </c>
      <c r="C2429" s="2">
        <v>4285043.0</v>
      </c>
      <c r="D2429" s="2">
        <v>51.3483</v>
      </c>
    </row>
    <row r="2430">
      <c r="A2430" s="4">
        <v>44995.0</v>
      </c>
      <c r="B2430" s="2">
        <v>1546173.0</v>
      </c>
      <c r="C2430" s="2">
        <v>4286094.0</v>
      </c>
      <c r="D2430" s="2">
        <v>42.3166</v>
      </c>
    </row>
    <row r="2431">
      <c r="A2431" s="4">
        <v>44995.0</v>
      </c>
      <c r="B2431" s="2">
        <v>186663.0</v>
      </c>
      <c r="C2431" s="2">
        <v>4285721.0</v>
      </c>
      <c r="D2431" s="2">
        <v>71.9741</v>
      </c>
    </row>
    <row r="2432">
      <c r="A2432" s="4">
        <v>44995.0</v>
      </c>
      <c r="B2432" s="2">
        <v>1286103.0</v>
      </c>
      <c r="C2432" s="2">
        <v>4284887.0</v>
      </c>
      <c r="D2432" s="2">
        <v>115.1867</v>
      </c>
    </row>
    <row r="2433">
      <c r="A2433" s="4">
        <v>44995.0</v>
      </c>
      <c r="B2433" s="2">
        <v>1544463.0</v>
      </c>
      <c r="C2433" s="2">
        <v>4285165.0</v>
      </c>
      <c r="D2433" s="2">
        <v>29.0763</v>
      </c>
    </row>
    <row r="2434">
      <c r="A2434" s="4">
        <v>44995.0</v>
      </c>
      <c r="B2434" s="2">
        <v>1545843.0</v>
      </c>
      <c r="C2434" s="2">
        <v>4285010.0</v>
      </c>
      <c r="D2434" s="2">
        <v>9.384</v>
      </c>
    </row>
    <row r="2435">
      <c r="A2435" s="4">
        <v>45251.0</v>
      </c>
      <c r="B2435" s="2">
        <v>1011093.0</v>
      </c>
      <c r="C2435" s="2">
        <v>5166483.0</v>
      </c>
      <c r="D2435" s="2">
        <v>75.0593</v>
      </c>
    </row>
    <row r="2436">
      <c r="A2436" s="4">
        <v>45251.0</v>
      </c>
      <c r="B2436" s="2">
        <v>1773693.0</v>
      </c>
      <c r="C2436" s="2">
        <v>5167626.0</v>
      </c>
      <c r="D2436" s="2">
        <v>34.0458</v>
      </c>
    </row>
    <row r="2437">
      <c r="A2437" s="4">
        <v>45251.0</v>
      </c>
      <c r="B2437" s="2">
        <v>1774143.0</v>
      </c>
      <c r="C2437" s="2">
        <v>5169096.0</v>
      </c>
      <c r="D2437" s="2">
        <v>14.0284</v>
      </c>
    </row>
    <row r="2438">
      <c r="A2438" s="4">
        <v>45251.0</v>
      </c>
      <c r="B2438" s="2">
        <v>409203.0</v>
      </c>
      <c r="C2438" s="2">
        <v>5165124.0</v>
      </c>
      <c r="D2438" s="2">
        <v>73.7663999999999</v>
      </c>
    </row>
    <row r="2439">
      <c r="A2439" s="4">
        <v>45251.0</v>
      </c>
      <c r="B2439" s="2">
        <v>1770423.0</v>
      </c>
      <c r="C2439" s="2">
        <v>5168244.0</v>
      </c>
      <c r="D2439" s="2">
        <v>224.315</v>
      </c>
    </row>
    <row r="2440">
      <c r="A2440" s="4">
        <v>45251.0</v>
      </c>
      <c r="B2440" s="2">
        <v>1771503.0</v>
      </c>
      <c r="C2440" s="2">
        <v>5171487.0</v>
      </c>
      <c r="D2440" s="2">
        <v>19.4212</v>
      </c>
    </row>
    <row r="2441">
      <c r="A2441" s="4">
        <v>45251.0</v>
      </c>
      <c r="B2441" s="2">
        <v>1127043.0</v>
      </c>
      <c r="C2441" s="2">
        <v>5171844.0</v>
      </c>
      <c r="D2441" s="2">
        <v>79.4346</v>
      </c>
    </row>
    <row r="2442">
      <c r="A2442" s="4">
        <v>45251.0</v>
      </c>
      <c r="B2442" s="2">
        <v>257913.0</v>
      </c>
      <c r="C2442" s="2">
        <v>5161971.0</v>
      </c>
      <c r="D2442" s="2">
        <v>14.0833</v>
      </c>
    </row>
    <row r="2443">
      <c r="A2443" s="4">
        <v>45251.0</v>
      </c>
      <c r="B2443" s="2">
        <v>1767783.0</v>
      </c>
      <c r="C2443" s="2">
        <v>5160363.0</v>
      </c>
      <c r="D2443" s="2">
        <v>26.3415</v>
      </c>
    </row>
    <row r="2444">
      <c r="A2444" s="4">
        <v>45251.0</v>
      </c>
      <c r="B2444" s="2">
        <v>1774293.0</v>
      </c>
      <c r="C2444" s="2">
        <v>5169543.0</v>
      </c>
      <c r="D2444" s="2">
        <v>65.8333</v>
      </c>
    </row>
    <row r="2445">
      <c r="A2445" s="4">
        <v>45251.0</v>
      </c>
      <c r="B2445" s="2">
        <v>1774743.0</v>
      </c>
      <c r="C2445" s="2">
        <v>5171151.0</v>
      </c>
      <c r="D2445" s="2">
        <v>136.6325</v>
      </c>
    </row>
    <row r="2446">
      <c r="A2446" s="4">
        <v>45251.0</v>
      </c>
      <c r="B2446" s="2">
        <v>1773423.0</v>
      </c>
      <c r="C2446" s="2">
        <v>5166600.0</v>
      </c>
      <c r="D2446" s="2">
        <v>82.8584</v>
      </c>
    </row>
    <row r="2447">
      <c r="A2447" s="4">
        <v>45251.0</v>
      </c>
      <c r="B2447" s="2">
        <v>257913.0</v>
      </c>
      <c r="C2447" s="2">
        <v>5163036.0</v>
      </c>
      <c r="D2447" s="2">
        <v>316.1973</v>
      </c>
    </row>
    <row r="2448">
      <c r="A2448" s="4">
        <v>45251.0</v>
      </c>
      <c r="B2448" s="2">
        <v>1701633.0</v>
      </c>
      <c r="C2448" s="2">
        <v>5168346.0</v>
      </c>
      <c r="D2448" s="2">
        <v>51.5607</v>
      </c>
    </row>
    <row r="2449">
      <c r="A2449" s="4">
        <v>45251.0</v>
      </c>
      <c r="B2449" s="2">
        <v>1752483.0</v>
      </c>
      <c r="C2449" s="2">
        <v>5162577.0</v>
      </c>
      <c r="D2449" s="2">
        <v>50.3548</v>
      </c>
    </row>
    <row r="2450">
      <c r="A2450" s="4">
        <v>45251.0</v>
      </c>
      <c r="B2450" s="2">
        <v>1772253.0</v>
      </c>
      <c r="C2450" s="2">
        <v>5163153.0</v>
      </c>
      <c r="D2450" s="2">
        <v>105.448799999999</v>
      </c>
    </row>
    <row r="2451">
      <c r="A2451" s="4">
        <v>44996.0</v>
      </c>
      <c r="B2451" s="2">
        <v>1547133.0</v>
      </c>
      <c r="C2451" s="2">
        <v>4289517.0</v>
      </c>
      <c r="D2451" s="2">
        <v>54.4961</v>
      </c>
    </row>
    <row r="2452">
      <c r="A2452" s="4">
        <v>44996.0</v>
      </c>
      <c r="B2452" s="2">
        <v>1547043.0</v>
      </c>
      <c r="C2452" s="2">
        <v>4289162.0</v>
      </c>
      <c r="D2452" s="2">
        <v>23.7996</v>
      </c>
    </row>
    <row r="2453">
      <c r="A2453" s="4">
        <v>44996.0</v>
      </c>
      <c r="B2453" s="2">
        <v>370953.0</v>
      </c>
      <c r="C2453" s="2">
        <v>4289006.0</v>
      </c>
      <c r="D2453" s="2">
        <v>39.6668</v>
      </c>
    </row>
    <row r="2454">
      <c r="A2454" s="4">
        <v>44996.0</v>
      </c>
      <c r="B2454" s="2">
        <v>1546953.0</v>
      </c>
      <c r="C2454" s="2">
        <v>4288826.0</v>
      </c>
      <c r="D2454" s="2">
        <v>65.0833</v>
      </c>
    </row>
    <row r="2455">
      <c r="A2455" s="4">
        <v>44996.0</v>
      </c>
      <c r="B2455" s="2">
        <v>1410633.0</v>
      </c>
      <c r="C2455" s="2">
        <v>4289380.0</v>
      </c>
      <c r="D2455" s="2">
        <v>82.2143</v>
      </c>
    </row>
    <row r="2456">
      <c r="A2456" s="4">
        <v>45252.0</v>
      </c>
      <c r="B2456" s="2">
        <v>1409553.0</v>
      </c>
      <c r="C2456" s="2">
        <v>5174337.0</v>
      </c>
      <c r="D2456" s="2">
        <v>77.4623</v>
      </c>
    </row>
    <row r="2457">
      <c r="A2457" s="4">
        <v>45252.0</v>
      </c>
      <c r="B2457" s="2">
        <v>1528503.0</v>
      </c>
      <c r="C2457" s="2">
        <v>5176317.0</v>
      </c>
      <c r="D2457" s="2">
        <v>72.6138999999999</v>
      </c>
    </row>
    <row r="2458">
      <c r="A2458" s="4">
        <v>45252.0</v>
      </c>
      <c r="B2458" s="2">
        <v>1771743.0</v>
      </c>
      <c r="C2458" s="2">
        <v>5177130.0</v>
      </c>
      <c r="D2458" s="2">
        <v>52.0205</v>
      </c>
    </row>
    <row r="2459">
      <c r="A2459" s="4">
        <v>45252.0</v>
      </c>
      <c r="B2459" s="2">
        <v>1544523.0</v>
      </c>
      <c r="C2459" s="2">
        <v>5175561.0</v>
      </c>
      <c r="D2459" s="2">
        <v>25.32</v>
      </c>
    </row>
    <row r="2460">
      <c r="A2460" s="4">
        <v>45252.0</v>
      </c>
      <c r="B2460" s="2">
        <v>1751163.0</v>
      </c>
      <c r="C2460" s="2">
        <v>5180286.0</v>
      </c>
      <c r="D2460" s="2">
        <v>80.4198</v>
      </c>
    </row>
    <row r="2461">
      <c r="A2461" s="4">
        <v>45252.0</v>
      </c>
      <c r="B2461" s="2">
        <v>1775253.0</v>
      </c>
      <c r="C2461" s="2">
        <v>5172966.0</v>
      </c>
      <c r="D2461" s="2">
        <v>14.0284</v>
      </c>
    </row>
    <row r="2462">
      <c r="A2462" s="4">
        <v>45252.0</v>
      </c>
      <c r="B2462" s="2">
        <v>1775493.0</v>
      </c>
      <c r="C2462" s="2">
        <v>5173737.0</v>
      </c>
      <c r="D2462" s="2">
        <v>51.6881</v>
      </c>
    </row>
    <row r="2463">
      <c r="A2463" s="4">
        <v>45252.0</v>
      </c>
      <c r="B2463" s="2">
        <v>1672743.0</v>
      </c>
      <c r="C2463" s="2">
        <v>5177373.0</v>
      </c>
      <c r="D2463" s="2">
        <v>67.0153</v>
      </c>
    </row>
    <row r="2464">
      <c r="A2464" s="4">
        <v>45252.0</v>
      </c>
      <c r="B2464" s="2">
        <v>1776003.0</v>
      </c>
      <c r="C2464" s="2">
        <v>5176833.0</v>
      </c>
      <c r="D2464" s="2">
        <v>60.6402</v>
      </c>
    </row>
    <row r="2465">
      <c r="A2465" s="4">
        <v>45252.0</v>
      </c>
      <c r="B2465" s="2">
        <v>484533.0</v>
      </c>
      <c r="C2465" s="2">
        <v>5181330.0</v>
      </c>
      <c r="D2465" s="2">
        <v>19.8192</v>
      </c>
    </row>
    <row r="2466">
      <c r="A2466" s="4">
        <v>45252.0</v>
      </c>
      <c r="B2466" s="2">
        <v>1777383.0</v>
      </c>
      <c r="C2466" s="2">
        <v>5180154.0</v>
      </c>
      <c r="D2466" s="2">
        <v>14.1596</v>
      </c>
    </row>
    <row r="2467">
      <c r="A2467" s="4">
        <v>45252.0</v>
      </c>
      <c r="B2467" s="2">
        <v>1162143.0</v>
      </c>
      <c r="C2467" s="2">
        <v>5180490.0</v>
      </c>
      <c r="D2467" s="2">
        <v>64.0757</v>
      </c>
    </row>
    <row r="2468">
      <c r="A2468" s="4">
        <v>45252.0</v>
      </c>
      <c r="B2468" s="2">
        <v>1775463.0</v>
      </c>
      <c r="C2468" s="2">
        <v>5173683.0</v>
      </c>
      <c r="D2468" s="2">
        <v>2.3801</v>
      </c>
    </row>
    <row r="2469">
      <c r="A2469" s="4">
        <v>45252.0</v>
      </c>
      <c r="B2469" s="2">
        <v>1592163.0</v>
      </c>
      <c r="C2469" s="2">
        <v>5174703.0</v>
      </c>
      <c r="D2469" s="2">
        <v>91.694</v>
      </c>
    </row>
    <row r="2470">
      <c r="A2470" s="4">
        <v>45252.0</v>
      </c>
      <c r="B2470" s="2">
        <v>1134153.0</v>
      </c>
      <c r="C2470" s="2">
        <v>5178693.0</v>
      </c>
      <c r="D2470" s="2">
        <v>62.3251</v>
      </c>
    </row>
    <row r="2471">
      <c r="A2471" s="4">
        <v>45252.0</v>
      </c>
      <c r="B2471" s="2">
        <v>1778343.0</v>
      </c>
      <c r="C2471" s="2">
        <v>5183100.0</v>
      </c>
      <c r="D2471" s="2">
        <v>24.1704</v>
      </c>
    </row>
    <row r="2472">
      <c r="A2472" s="4">
        <v>45252.0</v>
      </c>
      <c r="B2472" s="2">
        <v>1770243.0</v>
      </c>
      <c r="C2472" s="2">
        <v>5178096.0</v>
      </c>
      <c r="D2472" s="2">
        <v>63.3068</v>
      </c>
    </row>
    <row r="2473">
      <c r="A2473" s="4">
        <v>44997.0</v>
      </c>
      <c r="B2473" s="2">
        <v>262083.0</v>
      </c>
      <c r="C2473" s="2">
        <v>4293619.0</v>
      </c>
      <c r="D2473" s="2">
        <v>66.6968</v>
      </c>
    </row>
    <row r="2474">
      <c r="A2474" s="4">
        <v>44997.0</v>
      </c>
      <c r="B2474" s="2">
        <v>1545273.0</v>
      </c>
      <c r="C2474" s="2">
        <v>4292986.0</v>
      </c>
      <c r="D2474" s="2">
        <v>31.2177</v>
      </c>
    </row>
    <row r="2475">
      <c r="A2475" s="4">
        <v>44997.0</v>
      </c>
      <c r="B2475" s="2">
        <v>217743.0</v>
      </c>
      <c r="C2475" s="2">
        <v>4293713.0</v>
      </c>
      <c r="D2475" s="2">
        <v>159.6589</v>
      </c>
    </row>
    <row r="2476">
      <c r="A2476" s="4">
        <v>44997.0</v>
      </c>
      <c r="B2476" s="2">
        <v>1442013.0</v>
      </c>
      <c r="C2476" s="2">
        <v>4292992.0</v>
      </c>
      <c r="D2476" s="2">
        <v>106.196399999999</v>
      </c>
    </row>
    <row r="2477">
      <c r="A2477" s="4">
        <v>44997.0</v>
      </c>
      <c r="B2477" s="2">
        <v>1548303.0</v>
      </c>
      <c r="C2477" s="2">
        <v>4294156.0</v>
      </c>
      <c r="D2477" s="2">
        <v>15.825</v>
      </c>
    </row>
    <row r="2478">
      <c r="A2478" s="4">
        <v>45253.0</v>
      </c>
      <c r="B2478" s="2">
        <v>1780833.0</v>
      </c>
      <c r="C2478" s="2">
        <v>5192355.0</v>
      </c>
      <c r="D2478" s="2">
        <v>67.3764</v>
      </c>
    </row>
    <row r="2479">
      <c r="A2479" s="4">
        <v>45253.0</v>
      </c>
      <c r="B2479" s="2">
        <v>1781793.0</v>
      </c>
      <c r="C2479" s="2">
        <v>5195565.0</v>
      </c>
      <c r="D2479" s="2">
        <v>12.0802</v>
      </c>
    </row>
    <row r="2480">
      <c r="A2480" s="4">
        <v>45253.0</v>
      </c>
      <c r="B2480" s="2">
        <v>1780173.0</v>
      </c>
      <c r="C2480" s="2">
        <v>5189991.0</v>
      </c>
      <c r="D2480" s="2">
        <v>32.5125</v>
      </c>
    </row>
    <row r="2481">
      <c r="A2481" s="4">
        <v>45253.0</v>
      </c>
      <c r="B2481" s="2">
        <v>1782333.0</v>
      </c>
      <c r="C2481" s="2">
        <v>5198151.0</v>
      </c>
      <c r="D2481" s="2">
        <v>125.3334</v>
      </c>
    </row>
    <row r="2482">
      <c r="A2482" s="4">
        <v>45253.0</v>
      </c>
      <c r="B2482" s="2">
        <v>1782543.0</v>
      </c>
      <c r="C2482" s="2">
        <v>5198472.0</v>
      </c>
      <c r="D2482" s="2">
        <v>68.0756</v>
      </c>
    </row>
    <row r="2483">
      <c r="A2483" s="4">
        <v>45253.0</v>
      </c>
      <c r="B2483" s="2">
        <v>1344573.0</v>
      </c>
      <c r="C2483" s="2">
        <v>5186811.0</v>
      </c>
      <c r="D2483" s="2">
        <v>75.983</v>
      </c>
    </row>
    <row r="2484">
      <c r="A2484" s="4">
        <v>45253.0</v>
      </c>
      <c r="B2484" s="2">
        <v>1780413.0</v>
      </c>
      <c r="C2484" s="2">
        <v>5191173.0</v>
      </c>
      <c r="D2484" s="2">
        <v>94.4252</v>
      </c>
    </row>
    <row r="2485">
      <c r="A2485" s="4">
        <v>45253.0</v>
      </c>
      <c r="B2485" s="2">
        <v>1776663.0</v>
      </c>
      <c r="C2485" s="2">
        <v>5186697.0</v>
      </c>
      <c r="D2485" s="2">
        <v>66.9375</v>
      </c>
    </row>
    <row r="2486">
      <c r="A2486" s="4">
        <v>45253.0</v>
      </c>
      <c r="B2486" s="2">
        <v>1778643.0</v>
      </c>
      <c r="C2486" s="2">
        <v>5184069.0</v>
      </c>
      <c r="D2486" s="2">
        <v>87.3487</v>
      </c>
    </row>
    <row r="2487">
      <c r="A2487" s="4">
        <v>45253.0</v>
      </c>
      <c r="B2487" s="2">
        <v>1113423.0</v>
      </c>
      <c r="C2487" s="2">
        <v>5195049.0</v>
      </c>
      <c r="D2487" s="2">
        <v>124.1566</v>
      </c>
    </row>
    <row r="2488">
      <c r="A2488" s="4">
        <v>45253.0</v>
      </c>
      <c r="B2488" s="2">
        <v>1782783.0</v>
      </c>
      <c r="C2488" s="2">
        <v>5198970.0</v>
      </c>
      <c r="D2488" s="2">
        <v>106.2075</v>
      </c>
    </row>
    <row r="2489">
      <c r="A2489" s="4">
        <v>45253.0</v>
      </c>
      <c r="B2489" s="2">
        <v>1774953.0</v>
      </c>
      <c r="C2489" s="2">
        <v>5193978.0</v>
      </c>
      <c r="D2489" s="2">
        <v>15.1848</v>
      </c>
    </row>
    <row r="2490">
      <c r="A2490" s="4">
        <v>45253.0</v>
      </c>
      <c r="B2490" s="2">
        <v>1030023.0</v>
      </c>
      <c r="C2490" s="2">
        <v>5185869.0</v>
      </c>
      <c r="D2490" s="2">
        <v>103.846899999999</v>
      </c>
    </row>
    <row r="2491">
      <c r="A2491" s="4">
        <v>45253.0</v>
      </c>
      <c r="B2491" s="2">
        <v>1184643.0</v>
      </c>
      <c r="C2491" s="2">
        <v>5192835.0</v>
      </c>
      <c r="D2491" s="2">
        <v>72.1442</v>
      </c>
    </row>
    <row r="2492">
      <c r="A2492" s="4">
        <v>45253.0</v>
      </c>
      <c r="B2492" s="2">
        <v>1433553.0</v>
      </c>
      <c r="C2492" s="2">
        <v>5193351.0</v>
      </c>
      <c r="D2492" s="2">
        <v>76.3992999999999</v>
      </c>
    </row>
    <row r="2493">
      <c r="A2493" s="4">
        <v>45253.0</v>
      </c>
      <c r="B2493" s="2">
        <v>1774953.0</v>
      </c>
      <c r="C2493" s="2">
        <v>5191584.0</v>
      </c>
      <c r="D2493" s="2">
        <v>73.8785</v>
      </c>
    </row>
    <row r="2494">
      <c r="A2494" s="4">
        <v>45253.0</v>
      </c>
      <c r="B2494" s="2">
        <v>1683903.0</v>
      </c>
      <c r="C2494" s="2">
        <v>5187783.0</v>
      </c>
      <c r="D2494" s="2">
        <v>51.945</v>
      </c>
    </row>
    <row r="2495">
      <c r="A2495" s="4">
        <v>45253.0</v>
      </c>
      <c r="B2495" s="2">
        <v>1782093.0</v>
      </c>
      <c r="C2495" s="2">
        <v>5196648.0</v>
      </c>
      <c r="D2495" s="2">
        <v>82.6417</v>
      </c>
    </row>
    <row r="2496">
      <c r="A2496" s="4">
        <v>45253.0</v>
      </c>
      <c r="B2496" s="2">
        <v>1781853.0</v>
      </c>
      <c r="C2496" s="2">
        <v>5195712.0</v>
      </c>
      <c r="D2496" s="2">
        <v>51.675</v>
      </c>
    </row>
    <row r="2497">
      <c r="A2497" s="4">
        <v>44998.0</v>
      </c>
      <c r="B2497" s="2">
        <v>1128333.0</v>
      </c>
      <c r="C2497" s="2">
        <v>4296422.0</v>
      </c>
      <c r="D2497" s="2">
        <v>43.9801</v>
      </c>
    </row>
    <row r="2498">
      <c r="A2498" s="4">
        <v>44998.0</v>
      </c>
      <c r="B2498" s="2">
        <v>1549083.0</v>
      </c>
      <c r="C2498" s="2">
        <v>4296999.0</v>
      </c>
      <c r="D2498" s="2">
        <v>18.7678</v>
      </c>
    </row>
    <row r="2499">
      <c r="A2499" s="4">
        <v>44998.0</v>
      </c>
      <c r="B2499" s="2">
        <v>1262733.0</v>
      </c>
      <c r="C2499" s="2">
        <v>4294870.0</v>
      </c>
      <c r="D2499" s="2">
        <v>109.1379</v>
      </c>
    </row>
    <row r="2500">
      <c r="A2500" s="4">
        <v>44998.0</v>
      </c>
      <c r="B2500" s="2">
        <v>1149063.0</v>
      </c>
      <c r="C2500" s="2">
        <v>4296280.0</v>
      </c>
      <c r="D2500" s="2">
        <v>88.7443</v>
      </c>
    </row>
    <row r="2501">
      <c r="A2501" s="4">
        <v>44998.0</v>
      </c>
      <c r="B2501" s="2">
        <v>1333263.0</v>
      </c>
      <c r="C2501" s="2">
        <v>4296866.0</v>
      </c>
      <c r="D2501" s="2">
        <v>46.6643</v>
      </c>
    </row>
    <row r="2502">
      <c r="A2502" s="4">
        <v>44998.0</v>
      </c>
      <c r="B2502" s="2">
        <v>1262733.0</v>
      </c>
      <c r="C2502" s="2">
        <v>4294888.0</v>
      </c>
      <c r="D2502" s="2">
        <v>109.1379</v>
      </c>
    </row>
    <row r="2503">
      <c r="A2503" s="4">
        <v>44998.0</v>
      </c>
      <c r="B2503" s="2">
        <v>1465233.0</v>
      </c>
      <c r="C2503" s="2">
        <v>4295995.0</v>
      </c>
      <c r="D2503" s="2">
        <v>76.7830999999999</v>
      </c>
    </row>
    <row r="2504">
      <c r="A2504" s="4">
        <v>44998.0</v>
      </c>
      <c r="B2504" s="2">
        <v>1262733.0</v>
      </c>
      <c r="C2504" s="2">
        <v>4294866.0</v>
      </c>
      <c r="D2504" s="2">
        <v>109.1379</v>
      </c>
    </row>
    <row r="2505">
      <c r="A2505" s="4">
        <v>45254.0</v>
      </c>
      <c r="B2505" s="2">
        <v>1785843.0</v>
      </c>
      <c r="C2505" s="2">
        <v>5208903.0</v>
      </c>
      <c r="D2505" s="2">
        <v>24.9167</v>
      </c>
    </row>
    <row r="2506">
      <c r="A2506" s="4">
        <v>45254.0</v>
      </c>
      <c r="B2506" s="2">
        <v>1783833.0</v>
      </c>
      <c r="C2506" s="2">
        <v>5202870.0</v>
      </c>
      <c r="D2506" s="2">
        <v>38.5258</v>
      </c>
    </row>
    <row r="2507">
      <c r="A2507" s="4">
        <v>45254.0</v>
      </c>
      <c r="B2507" s="2">
        <v>1784403.0</v>
      </c>
      <c r="C2507" s="2">
        <v>5204613.0</v>
      </c>
      <c r="D2507" s="2">
        <v>62.7363</v>
      </c>
    </row>
    <row r="2508">
      <c r="A2508" s="4">
        <v>45254.0</v>
      </c>
      <c r="B2508" s="2">
        <v>1786053.0</v>
      </c>
      <c r="C2508" s="2">
        <v>5209647.0</v>
      </c>
      <c r="D2508" s="2">
        <v>48.8042</v>
      </c>
    </row>
    <row r="2509">
      <c r="A2509" s="4">
        <v>45254.0</v>
      </c>
      <c r="B2509" s="2">
        <v>1784793.0</v>
      </c>
      <c r="C2509" s="2">
        <v>5205810.0</v>
      </c>
      <c r="D2509" s="2">
        <v>45.7703</v>
      </c>
    </row>
    <row r="2510">
      <c r="A2510" s="4">
        <v>45254.0</v>
      </c>
      <c r="B2510" s="2">
        <v>1035903.0</v>
      </c>
      <c r="C2510" s="2">
        <v>5208660.0</v>
      </c>
      <c r="D2510" s="2">
        <v>25.256</v>
      </c>
    </row>
    <row r="2511">
      <c r="A2511" s="4">
        <v>45254.0</v>
      </c>
      <c r="B2511" s="2">
        <v>1785453.0</v>
      </c>
      <c r="C2511" s="2">
        <v>5209725.0</v>
      </c>
      <c r="D2511" s="2">
        <v>104.0745</v>
      </c>
    </row>
    <row r="2512">
      <c r="A2512" s="4">
        <v>45254.0</v>
      </c>
      <c r="B2512" s="2">
        <v>1784763.0</v>
      </c>
      <c r="C2512" s="2">
        <v>5205654.0</v>
      </c>
      <c r="D2512" s="2">
        <v>39.1283</v>
      </c>
    </row>
    <row r="2513">
      <c r="A2513" s="4">
        <v>45254.0</v>
      </c>
      <c r="B2513" s="2">
        <v>1454223.0</v>
      </c>
      <c r="C2513" s="2">
        <v>5210817.0</v>
      </c>
      <c r="D2513" s="2">
        <v>59.9925</v>
      </c>
    </row>
    <row r="2514">
      <c r="A2514" s="4">
        <v>45254.0</v>
      </c>
      <c r="B2514" s="2">
        <v>1776153.0</v>
      </c>
      <c r="C2514" s="2">
        <v>5204145.0</v>
      </c>
      <c r="D2514" s="2">
        <v>66.1362</v>
      </c>
    </row>
    <row r="2515">
      <c r="A2515" s="4">
        <v>45254.0</v>
      </c>
      <c r="B2515" s="2">
        <v>1783353.0</v>
      </c>
      <c r="C2515" s="2">
        <v>5201376.0</v>
      </c>
      <c r="D2515" s="2">
        <v>28.2625</v>
      </c>
    </row>
    <row r="2516">
      <c r="A2516" s="4">
        <v>45254.0</v>
      </c>
      <c r="B2516" s="2">
        <v>1204983.0</v>
      </c>
      <c r="C2516" s="2">
        <v>5201379.0</v>
      </c>
      <c r="D2516" s="2">
        <v>68.618</v>
      </c>
    </row>
    <row r="2517">
      <c r="A2517" s="4">
        <v>45254.0</v>
      </c>
      <c r="B2517" s="2">
        <v>1786113.0</v>
      </c>
      <c r="C2517" s="2">
        <v>5209818.0</v>
      </c>
      <c r="D2517" s="2">
        <v>61.4496</v>
      </c>
    </row>
    <row r="2518">
      <c r="A2518" s="4">
        <v>45254.0</v>
      </c>
      <c r="B2518" s="2">
        <v>1783923.0</v>
      </c>
      <c r="C2518" s="2">
        <v>5203038.0</v>
      </c>
      <c r="D2518" s="2">
        <v>60.0739</v>
      </c>
    </row>
    <row r="2519">
      <c r="A2519" s="4">
        <v>44999.0</v>
      </c>
      <c r="B2519" s="2">
        <v>1541013.0</v>
      </c>
      <c r="C2519" s="2">
        <v>4298896.0</v>
      </c>
      <c r="D2519" s="2">
        <v>75.6174</v>
      </c>
    </row>
    <row r="2520">
      <c r="A2520" s="4">
        <v>44999.0</v>
      </c>
      <c r="B2520" s="2">
        <v>1405893.0</v>
      </c>
      <c r="C2520" s="2">
        <v>4298936.0</v>
      </c>
      <c r="D2520" s="2">
        <v>79.3971</v>
      </c>
    </row>
    <row r="2521">
      <c r="A2521" s="4">
        <v>44999.0</v>
      </c>
      <c r="B2521" s="2">
        <v>1549383.0</v>
      </c>
      <c r="C2521" s="2">
        <v>4298161.0</v>
      </c>
      <c r="D2521" s="2">
        <v>62.5873999999999</v>
      </c>
    </row>
    <row r="2522">
      <c r="A2522" s="4">
        <v>44999.0</v>
      </c>
      <c r="B2522" s="2">
        <v>1040313.0</v>
      </c>
      <c r="C2522" s="2">
        <v>4298420.0</v>
      </c>
      <c r="D2522" s="2">
        <v>146.842799999999</v>
      </c>
    </row>
    <row r="2523">
      <c r="A2523" s="4">
        <v>45255.0</v>
      </c>
      <c r="B2523" s="2">
        <v>1763463.0</v>
      </c>
      <c r="C2523" s="2">
        <v>5223816.0</v>
      </c>
      <c r="D2523" s="2">
        <v>62.601</v>
      </c>
    </row>
    <row r="2524">
      <c r="A2524" s="4">
        <v>45255.0</v>
      </c>
      <c r="B2524" s="2">
        <v>1281993.0</v>
      </c>
      <c r="C2524" s="2">
        <v>5213544.0</v>
      </c>
      <c r="D2524" s="2">
        <v>89.9148</v>
      </c>
    </row>
    <row r="2525">
      <c r="A2525" s="4">
        <v>45255.0</v>
      </c>
      <c r="B2525" s="2">
        <v>353883.0</v>
      </c>
      <c r="C2525" s="2">
        <v>5222199.0</v>
      </c>
      <c r="D2525" s="2">
        <v>77.5936</v>
      </c>
    </row>
    <row r="2526">
      <c r="A2526" s="4">
        <v>45255.0</v>
      </c>
      <c r="B2526" s="2">
        <v>1689333.0</v>
      </c>
      <c r="C2526" s="2">
        <v>5216991.0</v>
      </c>
      <c r="D2526" s="2">
        <v>216.759099999999</v>
      </c>
    </row>
    <row r="2527">
      <c r="A2527" s="4">
        <v>45255.0</v>
      </c>
      <c r="B2527" s="2">
        <v>1588233.0</v>
      </c>
      <c r="C2527" s="2">
        <v>5227797.0</v>
      </c>
      <c r="D2527" s="2">
        <v>90.9346999999999</v>
      </c>
    </row>
    <row r="2528">
      <c r="A2528" s="4">
        <v>45255.0</v>
      </c>
      <c r="B2528" s="2">
        <v>1786743.0</v>
      </c>
      <c r="C2528" s="2">
        <v>5212053.0</v>
      </c>
      <c r="D2528" s="2">
        <v>35.0833</v>
      </c>
    </row>
    <row r="2529">
      <c r="A2529" s="4">
        <v>45255.0</v>
      </c>
      <c r="B2529" s="2">
        <v>1709133.0</v>
      </c>
      <c r="C2529" s="2">
        <v>5223972.0</v>
      </c>
      <c r="D2529" s="2">
        <v>62.6479</v>
      </c>
    </row>
    <row r="2530">
      <c r="A2530" s="4">
        <v>45255.0</v>
      </c>
      <c r="B2530" s="2">
        <v>1744893.0</v>
      </c>
      <c r="C2530" s="2">
        <v>5215329.0</v>
      </c>
      <c r="D2530" s="2">
        <v>108.212099999999</v>
      </c>
    </row>
    <row r="2531">
      <c r="A2531" s="4">
        <v>45255.0</v>
      </c>
      <c r="B2531" s="2">
        <v>1426233.0</v>
      </c>
      <c r="C2531" s="2">
        <v>5224131.0</v>
      </c>
      <c r="D2531" s="2">
        <v>86.4854999999999</v>
      </c>
    </row>
    <row r="2532">
      <c r="A2532" s="4">
        <v>45255.0</v>
      </c>
      <c r="B2532" s="2">
        <v>1754253.0</v>
      </c>
      <c r="C2532" s="2">
        <v>5227224.0</v>
      </c>
      <c r="D2532" s="2">
        <v>74.4833</v>
      </c>
    </row>
    <row r="2533">
      <c r="A2533" s="4">
        <v>45255.0</v>
      </c>
      <c r="B2533" s="2">
        <v>1789023.0</v>
      </c>
      <c r="C2533" s="2">
        <v>5220960.0</v>
      </c>
      <c r="D2533" s="2">
        <v>21.1792</v>
      </c>
    </row>
    <row r="2534">
      <c r="A2534" s="4">
        <v>45255.0</v>
      </c>
      <c r="B2534" s="2">
        <v>1787163.0</v>
      </c>
      <c r="C2534" s="2">
        <v>5213817.0</v>
      </c>
      <c r="D2534" s="2">
        <v>54.1583</v>
      </c>
    </row>
    <row r="2535">
      <c r="A2535" s="4">
        <v>45255.0</v>
      </c>
      <c r="B2535" s="2">
        <v>437733.0</v>
      </c>
      <c r="C2535" s="2">
        <v>5224059.0</v>
      </c>
      <c r="D2535" s="2">
        <v>63.3811999999999</v>
      </c>
    </row>
    <row r="2536">
      <c r="A2536" s="4">
        <v>45255.0</v>
      </c>
      <c r="B2536" s="2">
        <v>1611603.0</v>
      </c>
      <c r="C2536" s="2">
        <v>5229813.0</v>
      </c>
      <c r="D2536" s="2">
        <v>67.3078</v>
      </c>
    </row>
    <row r="2537">
      <c r="A2537" s="4">
        <v>45255.0</v>
      </c>
      <c r="B2537" s="2">
        <v>491733.0</v>
      </c>
      <c r="C2537" s="2">
        <v>5225892.0</v>
      </c>
      <c r="D2537" s="2">
        <v>70.8078</v>
      </c>
    </row>
    <row r="2538">
      <c r="A2538" s="4">
        <v>45255.0</v>
      </c>
      <c r="B2538" s="2">
        <v>1645653.0</v>
      </c>
      <c r="C2538" s="2">
        <v>5213814.0</v>
      </c>
      <c r="D2538" s="2">
        <v>20.3729999999999</v>
      </c>
    </row>
    <row r="2539">
      <c r="A2539" s="4">
        <v>45255.0</v>
      </c>
      <c r="B2539" s="2">
        <v>1790433.0</v>
      </c>
      <c r="C2539" s="2">
        <v>5226663.0</v>
      </c>
      <c r="D2539" s="2">
        <v>31.8042</v>
      </c>
    </row>
    <row r="2540">
      <c r="A2540" s="4">
        <v>45255.0</v>
      </c>
      <c r="B2540" s="2">
        <v>1626093.0</v>
      </c>
      <c r="C2540" s="2">
        <v>5219820.0</v>
      </c>
      <c r="D2540" s="2">
        <v>112.1648</v>
      </c>
    </row>
    <row r="2541">
      <c r="A2541" s="4">
        <v>45255.0</v>
      </c>
      <c r="B2541" s="2">
        <v>1790463.0</v>
      </c>
      <c r="C2541" s="2">
        <v>5226744.0</v>
      </c>
      <c r="D2541" s="2">
        <v>36.9967</v>
      </c>
    </row>
    <row r="2542">
      <c r="A2542" s="4">
        <v>45255.0</v>
      </c>
      <c r="B2542" s="2">
        <v>1790013.0</v>
      </c>
      <c r="C2542" s="2">
        <v>5224884.0</v>
      </c>
      <c r="D2542" s="2">
        <v>67.05</v>
      </c>
    </row>
    <row r="2543">
      <c r="A2543" s="4">
        <v>45255.0</v>
      </c>
      <c r="B2543" s="2">
        <v>1663203.0</v>
      </c>
      <c r="C2543" s="2">
        <v>5230368.0</v>
      </c>
      <c r="D2543" s="2">
        <v>74.7357</v>
      </c>
    </row>
    <row r="2544">
      <c r="A2544" s="4">
        <v>45255.0</v>
      </c>
      <c r="B2544" s="2">
        <v>1286103.0</v>
      </c>
      <c r="C2544" s="2">
        <v>5213103.0</v>
      </c>
      <c r="D2544" s="2">
        <v>168.3931</v>
      </c>
    </row>
    <row r="2545">
      <c r="A2545" s="4">
        <v>45255.0</v>
      </c>
      <c r="B2545" s="2">
        <v>1760253.0</v>
      </c>
      <c r="C2545" s="2">
        <v>5227533.0</v>
      </c>
      <c r="D2545" s="2">
        <v>39.1283</v>
      </c>
    </row>
    <row r="2546">
      <c r="A2546" s="4">
        <v>45255.0</v>
      </c>
      <c r="B2546" s="2">
        <v>1450893.0</v>
      </c>
      <c r="C2546" s="2">
        <v>5224962.0</v>
      </c>
      <c r="D2546" s="2">
        <v>70.967</v>
      </c>
    </row>
    <row r="2547">
      <c r="A2547" s="4">
        <v>45255.0</v>
      </c>
      <c r="B2547" s="2">
        <v>71403.0</v>
      </c>
      <c r="C2547" s="2">
        <v>5221854.0</v>
      </c>
      <c r="D2547" s="2">
        <v>61.7025</v>
      </c>
    </row>
    <row r="2548">
      <c r="A2548" s="4">
        <v>45255.0</v>
      </c>
      <c r="B2548" s="2">
        <v>1788183.0</v>
      </c>
      <c r="C2548" s="2">
        <v>5217768.0</v>
      </c>
      <c r="D2548" s="2">
        <v>116.842999999999</v>
      </c>
    </row>
    <row r="2549">
      <c r="A2549" s="4">
        <v>45255.0</v>
      </c>
      <c r="B2549" s="2">
        <v>1789353.0</v>
      </c>
      <c r="C2549" s="2">
        <v>5222397.0</v>
      </c>
      <c r="D2549" s="2">
        <v>20.4</v>
      </c>
    </row>
    <row r="2550">
      <c r="A2550" s="4">
        <v>45255.0</v>
      </c>
      <c r="B2550" s="2">
        <v>1669353.0</v>
      </c>
      <c r="C2550" s="2">
        <v>5225724.0</v>
      </c>
      <c r="D2550" s="2">
        <v>66.3934999999999</v>
      </c>
    </row>
    <row r="2551">
      <c r="A2551" s="4">
        <v>45255.0</v>
      </c>
      <c r="B2551" s="2">
        <v>1789443.0</v>
      </c>
      <c r="C2551" s="2">
        <v>5223390.0</v>
      </c>
      <c r="D2551" s="2">
        <v>45.1988</v>
      </c>
    </row>
    <row r="2552">
      <c r="A2552" s="4">
        <v>45000.0</v>
      </c>
      <c r="B2552" s="2">
        <v>1162143.0</v>
      </c>
      <c r="C2552" s="2">
        <v>4302161.0</v>
      </c>
      <c r="D2552" s="2">
        <v>101.8241</v>
      </c>
    </row>
    <row r="2553">
      <c r="A2553" s="4">
        <v>45000.0</v>
      </c>
      <c r="B2553" s="2">
        <v>1550493.0</v>
      </c>
      <c r="C2553" s="2">
        <v>4302171.0</v>
      </c>
      <c r="D2553" s="2">
        <v>16.2751999999999</v>
      </c>
    </row>
    <row r="2554">
      <c r="A2554" s="4">
        <v>45000.0</v>
      </c>
      <c r="B2554" s="2">
        <v>1379253.0</v>
      </c>
      <c r="C2554" s="2">
        <v>4302824.0</v>
      </c>
      <c r="D2554" s="2">
        <v>49.2092</v>
      </c>
    </row>
    <row r="2555">
      <c r="A2555" s="4">
        <v>45000.0</v>
      </c>
      <c r="B2555" s="2">
        <v>1433553.0</v>
      </c>
      <c r="C2555" s="2">
        <v>4300591.0</v>
      </c>
      <c r="D2555" s="2">
        <v>126.9436</v>
      </c>
    </row>
    <row r="2556">
      <c r="A2556" s="4">
        <v>45000.0</v>
      </c>
      <c r="B2556" s="2">
        <v>1352493.0</v>
      </c>
      <c r="C2556" s="2">
        <v>4301854.0</v>
      </c>
      <c r="D2556" s="2">
        <v>29.0053</v>
      </c>
    </row>
    <row r="2557">
      <c r="A2557" s="4">
        <v>45000.0</v>
      </c>
      <c r="B2557" s="2">
        <v>1550073.0</v>
      </c>
      <c r="C2557" s="2">
        <v>4300522.0</v>
      </c>
      <c r="D2557" s="2">
        <v>34.0852</v>
      </c>
    </row>
    <row r="2558">
      <c r="A2558" s="4">
        <v>45256.0</v>
      </c>
      <c r="B2558" s="2">
        <v>43533.0</v>
      </c>
      <c r="C2558" s="2">
        <v>5237946.0</v>
      </c>
      <c r="D2558" s="2">
        <v>224.872899999999</v>
      </c>
    </row>
    <row r="2559">
      <c r="A2559" s="4">
        <v>45256.0</v>
      </c>
      <c r="B2559" s="2">
        <v>1791423.0</v>
      </c>
      <c r="C2559" s="2">
        <v>5231307.0</v>
      </c>
      <c r="D2559" s="2">
        <v>79.6153</v>
      </c>
    </row>
    <row r="2560">
      <c r="A2560" s="4">
        <v>45256.0</v>
      </c>
      <c r="B2560" s="2">
        <v>1113423.0</v>
      </c>
      <c r="C2560" s="2">
        <v>5243883.0</v>
      </c>
      <c r="D2560" s="2">
        <v>222.9942</v>
      </c>
    </row>
    <row r="2561">
      <c r="A2561" s="4">
        <v>45256.0</v>
      </c>
      <c r="B2561" s="2">
        <v>1792893.0</v>
      </c>
      <c r="C2561" s="2">
        <v>5237379.0</v>
      </c>
      <c r="D2561" s="2">
        <v>24.0267</v>
      </c>
    </row>
    <row r="2562">
      <c r="A2562" s="4">
        <v>45256.0</v>
      </c>
      <c r="B2562" s="2">
        <v>1791873.0</v>
      </c>
      <c r="C2562" s="2">
        <v>5233623.0</v>
      </c>
      <c r="D2562" s="2">
        <v>60.7433</v>
      </c>
    </row>
    <row r="2563">
      <c r="A2563" s="4">
        <v>45256.0</v>
      </c>
      <c r="B2563" s="2">
        <v>1794423.0</v>
      </c>
      <c r="C2563" s="2">
        <v>5242998.0</v>
      </c>
      <c r="D2563" s="2">
        <v>31.8042</v>
      </c>
    </row>
    <row r="2564">
      <c r="A2564" s="4">
        <v>45256.0</v>
      </c>
      <c r="B2564" s="2">
        <v>1791423.0</v>
      </c>
      <c r="C2564" s="2">
        <v>5231085.0</v>
      </c>
      <c r="D2564" s="2">
        <v>113.3216</v>
      </c>
    </row>
    <row r="2565">
      <c r="A2565" s="4">
        <v>45256.0</v>
      </c>
      <c r="B2565" s="2">
        <v>1392573.0</v>
      </c>
      <c r="C2565" s="2">
        <v>5234943.0</v>
      </c>
      <c r="D2565" s="2">
        <v>147.9495</v>
      </c>
    </row>
    <row r="2566">
      <c r="A2566" s="4">
        <v>45256.0</v>
      </c>
      <c r="B2566" s="2">
        <v>1676133.0</v>
      </c>
      <c r="C2566" s="2">
        <v>5243382.0</v>
      </c>
      <c r="D2566" s="2">
        <v>91.5296</v>
      </c>
    </row>
    <row r="2567">
      <c r="A2567" s="4">
        <v>45256.0</v>
      </c>
      <c r="B2567" s="2">
        <v>1792773.0</v>
      </c>
      <c r="C2567" s="2">
        <v>5238243.0</v>
      </c>
      <c r="D2567" s="2">
        <v>93.2632</v>
      </c>
    </row>
    <row r="2568">
      <c r="A2568" s="4">
        <v>45256.0</v>
      </c>
      <c r="B2568" s="2">
        <v>1792233.0</v>
      </c>
      <c r="C2568" s="2">
        <v>5236260.0</v>
      </c>
      <c r="D2568" s="2">
        <v>43.9418</v>
      </c>
    </row>
    <row r="2569">
      <c r="A2569" s="4">
        <v>45256.0</v>
      </c>
      <c r="B2569" s="2">
        <v>1577733.0</v>
      </c>
      <c r="C2569" s="2">
        <v>5245290.0</v>
      </c>
      <c r="D2569" s="2">
        <v>22.834</v>
      </c>
    </row>
    <row r="2570">
      <c r="A2570" s="4">
        <v>45256.0</v>
      </c>
      <c r="B2570" s="2">
        <v>1793373.0</v>
      </c>
      <c r="C2570" s="2">
        <v>5239014.0</v>
      </c>
      <c r="D2570" s="2">
        <v>24.4055</v>
      </c>
    </row>
    <row r="2571">
      <c r="A2571" s="4">
        <v>45256.0</v>
      </c>
      <c r="B2571" s="2">
        <v>1794033.0</v>
      </c>
      <c r="C2571" s="2">
        <v>5243481.0</v>
      </c>
      <c r="D2571" s="2">
        <v>120.0176</v>
      </c>
    </row>
    <row r="2572">
      <c r="A2572" s="4">
        <v>45256.0</v>
      </c>
      <c r="B2572" s="2">
        <v>1782693.0</v>
      </c>
      <c r="C2572" s="2">
        <v>5236956.0</v>
      </c>
      <c r="D2572" s="2">
        <v>60.9883</v>
      </c>
    </row>
    <row r="2573">
      <c r="A2573" s="4">
        <v>45001.0</v>
      </c>
      <c r="B2573" s="2">
        <v>1252173.0</v>
      </c>
      <c r="C2573" s="2">
        <v>4304617.0</v>
      </c>
      <c r="D2573" s="2">
        <v>151.7708</v>
      </c>
    </row>
    <row r="2574">
      <c r="A2574" s="4">
        <v>45001.0</v>
      </c>
      <c r="B2574" s="2">
        <v>1184643.0</v>
      </c>
      <c r="C2574" s="2">
        <v>4303548.0</v>
      </c>
      <c r="D2574" s="2">
        <v>274.8701</v>
      </c>
    </row>
    <row r="2575">
      <c r="A2575" s="4">
        <v>45001.0</v>
      </c>
      <c r="B2575" s="2">
        <v>1551003.0</v>
      </c>
      <c r="C2575" s="2">
        <v>4303977.0</v>
      </c>
      <c r="D2575" s="2">
        <v>140.924</v>
      </c>
    </row>
    <row r="2576">
      <c r="A2576" s="4">
        <v>45001.0</v>
      </c>
      <c r="B2576" s="2">
        <v>474633.0</v>
      </c>
      <c r="C2576" s="2">
        <v>4305092.0</v>
      </c>
      <c r="D2576" s="2">
        <v>193.3475</v>
      </c>
    </row>
    <row r="2577">
      <c r="A2577" s="4">
        <v>45001.0</v>
      </c>
      <c r="B2577" s="2">
        <v>1010553.0</v>
      </c>
      <c r="C2577" s="2">
        <v>4302925.0</v>
      </c>
      <c r="D2577" s="2">
        <v>68.7602</v>
      </c>
    </row>
    <row r="2578">
      <c r="A2578" s="4">
        <v>45257.0</v>
      </c>
      <c r="B2578" s="2">
        <v>1529913.0</v>
      </c>
      <c r="C2578" s="2">
        <v>5248271.0</v>
      </c>
      <c r="D2578" s="2">
        <v>11.475</v>
      </c>
    </row>
    <row r="2579">
      <c r="A2579" s="4">
        <v>45257.0</v>
      </c>
      <c r="B2579" s="2">
        <v>1795353.0</v>
      </c>
      <c r="C2579" s="2">
        <v>5246823.0</v>
      </c>
      <c r="D2579" s="2">
        <v>66.8795</v>
      </c>
    </row>
    <row r="2580">
      <c r="A2580" s="4">
        <v>45257.0</v>
      </c>
      <c r="B2580" s="2">
        <v>426423.0</v>
      </c>
      <c r="C2580" s="2">
        <v>5248423.0</v>
      </c>
      <c r="D2580" s="2">
        <v>130.6977</v>
      </c>
    </row>
    <row r="2581">
      <c r="A2581" s="4">
        <v>45257.0</v>
      </c>
      <c r="B2581" s="2">
        <v>1796073.0</v>
      </c>
      <c r="C2581" s="2">
        <v>5249007.0</v>
      </c>
      <c r="D2581" s="2">
        <v>40.368</v>
      </c>
    </row>
    <row r="2582">
      <c r="A2582" s="4">
        <v>45002.0</v>
      </c>
      <c r="B2582" s="2">
        <v>1261383.0</v>
      </c>
      <c r="C2582" s="2">
        <v>4305218.0</v>
      </c>
      <c r="D2582" s="2">
        <v>113.182</v>
      </c>
    </row>
    <row r="2583">
      <c r="A2583" s="4">
        <v>45002.0</v>
      </c>
      <c r="B2583" s="2">
        <v>1299153.0</v>
      </c>
      <c r="C2583" s="2">
        <v>4307144.0</v>
      </c>
      <c r="D2583" s="2">
        <v>82.4527</v>
      </c>
    </row>
    <row r="2584">
      <c r="A2584" s="4">
        <v>45002.0</v>
      </c>
      <c r="B2584" s="2">
        <v>1528503.0</v>
      </c>
      <c r="C2584" s="2">
        <v>4305818.0</v>
      </c>
      <c r="D2584" s="2">
        <v>118.1572</v>
      </c>
    </row>
    <row r="2585">
      <c r="A2585" s="4">
        <v>45002.0</v>
      </c>
      <c r="B2585" s="2">
        <v>1551363.0</v>
      </c>
      <c r="C2585" s="2">
        <v>4305096.0</v>
      </c>
      <c r="D2585" s="2">
        <v>87.8668</v>
      </c>
    </row>
    <row r="2586">
      <c r="A2586" s="4">
        <v>45002.0</v>
      </c>
      <c r="B2586" s="2">
        <v>1442013.0</v>
      </c>
      <c r="C2586" s="2">
        <v>4305585.0</v>
      </c>
      <c r="D2586" s="2">
        <v>115.9404</v>
      </c>
    </row>
    <row r="2587">
      <c r="A2587" s="4">
        <v>45258.0</v>
      </c>
      <c r="B2587" s="2">
        <v>1470573.0</v>
      </c>
      <c r="C2587" s="2">
        <v>5253338.0</v>
      </c>
      <c r="D2587" s="2">
        <v>64.525</v>
      </c>
    </row>
    <row r="2588">
      <c r="A2588" s="4">
        <v>45258.0</v>
      </c>
      <c r="B2588" s="2">
        <v>1410633.0</v>
      </c>
      <c r="C2588" s="2">
        <v>5252802.0</v>
      </c>
      <c r="D2588" s="2">
        <v>79.7466</v>
      </c>
    </row>
    <row r="2589">
      <c r="A2589" s="4">
        <v>45258.0</v>
      </c>
      <c r="B2589" s="2">
        <v>1794393.0</v>
      </c>
      <c r="C2589" s="2">
        <v>5251764.0</v>
      </c>
      <c r="D2589" s="2">
        <v>68.0127</v>
      </c>
    </row>
    <row r="2590">
      <c r="A2590" s="4">
        <v>45258.0</v>
      </c>
      <c r="B2590" s="2">
        <v>1606233.0</v>
      </c>
      <c r="C2590" s="2">
        <v>5250727.0</v>
      </c>
      <c r="D2590" s="2">
        <v>67.2775</v>
      </c>
    </row>
    <row r="2591">
      <c r="A2591" s="4">
        <v>45258.0</v>
      </c>
      <c r="B2591" s="2">
        <v>898443.0</v>
      </c>
      <c r="C2591" s="2">
        <v>5252778.0</v>
      </c>
      <c r="D2591" s="2">
        <v>75.0</v>
      </c>
    </row>
    <row r="2592">
      <c r="A2592" s="4">
        <v>45258.0</v>
      </c>
      <c r="B2592" s="2">
        <v>1712253.0</v>
      </c>
      <c r="C2592" s="2">
        <v>5250247.0</v>
      </c>
      <c r="D2592" s="2">
        <v>110.3711</v>
      </c>
    </row>
    <row r="2593">
      <c r="A2593" s="4">
        <v>45258.0</v>
      </c>
      <c r="B2593" s="2">
        <v>147243.0</v>
      </c>
      <c r="C2593" s="2">
        <v>5251993.0</v>
      </c>
      <c r="D2593" s="2">
        <v>44.4298</v>
      </c>
    </row>
    <row r="2594">
      <c r="A2594" s="4">
        <v>45258.0</v>
      </c>
      <c r="B2594" s="2">
        <v>1796883.0</v>
      </c>
      <c r="C2594" s="2">
        <v>5252244.0</v>
      </c>
      <c r="D2594" s="2">
        <v>57.335</v>
      </c>
    </row>
    <row r="2595">
      <c r="A2595" s="4">
        <v>45258.0</v>
      </c>
      <c r="B2595" s="2">
        <v>1732233.0</v>
      </c>
      <c r="C2595" s="2">
        <v>5251936.0</v>
      </c>
      <c r="D2595" s="2">
        <v>68.6465</v>
      </c>
    </row>
    <row r="2596">
      <c r="A2596" s="4">
        <v>45003.0</v>
      </c>
      <c r="B2596" s="2">
        <v>1491153.0</v>
      </c>
      <c r="C2596" s="2">
        <v>4308516.0</v>
      </c>
      <c r="D2596" s="2">
        <v>59.9592999999999</v>
      </c>
    </row>
    <row r="2597">
      <c r="A2597" s="4">
        <v>45003.0</v>
      </c>
      <c r="B2597" s="2">
        <v>414843.0</v>
      </c>
      <c r="C2597" s="2">
        <v>4309201.0</v>
      </c>
      <c r="D2597" s="2">
        <v>74.3279</v>
      </c>
    </row>
    <row r="2598">
      <c r="A2598" s="4">
        <v>45003.0</v>
      </c>
      <c r="B2598" s="2">
        <v>1535343.0</v>
      </c>
      <c r="C2598" s="2">
        <v>4308185.0</v>
      </c>
      <c r="D2598" s="2">
        <v>26.6501999999999</v>
      </c>
    </row>
    <row r="2599">
      <c r="A2599" s="4">
        <v>45003.0</v>
      </c>
      <c r="B2599" s="2">
        <v>1552833.0</v>
      </c>
      <c r="C2599" s="2">
        <v>4310031.0</v>
      </c>
      <c r="D2599" s="2">
        <v>14.9391</v>
      </c>
    </row>
    <row r="2600">
      <c r="A2600" s="4">
        <v>45003.0</v>
      </c>
      <c r="B2600" s="2">
        <v>1552443.0</v>
      </c>
      <c r="C2600" s="2">
        <v>4308607.0</v>
      </c>
      <c r="D2600" s="2">
        <v>40.485</v>
      </c>
    </row>
    <row r="2601">
      <c r="A2601" s="4">
        <v>45003.0</v>
      </c>
      <c r="B2601" s="2">
        <v>1333263.0</v>
      </c>
      <c r="C2601" s="2">
        <v>4307759.0</v>
      </c>
      <c r="D2601" s="2">
        <v>67.6182</v>
      </c>
    </row>
    <row r="2602">
      <c r="A2602" s="4">
        <v>45003.0</v>
      </c>
      <c r="B2602" s="2">
        <v>1428003.0</v>
      </c>
      <c r="C2602" s="2">
        <v>4309647.0</v>
      </c>
      <c r="D2602" s="2">
        <v>56.2522</v>
      </c>
    </row>
    <row r="2603">
      <c r="A2603" s="4">
        <v>45003.0</v>
      </c>
      <c r="B2603" s="2">
        <v>848373.0</v>
      </c>
      <c r="C2603" s="2">
        <v>4307950.0</v>
      </c>
      <c r="D2603" s="2">
        <v>63.675</v>
      </c>
    </row>
    <row r="2604">
      <c r="A2604" s="4">
        <v>45259.0</v>
      </c>
      <c r="B2604" s="2">
        <v>1740843.0</v>
      </c>
      <c r="C2604" s="2">
        <v>5254095.0</v>
      </c>
      <c r="D2604" s="2">
        <v>90.0582999999999</v>
      </c>
    </row>
    <row r="2605">
      <c r="A2605" s="4">
        <v>45259.0</v>
      </c>
      <c r="B2605" s="2">
        <v>1489683.0</v>
      </c>
      <c r="C2605" s="2">
        <v>5254115.0</v>
      </c>
      <c r="D2605" s="2">
        <v>66.7245</v>
      </c>
    </row>
    <row r="2606">
      <c r="A2606" s="4">
        <v>45259.0</v>
      </c>
      <c r="B2606" s="2">
        <v>1783563.0</v>
      </c>
      <c r="C2606" s="2">
        <v>5256388.0</v>
      </c>
      <c r="D2606" s="2">
        <v>59.4167</v>
      </c>
    </row>
    <row r="2607">
      <c r="A2607" s="4">
        <v>45259.0</v>
      </c>
      <c r="B2607" s="2">
        <v>1504203.0</v>
      </c>
      <c r="C2607" s="2">
        <v>5254394.0</v>
      </c>
      <c r="D2607" s="2">
        <v>33.0805</v>
      </c>
    </row>
    <row r="2608">
      <c r="A2608" s="4">
        <v>45259.0</v>
      </c>
      <c r="B2608" s="2">
        <v>1797933.0</v>
      </c>
      <c r="C2608" s="2">
        <v>5254391.0</v>
      </c>
      <c r="D2608" s="2">
        <v>139.9934</v>
      </c>
    </row>
    <row r="2609">
      <c r="A2609" s="4">
        <v>45004.0</v>
      </c>
      <c r="B2609" s="2">
        <v>91623.0</v>
      </c>
      <c r="C2609" s="2">
        <v>4313707.0</v>
      </c>
      <c r="D2609" s="2">
        <v>34.6275</v>
      </c>
    </row>
    <row r="2610">
      <c r="A2610" s="4">
        <v>45004.0</v>
      </c>
      <c r="B2610" s="2">
        <v>1553223.0</v>
      </c>
      <c r="C2610" s="2">
        <v>4311537.0</v>
      </c>
      <c r="D2610" s="2">
        <v>46.4681999999999</v>
      </c>
    </row>
    <row r="2611">
      <c r="A2611" s="4">
        <v>45004.0</v>
      </c>
      <c r="B2611" s="2">
        <v>1323963.0</v>
      </c>
      <c r="C2611" s="2">
        <v>4311271.0</v>
      </c>
      <c r="D2611" s="2">
        <v>43.791</v>
      </c>
    </row>
    <row r="2612">
      <c r="A2612" s="4">
        <v>45004.0</v>
      </c>
      <c r="B2612" s="2">
        <v>384483.0</v>
      </c>
      <c r="C2612" s="2">
        <v>4313784.0</v>
      </c>
      <c r="D2612" s="2">
        <v>148.9581</v>
      </c>
    </row>
    <row r="2613">
      <c r="A2613" s="4">
        <v>45260.0</v>
      </c>
      <c r="B2613" s="2">
        <v>1417053.0</v>
      </c>
      <c r="C2613" s="2">
        <v>5258581.0</v>
      </c>
      <c r="D2613" s="2">
        <v>46.4282</v>
      </c>
    </row>
    <row r="2614">
      <c r="A2614" s="4">
        <v>45260.0</v>
      </c>
      <c r="B2614" s="2">
        <v>1798953.0</v>
      </c>
      <c r="C2614" s="2">
        <v>5257690.0</v>
      </c>
      <c r="D2614" s="2">
        <v>65.5416</v>
      </c>
    </row>
    <row r="2615">
      <c r="A2615" s="4">
        <v>45260.0</v>
      </c>
      <c r="B2615" s="2">
        <v>1144893.0</v>
      </c>
      <c r="C2615" s="2">
        <v>5259825.0</v>
      </c>
      <c r="D2615" s="2">
        <v>112.98</v>
      </c>
    </row>
    <row r="2616">
      <c r="A2616" s="4">
        <v>45260.0</v>
      </c>
      <c r="B2616" s="2">
        <v>1350603.0</v>
      </c>
      <c r="C2616" s="2">
        <v>5258824.0</v>
      </c>
      <c r="D2616" s="2">
        <v>38.7192</v>
      </c>
    </row>
    <row r="2617">
      <c r="A2617" s="4">
        <v>45260.0</v>
      </c>
      <c r="B2617" s="2">
        <v>430593.0</v>
      </c>
      <c r="C2617" s="2">
        <v>5259481.0</v>
      </c>
      <c r="D2617" s="2">
        <v>60.8182</v>
      </c>
    </row>
    <row r="2618">
      <c r="A2618" s="4">
        <v>45260.0</v>
      </c>
      <c r="B2618" s="2">
        <v>1799403.0</v>
      </c>
      <c r="C2618" s="2">
        <v>5259148.0</v>
      </c>
      <c r="D2618" s="2">
        <v>65.9927</v>
      </c>
    </row>
    <row r="2619">
      <c r="A2619" s="4">
        <v>45260.0</v>
      </c>
      <c r="B2619" s="2">
        <v>1799373.0</v>
      </c>
      <c r="C2619" s="2">
        <v>5259164.0</v>
      </c>
      <c r="D2619" s="2">
        <v>63.0417</v>
      </c>
    </row>
    <row r="2620">
      <c r="A2620" s="4">
        <v>45260.0</v>
      </c>
      <c r="B2620" s="2">
        <v>1491483.0</v>
      </c>
      <c r="C2620" s="2">
        <v>5258852.0</v>
      </c>
      <c r="D2620" s="2">
        <v>111.133199999999</v>
      </c>
    </row>
    <row r="2621">
      <c r="A2621" s="4">
        <v>45260.0</v>
      </c>
      <c r="B2621" s="2">
        <v>1350603.0</v>
      </c>
      <c r="C2621" s="2">
        <v>5258558.0</v>
      </c>
      <c r="D2621" s="2">
        <v>23.1249</v>
      </c>
    </row>
    <row r="2622">
      <c r="A2622" s="4">
        <v>45005.0</v>
      </c>
      <c r="B2622" s="2">
        <v>1478673.0</v>
      </c>
      <c r="C2622" s="2">
        <v>4316119.0</v>
      </c>
      <c r="D2622" s="2">
        <v>115.985599999999</v>
      </c>
    </row>
    <row r="2623">
      <c r="A2623" s="4">
        <v>45005.0</v>
      </c>
      <c r="B2623" s="2">
        <v>1328943.0</v>
      </c>
      <c r="C2623" s="2">
        <v>4314759.0</v>
      </c>
      <c r="D2623" s="2">
        <v>68.3124</v>
      </c>
    </row>
    <row r="2624">
      <c r="A2624" s="4">
        <v>45005.0</v>
      </c>
      <c r="B2624" s="2">
        <v>1554063.0</v>
      </c>
      <c r="C2624" s="2">
        <v>4314852.0</v>
      </c>
      <c r="D2624" s="2">
        <v>79.408</v>
      </c>
    </row>
    <row r="2625">
      <c r="A2625" s="4">
        <v>45261.0</v>
      </c>
      <c r="B2625" s="2">
        <v>471153.0</v>
      </c>
      <c r="C2625" s="2">
        <v>5263832.0</v>
      </c>
      <c r="D2625" s="2">
        <v>92.6666</v>
      </c>
    </row>
    <row r="2626">
      <c r="A2626" s="4">
        <v>45261.0</v>
      </c>
      <c r="B2626" s="2">
        <v>430593.0</v>
      </c>
      <c r="C2626" s="2">
        <v>5261905.0</v>
      </c>
      <c r="D2626" s="2">
        <v>59.9167</v>
      </c>
    </row>
    <row r="2627">
      <c r="A2627" s="4">
        <v>45261.0</v>
      </c>
      <c r="B2627" s="2">
        <v>491553.0</v>
      </c>
      <c r="C2627" s="2">
        <v>5262484.0</v>
      </c>
      <c r="D2627" s="2">
        <v>73.9491</v>
      </c>
    </row>
    <row r="2628">
      <c r="A2628" s="4">
        <v>45261.0</v>
      </c>
      <c r="B2628" s="2">
        <v>1168623.0</v>
      </c>
      <c r="C2628" s="2">
        <v>5263404.0</v>
      </c>
      <c r="D2628" s="2">
        <v>51.8025</v>
      </c>
    </row>
    <row r="2629">
      <c r="A2629" s="4">
        <v>45261.0</v>
      </c>
      <c r="B2629" s="2">
        <v>1676793.0</v>
      </c>
      <c r="C2629" s="2">
        <v>5260970.0</v>
      </c>
      <c r="D2629" s="2">
        <v>67.3494</v>
      </c>
    </row>
    <row r="2630">
      <c r="A2630" s="4">
        <v>45261.0</v>
      </c>
      <c r="B2630" s="2">
        <v>1795413.0</v>
      </c>
      <c r="C2630" s="2">
        <v>5260832.0</v>
      </c>
      <c r="D2630" s="2">
        <v>42.3583</v>
      </c>
    </row>
    <row r="2631">
      <c r="A2631" s="4">
        <v>45261.0</v>
      </c>
      <c r="B2631" s="2">
        <v>1801023.0</v>
      </c>
      <c r="C2631" s="2">
        <v>5264167.0</v>
      </c>
      <c r="D2631" s="2">
        <v>13.6193</v>
      </c>
    </row>
    <row r="2632">
      <c r="A2632" s="4">
        <v>45261.0</v>
      </c>
      <c r="B2632" s="2">
        <v>1800303.0</v>
      </c>
      <c r="C2632" s="2">
        <v>5261898.0</v>
      </c>
      <c r="D2632" s="2">
        <v>17.7468</v>
      </c>
    </row>
    <row r="2633">
      <c r="A2633" s="4">
        <v>45261.0</v>
      </c>
      <c r="B2633" s="2">
        <v>1040313.0</v>
      </c>
      <c r="C2633" s="2">
        <v>5262568.0</v>
      </c>
      <c r="D2633" s="2">
        <v>107.3149</v>
      </c>
    </row>
    <row r="2634">
      <c r="A2634" s="4">
        <v>45261.0</v>
      </c>
      <c r="B2634" s="2">
        <v>1800393.0</v>
      </c>
      <c r="C2634" s="2">
        <v>5262293.0</v>
      </c>
      <c r="D2634" s="2">
        <v>33.585</v>
      </c>
    </row>
    <row r="2635">
      <c r="A2635" s="4">
        <v>45006.0</v>
      </c>
      <c r="B2635" s="2">
        <v>1344573.0</v>
      </c>
      <c r="C2635" s="2">
        <v>4318780.0</v>
      </c>
      <c r="D2635" s="2">
        <v>105.2052</v>
      </c>
    </row>
    <row r="2636">
      <c r="A2636" s="4">
        <v>45006.0</v>
      </c>
      <c r="B2636" s="2">
        <v>1127043.0</v>
      </c>
      <c r="C2636" s="2">
        <v>4318234.0</v>
      </c>
      <c r="D2636" s="2">
        <v>107.4941</v>
      </c>
    </row>
    <row r="2637">
      <c r="A2637" s="4">
        <v>45006.0</v>
      </c>
      <c r="B2637" s="2">
        <v>1555263.0</v>
      </c>
      <c r="C2637" s="2">
        <v>4319094.0</v>
      </c>
      <c r="D2637" s="2">
        <v>2.3364</v>
      </c>
    </row>
    <row r="2638">
      <c r="A2638" s="4">
        <v>45006.0</v>
      </c>
      <c r="B2638" s="2">
        <v>1555323.0</v>
      </c>
      <c r="C2638" s="2">
        <v>4319295.0</v>
      </c>
      <c r="D2638" s="2">
        <v>38.6842</v>
      </c>
    </row>
    <row r="2639">
      <c r="A2639" s="4">
        <v>45006.0</v>
      </c>
      <c r="B2639" s="2">
        <v>1555053.0</v>
      </c>
      <c r="C2639" s="2">
        <v>4318379.0</v>
      </c>
      <c r="D2639" s="2">
        <v>16.3628</v>
      </c>
    </row>
    <row r="2640">
      <c r="A2640" s="4">
        <v>45006.0</v>
      </c>
      <c r="B2640" s="2">
        <v>1368693.0</v>
      </c>
      <c r="C2640" s="2">
        <v>4317517.0</v>
      </c>
      <c r="D2640" s="2">
        <v>43.577</v>
      </c>
    </row>
    <row r="2641">
      <c r="A2641" s="4">
        <v>45006.0</v>
      </c>
      <c r="B2641" s="2">
        <v>1406463.0</v>
      </c>
      <c r="C2641" s="2">
        <v>4317556.0</v>
      </c>
      <c r="D2641" s="2">
        <v>24.2843</v>
      </c>
    </row>
    <row r="2642">
      <c r="A2642" s="4">
        <v>45262.0</v>
      </c>
      <c r="B2642" s="2">
        <v>1173993.0</v>
      </c>
      <c r="C2642" s="2">
        <v>5264710.0</v>
      </c>
      <c r="D2642" s="2">
        <v>14.0833</v>
      </c>
    </row>
    <row r="2643">
      <c r="A2643" s="4">
        <v>45262.0</v>
      </c>
      <c r="B2643" s="2">
        <v>1427553.0</v>
      </c>
      <c r="C2643" s="2">
        <v>5267571.0</v>
      </c>
      <c r="D2643" s="2">
        <v>102.5037</v>
      </c>
    </row>
    <row r="2644">
      <c r="A2644" s="4">
        <v>45262.0</v>
      </c>
      <c r="B2644" s="2">
        <v>1801743.0</v>
      </c>
      <c r="C2644" s="2">
        <v>5266741.0</v>
      </c>
      <c r="D2644" s="2">
        <v>148.1283</v>
      </c>
    </row>
    <row r="2645">
      <c r="A2645" s="4">
        <v>45262.0</v>
      </c>
      <c r="B2645" s="2">
        <v>1350243.0</v>
      </c>
      <c r="C2645" s="2">
        <v>5269442.0</v>
      </c>
      <c r="D2645" s="2">
        <v>72.7664</v>
      </c>
    </row>
    <row r="2646">
      <c r="A2646" s="4">
        <v>45262.0</v>
      </c>
      <c r="B2646" s="2">
        <v>1747713.0</v>
      </c>
      <c r="C2646" s="2">
        <v>5268731.0</v>
      </c>
      <c r="D2646" s="2">
        <v>62.742</v>
      </c>
    </row>
    <row r="2647">
      <c r="A2647" s="4">
        <v>45262.0</v>
      </c>
      <c r="B2647" s="2">
        <v>1801923.0</v>
      </c>
      <c r="C2647" s="2">
        <v>5267320.0</v>
      </c>
      <c r="D2647" s="2">
        <v>50.25</v>
      </c>
    </row>
    <row r="2648">
      <c r="A2648" s="4">
        <v>45262.0</v>
      </c>
      <c r="B2648" s="2">
        <v>1802433.0</v>
      </c>
      <c r="C2648" s="2">
        <v>5269192.0</v>
      </c>
      <c r="D2648" s="2">
        <v>42.1631</v>
      </c>
    </row>
    <row r="2649">
      <c r="A2649" s="4">
        <v>45262.0</v>
      </c>
      <c r="B2649" s="2">
        <v>1738923.0</v>
      </c>
      <c r="C2649" s="2">
        <v>5266659.0</v>
      </c>
      <c r="D2649" s="2">
        <v>28.2736</v>
      </c>
    </row>
    <row r="2650">
      <c r="A2650" s="4">
        <v>45262.0</v>
      </c>
      <c r="B2650" s="2">
        <v>260553.0</v>
      </c>
      <c r="C2650" s="2">
        <v>5264518.0</v>
      </c>
      <c r="D2650" s="2">
        <v>62.4083</v>
      </c>
    </row>
    <row r="2651">
      <c r="A2651" s="4">
        <v>45262.0</v>
      </c>
      <c r="B2651" s="2">
        <v>44823.0</v>
      </c>
      <c r="C2651" s="2">
        <v>5268917.0</v>
      </c>
      <c r="D2651" s="2">
        <v>92.967</v>
      </c>
    </row>
    <row r="2652">
      <c r="A2652" s="4">
        <v>45262.0</v>
      </c>
      <c r="B2652" s="2">
        <v>1253943.0</v>
      </c>
      <c r="C2652" s="2">
        <v>5264858.0</v>
      </c>
      <c r="D2652" s="2">
        <v>69.6875</v>
      </c>
    </row>
    <row r="2653">
      <c r="A2653" s="4">
        <v>45262.0</v>
      </c>
      <c r="B2653" s="2">
        <v>1801473.0</v>
      </c>
      <c r="C2653" s="2">
        <v>5265848.0</v>
      </c>
      <c r="D2653" s="2">
        <v>54.9782</v>
      </c>
    </row>
    <row r="2654">
      <c r="A2654" s="4">
        <v>44751.0</v>
      </c>
      <c r="B2654" s="2">
        <v>1184643.0</v>
      </c>
      <c r="C2654" s="2">
        <v>3633316.0</v>
      </c>
      <c r="D2654" s="2">
        <v>167.4862</v>
      </c>
    </row>
    <row r="2655">
      <c r="A2655" s="4">
        <v>44751.0</v>
      </c>
      <c r="B2655" s="2">
        <v>436233.0</v>
      </c>
      <c r="C2655" s="2">
        <v>3632920.0</v>
      </c>
      <c r="D2655" s="2">
        <v>249.1666</v>
      </c>
    </row>
    <row r="2656">
      <c r="A2656" s="4">
        <v>44751.0</v>
      </c>
      <c r="B2656" s="2">
        <v>1374543.0</v>
      </c>
      <c r="C2656" s="2">
        <v>3634323.0</v>
      </c>
      <c r="D2656" s="2">
        <v>46.8626</v>
      </c>
    </row>
    <row r="2657">
      <c r="A2657" s="4">
        <v>44751.0</v>
      </c>
      <c r="B2657" s="2">
        <v>234783.0</v>
      </c>
      <c r="C2657" s="2">
        <v>3632264.0</v>
      </c>
      <c r="D2657" s="2">
        <v>78.5866</v>
      </c>
    </row>
    <row r="2658">
      <c r="A2658" s="4">
        <v>44751.0</v>
      </c>
      <c r="B2658" s="2">
        <v>1330143.0</v>
      </c>
      <c r="C2658" s="2">
        <v>3632904.0</v>
      </c>
      <c r="D2658" s="2">
        <v>56.194</v>
      </c>
    </row>
    <row r="2659">
      <c r="A2659" s="4">
        <v>44751.0</v>
      </c>
      <c r="B2659" s="2">
        <v>1367703.0</v>
      </c>
      <c r="C2659" s="2">
        <v>3633854.0</v>
      </c>
      <c r="D2659" s="2">
        <v>80.1009</v>
      </c>
    </row>
    <row r="2660">
      <c r="A2660" s="4">
        <v>44751.0</v>
      </c>
      <c r="B2660" s="2">
        <v>91623.0</v>
      </c>
      <c r="C2660" s="2">
        <v>3633188.0</v>
      </c>
      <c r="D2660" s="2">
        <v>38.5293</v>
      </c>
    </row>
    <row r="2661">
      <c r="A2661" s="4">
        <v>44751.0</v>
      </c>
      <c r="B2661" s="2">
        <v>1374483.0</v>
      </c>
      <c r="C2661" s="2">
        <v>3634201.0</v>
      </c>
      <c r="D2661" s="2">
        <v>31.9206</v>
      </c>
    </row>
    <row r="2662">
      <c r="A2662" s="4">
        <v>45007.0</v>
      </c>
      <c r="B2662" s="2">
        <v>1110273.0</v>
      </c>
      <c r="C2662" s="2">
        <v>4321767.0</v>
      </c>
      <c r="D2662" s="2">
        <v>79.7389</v>
      </c>
    </row>
    <row r="2663">
      <c r="A2663" s="4">
        <v>45007.0</v>
      </c>
      <c r="B2663" s="2">
        <v>223263.0</v>
      </c>
      <c r="C2663" s="2">
        <v>4320373.0</v>
      </c>
      <c r="D2663" s="2">
        <v>97.2467</v>
      </c>
    </row>
    <row r="2664">
      <c r="A2664" s="4">
        <v>45007.0</v>
      </c>
      <c r="B2664" s="2">
        <v>1474593.0</v>
      </c>
      <c r="C2664" s="2">
        <v>4321318.0</v>
      </c>
      <c r="D2664" s="2">
        <v>82.3853</v>
      </c>
    </row>
    <row r="2665">
      <c r="A2665" s="4">
        <v>45007.0</v>
      </c>
      <c r="B2665" s="2">
        <v>1198923.0</v>
      </c>
      <c r="C2665" s="2">
        <v>4320245.0</v>
      </c>
      <c r="D2665" s="2">
        <v>65.7877</v>
      </c>
    </row>
    <row r="2666">
      <c r="A2666" s="4">
        <v>45263.0</v>
      </c>
      <c r="B2666" s="2">
        <v>1473483.0</v>
      </c>
      <c r="C2666" s="2">
        <v>5271954.0</v>
      </c>
      <c r="D2666" s="2">
        <v>85.2222999999999</v>
      </c>
    </row>
    <row r="2667">
      <c r="A2667" s="4">
        <v>45263.0</v>
      </c>
      <c r="B2667" s="2">
        <v>1714233.0</v>
      </c>
      <c r="C2667" s="2">
        <v>5272373.0</v>
      </c>
      <c r="D2667" s="2">
        <v>30.1478</v>
      </c>
    </row>
    <row r="2668">
      <c r="A2668" s="4">
        <v>45263.0</v>
      </c>
      <c r="B2668" s="2">
        <v>1803513.0</v>
      </c>
      <c r="C2668" s="2">
        <v>5272838.0</v>
      </c>
      <c r="D2668" s="2">
        <v>553.2385</v>
      </c>
    </row>
    <row r="2669">
      <c r="A2669" s="4">
        <v>45263.0</v>
      </c>
      <c r="B2669" s="2">
        <v>1802793.0</v>
      </c>
      <c r="C2669" s="2">
        <v>5270501.0</v>
      </c>
      <c r="D2669" s="2">
        <v>53.5032999999999</v>
      </c>
    </row>
    <row r="2670">
      <c r="A2670" s="4">
        <v>45263.0</v>
      </c>
      <c r="B2670" s="2">
        <v>1225773.0</v>
      </c>
      <c r="C2670" s="2">
        <v>5273102.0</v>
      </c>
      <c r="D2670" s="2">
        <v>38.4359</v>
      </c>
    </row>
    <row r="2671">
      <c r="A2671" s="4">
        <v>45263.0</v>
      </c>
      <c r="B2671" s="2">
        <v>1803093.0</v>
      </c>
      <c r="C2671" s="2">
        <v>5271452.0</v>
      </c>
      <c r="D2671" s="2">
        <v>79.3334</v>
      </c>
    </row>
    <row r="2672">
      <c r="A2672" s="4">
        <v>45263.0</v>
      </c>
      <c r="B2672" s="2">
        <v>1528353.0</v>
      </c>
      <c r="C2672" s="2">
        <v>5269952.0</v>
      </c>
      <c r="D2672" s="2">
        <v>75.4792</v>
      </c>
    </row>
    <row r="2673">
      <c r="A2673" s="4">
        <v>45263.0</v>
      </c>
      <c r="B2673" s="2">
        <v>1802703.0</v>
      </c>
      <c r="C2673" s="2">
        <v>5270142.0</v>
      </c>
      <c r="D2673" s="2">
        <v>80.3209</v>
      </c>
    </row>
    <row r="2674">
      <c r="A2674" s="4">
        <v>45263.0</v>
      </c>
      <c r="B2674" s="2">
        <v>1513473.0</v>
      </c>
      <c r="C2674" s="2">
        <v>5272126.0</v>
      </c>
      <c r="D2674" s="2">
        <v>85.1315</v>
      </c>
    </row>
    <row r="2675">
      <c r="A2675" s="4">
        <v>44752.0</v>
      </c>
      <c r="B2675" s="2">
        <v>391113.0</v>
      </c>
      <c r="C2675" s="2">
        <v>3635831.0</v>
      </c>
      <c r="D2675" s="2">
        <v>78.0321</v>
      </c>
    </row>
    <row r="2676">
      <c r="A2676" s="4">
        <v>44752.0</v>
      </c>
      <c r="B2676" s="2">
        <v>186663.0</v>
      </c>
      <c r="C2676" s="2">
        <v>3635393.0</v>
      </c>
      <c r="D2676" s="2">
        <v>68.332</v>
      </c>
    </row>
    <row r="2677">
      <c r="A2677" s="4">
        <v>44752.0</v>
      </c>
      <c r="B2677" s="2">
        <v>146733.0</v>
      </c>
      <c r="C2677" s="2">
        <v>3636698.0</v>
      </c>
      <c r="D2677" s="2">
        <v>82.9991</v>
      </c>
    </row>
    <row r="2678">
      <c r="A2678" s="4">
        <v>44752.0</v>
      </c>
      <c r="B2678" s="2">
        <v>274113.0</v>
      </c>
      <c r="C2678" s="2">
        <v>3636278.0</v>
      </c>
      <c r="D2678" s="2">
        <v>31.5594</v>
      </c>
    </row>
    <row r="2679">
      <c r="A2679" s="4">
        <v>44752.0</v>
      </c>
      <c r="B2679" s="2">
        <v>1179843.0</v>
      </c>
      <c r="C2679" s="2">
        <v>3635956.0</v>
      </c>
      <c r="D2679" s="2">
        <v>23.5749</v>
      </c>
    </row>
    <row r="2680">
      <c r="A2680" s="4">
        <v>44752.0</v>
      </c>
      <c r="B2680" s="2">
        <v>186663.0</v>
      </c>
      <c r="C2680" s="2">
        <v>3635348.0</v>
      </c>
      <c r="D2680" s="2">
        <v>8.1675</v>
      </c>
    </row>
    <row r="2681">
      <c r="A2681" s="4">
        <v>44752.0</v>
      </c>
      <c r="B2681" s="2">
        <v>1375383.0</v>
      </c>
      <c r="C2681" s="2">
        <v>3637743.0</v>
      </c>
      <c r="D2681" s="2">
        <v>60.1414</v>
      </c>
    </row>
    <row r="2682">
      <c r="A2682" s="4">
        <v>44752.0</v>
      </c>
      <c r="B2682" s="2">
        <v>1247553.0</v>
      </c>
      <c r="C2682" s="2">
        <v>3637470.0</v>
      </c>
      <c r="D2682" s="2">
        <v>69.8691</v>
      </c>
    </row>
    <row r="2683">
      <c r="A2683" s="4">
        <v>44752.0</v>
      </c>
      <c r="B2683" s="2">
        <v>1366023.0</v>
      </c>
      <c r="C2683" s="2">
        <v>3636432.0</v>
      </c>
      <c r="D2683" s="2">
        <v>44.0770999999999</v>
      </c>
    </row>
    <row r="2684">
      <c r="A2684" s="4">
        <v>44752.0</v>
      </c>
      <c r="B2684" s="2">
        <v>147933.0</v>
      </c>
      <c r="C2684" s="2">
        <v>3635201.0</v>
      </c>
      <c r="D2684" s="2">
        <v>59.0256</v>
      </c>
    </row>
    <row r="2685">
      <c r="A2685" s="4">
        <v>45008.0</v>
      </c>
      <c r="B2685" s="2">
        <v>1556583.0</v>
      </c>
      <c r="C2685" s="2">
        <v>4323959.0</v>
      </c>
      <c r="D2685" s="2">
        <v>13.2524</v>
      </c>
    </row>
    <row r="2686">
      <c r="A2686" s="4">
        <v>45008.0</v>
      </c>
      <c r="B2686" s="2">
        <v>1334643.0</v>
      </c>
      <c r="C2686" s="2">
        <v>4322443.0</v>
      </c>
      <c r="D2686" s="2">
        <v>87.1409</v>
      </c>
    </row>
    <row r="2687">
      <c r="A2687" s="4">
        <v>45008.0</v>
      </c>
      <c r="B2687" s="2">
        <v>1351803.0</v>
      </c>
      <c r="C2687" s="2">
        <v>4324379.0</v>
      </c>
      <c r="D2687" s="2">
        <v>64.6886</v>
      </c>
    </row>
    <row r="2688">
      <c r="A2688" s="4">
        <v>45008.0</v>
      </c>
      <c r="B2688" s="2">
        <v>1324833.0</v>
      </c>
      <c r="C2688" s="2">
        <v>4323567.0</v>
      </c>
      <c r="D2688" s="2">
        <v>33.1659</v>
      </c>
    </row>
    <row r="2689">
      <c r="A2689" s="4">
        <v>45008.0</v>
      </c>
      <c r="B2689" s="2">
        <v>1300023.0</v>
      </c>
      <c r="C2689" s="2">
        <v>4322964.0</v>
      </c>
      <c r="D2689" s="2">
        <v>62.2586</v>
      </c>
    </row>
    <row r="2690">
      <c r="A2690" s="4">
        <v>45008.0</v>
      </c>
      <c r="B2690" s="2">
        <v>1556523.0</v>
      </c>
      <c r="C2690" s="2">
        <v>4323782.0</v>
      </c>
      <c r="D2690" s="2">
        <v>34.6857</v>
      </c>
    </row>
    <row r="2691">
      <c r="A2691" s="4">
        <v>45264.0</v>
      </c>
      <c r="B2691" s="2">
        <v>1238583.0</v>
      </c>
      <c r="C2691" s="2">
        <v>5276769.0</v>
      </c>
      <c r="D2691" s="2">
        <v>25.0084</v>
      </c>
    </row>
    <row r="2692">
      <c r="A2692" s="4">
        <v>45264.0</v>
      </c>
      <c r="B2692" s="2">
        <v>1674183.0</v>
      </c>
      <c r="C2692" s="2">
        <v>5277659.0</v>
      </c>
      <c r="D2692" s="2">
        <v>47.1736</v>
      </c>
    </row>
    <row r="2693">
      <c r="A2693" s="4">
        <v>45264.0</v>
      </c>
      <c r="B2693" s="2">
        <v>1804623.0</v>
      </c>
      <c r="C2693" s="2">
        <v>5276478.0</v>
      </c>
      <c r="D2693" s="2">
        <v>18.6508</v>
      </c>
    </row>
    <row r="2694">
      <c r="A2694" s="4">
        <v>45264.0</v>
      </c>
      <c r="B2694" s="2">
        <v>1442343.0</v>
      </c>
      <c r="C2694" s="2">
        <v>5275404.0</v>
      </c>
      <c r="D2694" s="2">
        <v>91.125</v>
      </c>
    </row>
    <row r="2695">
      <c r="A2695" s="4">
        <v>45264.0</v>
      </c>
      <c r="B2695" s="2">
        <v>1194483.0</v>
      </c>
      <c r="C2695" s="2">
        <v>5277460.0</v>
      </c>
      <c r="D2695" s="2">
        <v>92.9828</v>
      </c>
    </row>
    <row r="2696">
      <c r="A2696" s="4">
        <v>45264.0</v>
      </c>
      <c r="B2696" s="2">
        <v>1804173.0</v>
      </c>
      <c r="C2696" s="2">
        <v>5274869.0</v>
      </c>
      <c r="D2696" s="2">
        <v>29.925</v>
      </c>
    </row>
    <row r="2697">
      <c r="A2697" s="4">
        <v>45264.0</v>
      </c>
      <c r="B2697" s="2">
        <v>1804653.0</v>
      </c>
      <c r="C2697" s="2">
        <v>5276592.0</v>
      </c>
      <c r="D2697" s="2">
        <v>27.989</v>
      </c>
    </row>
    <row r="2698">
      <c r="A2698" s="4">
        <v>45264.0</v>
      </c>
      <c r="B2698" s="2">
        <v>1804833.0</v>
      </c>
      <c r="C2698" s="2">
        <v>5277220.0</v>
      </c>
      <c r="D2698" s="2">
        <v>165.0833</v>
      </c>
    </row>
    <row r="2699">
      <c r="A2699" s="4">
        <v>45264.0</v>
      </c>
      <c r="B2699" s="2">
        <v>1804413.0</v>
      </c>
      <c r="C2699" s="2">
        <v>5275769.0</v>
      </c>
      <c r="D2699" s="2">
        <v>37.4167</v>
      </c>
    </row>
    <row r="2700">
      <c r="A2700" s="4">
        <v>45264.0</v>
      </c>
      <c r="B2700" s="2">
        <v>1690593.0</v>
      </c>
      <c r="C2700" s="2">
        <v>5274337.0</v>
      </c>
      <c r="D2700" s="2">
        <v>23.8479</v>
      </c>
    </row>
    <row r="2701">
      <c r="A2701" s="4">
        <v>44753.0</v>
      </c>
      <c r="B2701" s="2">
        <v>1375473.0</v>
      </c>
      <c r="C2701" s="2">
        <v>3638308.0</v>
      </c>
      <c r="D2701" s="2">
        <v>76.4623</v>
      </c>
    </row>
    <row r="2702">
      <c r="A2702" s="4">
        <v>44753.0</v>
      </c>
      <c r="B2702" s="2">
        <v>1223523.0</v>
      </c>
      <c r="C2702" s="2">
        <v>3640051.0</v>
      </c>
      <c r="D2702" s="2">
        <v>95.2059</v>
      </c>
    </row>
    <row r="2703">
      <c r="A2703" s="4">
        <v>44753.0</v>
      </c>
      <c r="B2703" s="2">
        <v>996933.0</v>
      </c>
      <c r="C2703" s="2">
        <v>3640214.0</v>
      </c>
      <c r="D2703" s="2">
        <v>37.4931</v>
      </c>
    </row>
    <row r="2704">
      <c r="A2704" s="4">
        <v>44753.0</v>
      </c>
      <c r="B2704" s="2">
        <v>1270233.0</v>
      </c>
      <c r="C2704" s="2">
        <v>3638724.0</v>
      </c>
      <c r="D2704" s="2">
        <v>32.25</v>
      </c>
    </row>
    <row r="2705">
      <c r="A2705" s="4">
        <v>45009.0</v>
      </c>
      <c r="B2705" s="2">
        <v>1557333.0</v>
      </c>
      <c r="C2705" s="2">
        <v>4326480.0</v>
      </c>
      <c r="D2705" s="2">
        <v>20.5411</v>
      </c>
    </row>
    <row r="2706">
      <c r="A2706" s="4">
        <v>45009.0</v>
      </c>
      <c r="B2706" s="2">
        <v>1237893.0</v>
      </c>
      <c r="C2706" s="2">
        <v>4325955.0</v>
      </c>
      <c r="D2706" s="2">
        <v>67.0365</v>
      </c>
    </row>
    <row r="2707">
      <c r="A2707" s="4">
        <v>45009.0</v>
      </c>
      <c r="B2707" s="2">
        <v>1236333.0</v>
      </c>
      <c r="C2707" s="2">
        <v>4324840.0</v>
      </c>
      <c r="D2707" s="2">
        <v>108.662</v>
      </c>
    </row>
    <row r="2708">
      <c r="A2708" s="4">
        <v>45009.0</v>
      </c>
      <c r="B2708" s="2">
        <v>1556793.0</v>
      </c>
      <c r="C2708" s="2">
        <v>4324884.0</v>
      </c>
      <c r="D2708" s="2">
        <v>55.9583</v>
      </c>
    </row>
    <row r="2709">
      <c r="A2709" s="4">
        <v>45009.0</v>
      </c>
      <c r="B2709" s="2">
        <v>1556613.0</v>
      </c>
      <c r="C2709" s="2">
        <v>4325668.0</v>
      </c>
      <c r="D2709" s="2">
        <v>5.30459999999999</v>
      </c>
    </row>
    <row r="2710">
      <c r="A2710" s="4">
        <v>45009.0</v>
      </c>
      <c r="B2710" s="2">
        <v>1455873.0</v>
      </c>
      <c r="C2710" s="2">
        <v>4325919.0</v>
      </c>
      <c r="D2710" s="2">
        <v>101.6333</v>
      </c>
    </row>
    <row r="2711">
      <c r="A2711" s="4">
        <v>45265.0</v>
      </c>
      <c r="B2711" s="2">
        <v>1030563.0</v>
      </c>
      <c r="C2711" s="2">
        <v>5279834.0</v>
      </c>
      <c r="D2711" s="2">
        <v>235.5796</v>
      </c>
    </row>
    <row r="2712">
      <c r="A2712" s="4">
        <v>45265.0</v>
      </c>
      <c r="B2712" s="2">
        <v>1747353.0</v>
      </c>
      <c r="C2712" s="2">
        <v>5279673.0</v>
      </c>
      <c r="D2712" s="2">
        <v>26.0459</v>
      </c>
    </row>
    <row r="2713">
      <c r="A2713" s="4">
        <v>45265.0</v>
      </c>
      <c r="B2713" s="2">
        <v>1173993.0</v>
      </c>
      <c r="C2713" s="2">
        <v>5281000.0</v>
      </c>
      <c r="D2713" s="2">
        <v>85.7311</v>
      </c>
    </row>
    <row r="2714">
      <c r="A2714" s="4">
        <v>45265.0</v>
      </c>
      <c r="B2714" s="2">
        <v>1223523.0</v>
      </c>
      <c r="C2714" s="2">
        <v>5278694.0</v>
      </c>
      <c r="D2714" s="2">
        <v>77.1891</v>
      </c>
    </row>
    <row r="2715">
      <c r="A2715" s="4">
        <v>45265.0</v>
      </c>
      <c r="B2715" s="2">
        <v>1804743.0</v>
      </c>
      <c r="C2715" s="2">
        <v>5282035.0</v>
      </c>
      <c r="D2715" s="2">
        <v>14.9167</v>
      </c>
    </row>
    <row r="2716">
      <c r="A2716" s="4">
        <v>45265.0</v>
      </c>
      <c r="B2716" s="2">
        <v>1269453.0</v>
      </c>
      <c r="C2716" s="2">
        <v>5279771.0</v>
      </c>
      <c r="D2716" s="2">
        <v>67.0082</v>
      </c>
    </row>
    <row r="2717">
      <c r="A2717" s="4">
        <v>45265.0</v>
      </c>
      <c r="B2717" s="2">
        <v>1805643.0</v>
      </c>
      <c r="C2717" s="2">
        <v>5279954.0</v>
      </c>
      <c r="D2717" s="2">
        <v>11.925</v>
      </c>
    </row>
    <row r="2718">
      <c r="A2718" s="4">
        <v>44754.0</v>
      </c>
      <c r="B2718" s="2">
        <v>1375953.0</v>
      </c>
      <c r="C2718" s="2">
        <v>3640261.0</v>
      </c>
      <c r="D2718" s="2">
        <v>15.0504</v>
      </c>
    </row>
    <row r="2719">
      <c r="A2719" s="4">
        <v>44754.0</v>
      </c>
      <c r="B2719" s="2">
        <v>300033.0</v>
      </c>
      <c r="C2719" s="2">
        <v>3640444.0</v>
      </c>
      <c r="D2719" s="2">
        <v>59.5042</v>
      </c>
    </row>
    <row r="2720">
      <c r="A2720" s="4">
        <v>44754.0</v>
      </c>
      <c r="B2720" s="2">
        <v>1288023.0</v>
      </c>
      <c r="C2720" s="2">
        <v>3641993.0</v>
      </c>
      <c r="D2720" s="2">
        <v>64.0148</v>
      </c>
    </row>
    <row r="2721">
      <c r="A2721" s="4">
        <v>44754.0</v>
      </c>
      <c r="B2721" s="2">
        <v>1306983.0</v>
      </c>
      <c r="C2721" s="2">
        <v>3641867.0</v>
      </c>
      <c r="D2721" s="2">
        <v>121.199199999999</v>
      </c>
    </row>
    <row r="2722">
      <c r="A2722" s="4">
        <v>45010.0</v>
      </c>
      <c r="B2722" s="2">
        <v>481893.0</v>
      </c>
      <c r="C2722" s="2">
        <v>4327404.0</v>
      </c>
      <c r="D2722" s="2">
        <v>66.55</v>
      </c>
    </row>
    <row r="2723">
      <c r="A2723" s="4">
        <v>45010.0</v>
      </c>
      <c r="B2723" s="2">
        <v>1557393.0</v>
      </c>
      <c r="C2723" s="2">
        <v>4326673.0</v>
      </c>
      <c r="D2723" s="2">
        <v>37.3407</v>
      </c>
    </row>
    <row r="2724">
      <c r="A2724" s="4">
        <v>45010.0</v>
      </c>
      <c r="B2724" s="2">
        <v>1188903.0</v>
      </c>
      <c r="C2724" s="2">
        <v>4328598.0</v>
      </c>
      <c r="D2724" s="2">
        <v>59.7555</v>
      </c>
    </row>
    <row r="2725">
      <c r="A2725" s="4">
        <v>45010.0</v>
      </c>
      <c r="B2725" s="2">
        <v>1505163.0</v>
      </c>
      <c r="C2725" s="2">
        <v>4327689.0</v>
      </c>
      <c r="D2725" s="2">
        <v>59.8315</v>
      </c>
    </row>
    <row r="2726">
      <c r="A2726" s="4">
        <v>45010.0</v>
      </c>
      <c r="B2726" s="2">
        <v>1369833.0</v>
      </c>
      <c r="C2726" s="2">
        <v>4328209.0</v>
      </c>
      <c r="D2726" s="2">
        <v>69.9859</v>
      </c>
    </row>
    <row r="2727">
      <c r="A2727" s="4">
        <v>45010.0</v>
      </c>
      <c r="B2727" s="2">
        <v>1477113.0</v>
      </c>
      <c r="C2727" s="2">
        <v>4329643.0</v>
      </c>
      <c r="D2727" s="2">
        <v>33.3484</v>
      </c>
    </row>
    <row r="2728">
      <c r="A2728" s="4">
        <v>45266.0</v>
      </c>
      <c r="B2728" s="2">
        <v>1807383.0</v>
      </c>
      <c r="C2728" s="2">
        <v>5286027.0</v>
      </c>
      <c r="D2728" s="2">
        <v>61.95</v>
      </c>
    </row>
    <row r="2729">
      <c r="A2729" s="4">
        <v>45266.0</v>
      </c>
      <c r="B2729" s="2">
        <v>423153.0</v>
      </c>
      <c r="C2729" s="2">
        <v>5284364.0</v>
      </c>
      <c r="D2729" s="2">
        <v>174.9008</v>
      </c>
    </row>
    <row r="2730">
      <c r="A2730" s="4">
        <v>45266.0</v>
      </c>
      <c r="B2730" s="2">
        <v>1319343.0</v>
      </c>
      <c r="C2730" s="2">
        <v>5284697.0</v>
      </c>
      <c r="D2730" s="2">
        <v>51.9318</v>
      </c>
    </row>
    <row r="2731">
      <c r="A2731" s="4">
        <v>45266.0</v>
      </c>
      <c r="B2731" s="2">
        <v>1128333.0</v>
      </c>
      <c r="C2731" s="2">
        <v>5284337.0</v>
      </c>
      <c r="D2731" s="2">
        <v>64.5917</v>
      </c>
    </row>
    <row r="2732">
      <c r="A2732" s="4">
        <v>45266.0</v>
      </c>
      <c r="B2732" s="2">
        <v>1666593.0</v>
      </c>
      <c r="C2732" s="2">
        <v>5284087.0</v>
      </c>
      <c r="D2732" s="2">
        <v>110.3711</v>
      </c>
    </row>
    <row r="2733">
      <c r="A2733" s="4">
        <v>45266.0</v>
      </c>
      <c r="B2733" s="2">
        <v>1443723.0</v>
      </c>
      <c r="C2733" s="2">
        <v>5285446.0</v>
      </c>
      <c r="D2733" s="2">
        <v>57.6581999999999</v>
      </c>
    </row>
    <row r="2734">
      <c r="A2734" s="4">
        <v>45266.0</v>
      </c>
      <c r="B2734" s="2">
        <v>1545003.0</v>
      </c>
      <c r="C2734" s="2">
        <v>5284254.0</v>
      </c>
      <c r="D2734" s="2">
        <v>43.9666999999999</v>
      </c>
    </row>
    <row r="2735">
      <c r="A2735" s="4">
        <v>45266.0</v>
      </c>
      <c r="B2735" s="2">
        <v>1807023.0</v>
      </c>
      <c r="C2735" s="2">
        <v>5284301.0</v>
      </c>
      <c r="D2735" s="2">
        <v>33.1465</v>
      </c>
    </row>
    <row r="2736">
      <c r="A2736" s="4">
        <v>45266.0</v>
      </c>
      <c r="B2736" s="2">
        <v>1432323.0</v>
      </c>
      <c r="C2736" s="2">
        <v>5285912.0</v>
      </c>
      <c r="D2736" s="2">
        <v>23.9625</v>
      </c>
    </row>
    <row r="2737">
      <c r="A2737" s="4">
        <v>45266.0</v>
      </c>
      <c r="B2737" s="2">
        <v>1447083.0</v>
      </c>
      <c r="C2737" s="2">
        <v>5285071.0</v>
      </c>
      <c r="D2737" s="2">
        <v>46.3829999999999</v>
      </c>
    </row>
    <row r="2738">
      <c r="A2738" s="4">
        <v>45266.0</v>
      </c>
      <c r="B2738" s="2">
        <v>1803393.0</v>
      </c>
      <c r="C2738" s="2">
        <v>5284938.0</v>
      </c>
      <c r="D2738" s="2">
        <v>175.6667</v>
      </c>
    </row>
    <row r="2739">
      <c r="A2739" s="4">
        <v>45266.0</v>
      </c>
      <c r="B2739" s="2">
        <v>1504203.0</v>
      </c>
      <c r="C2739" s="2">
        <v>5282954.0</v>
      </c>
      <c r="D2739" s="2">
        <v>62.0758</v>
      </c>
    </row>
    <row r="2740">
      <c r="A2740" s="4">
        <v>45266.0</v>
      </c>
      <c r="B2740" s="2">
        <v>217743.0</v>
      </c>
      <c r="C2740" s="2">
        <v>5284326.0</v>
      </c>
      <c r="D2740" s="2">
        <v>116.811</v>
      </c>
    </row>
    <row r="2741">
      <c r="A2741" s="4">
        <v>44755.0</v>
      </c>
      <c r="B2741" s="2">
        <v>1274733.0</v>
      </c>
      <c r="C2741" s="2">
        <v>3644244.0</v>
      </c>
      <c r="D2741" s="2">
        <v>94.3734</v>
      </c>
    </row>
    <row r="2742">
      <c r="A2742" s="4">
        <v>44755.0</v>
      </c>
      <c r="B2742" s="2">
        <v>1038963.0</v>
      </c>
      <c r="C2742" s="2">
        <v>3643669.0</v>
      </c>
      <c r="D2742" s="2">
        <v>69.8433</v>
      </c>
    </row>
    <row r="2743">
      <c r="A2743" s="4">
        <v>44755.0</v>
      </c>
      <c r="B2743" s="2">
        <v>1376643.0</v>
      </c>
      <c r="C2743" s="2">
        <v>3643088.0</v>
      </c>
      <c r="D2743" s="2">
        <v>30.39</v>
      </c>
    </row>
    <row r="2744">
      <c r="A2744" s="4">
        <v>44755.0</v>
      </c>
      <c r="B2744" s="2">
        <v>1153263.0</v>
      </c>
      <c r="C2744" s="2">
        <v>3644153.0</v>
      </c>
      <c r="D2744" s="2">
        <v>111.107</v>
      </c>
    </row>
    <row r="2745">
      <c r="A2745" s="4">
        <v>44755.0</v>
      </c>
      <c r="B2745" s="2">
        <v>1220583.0</v>
      </c>
      <c r="C2745" s="2">
        <v>3644544.0</v>
      </c>
      <c r="D2745" s="2">
        <v>59.3983</v>
      </c>
    </row>
    <row r="2746">
      <c r="A2746" s="4">
        <v>44755.0</v>
      </c>
      <c r="B2746" s="2">
        <v>1224573.0</v>
      </c>
      <c r="C2746" s="2">
        <v>3643574.0</v>
      </c>
      <c r="D2746" s="2">
        <v>19.6512</v>
      </c>
    </row>
    <row r="2747">
      <c r="A2747" s="4">
        <v>45011.0</v>
      </c>
      <c r="B2747" s="2">
        <v>1224123.0</v>
      </c>
      <c r="C2747" s="2">
        <v>4330093.0</v>
      </c>
      <c r="D2747" s="2">
        <v>109.1422</v>
      </c>
    </row>
    <row r="2748">
      <c r="A2748" s="4">
        <v>45011.0</v>
      </c>
      <c r="B2748" s="2">
        <v>1304853.0</v>
      </c>
      <c r="C2748" s="2">
        <v>4330156.0</v>
      </c>
      <c r="D2748" s="2">
        <v>64.294</v>
      </c>
    </row>
    <row r="2749">
      <c r="A2749" s="4">
        <v>45011.0</v>
      </c>
      <c r="B2749" s="2">
        <v>1558293.0</v>
      </c>
      <c r="C2749" s="2">
        <v>4330036.0</v>
      </c>
      <c r="D2749" s="2">
        <v>42.2168</v>
      </c>
    </row>
    <row r="2750">
      <c r="A2750" s="4">
        <v>45011.0</v>
      </c>
      <c r="B2750" s="2">
        <v>184683.0</v>
      </c>
      <c r="C2750" s="2">
        <v>4331725.0</v>
      </c>
      <c r="D2750" s="2">
        <v>137.9704</v>
      </c>
    </row>
    <row r="2751">
      <c r="A2751" s="4">
        <v>45011.0</v>
      </c>
      <c r="B2751" s="2">
        <v>437733.0</v>
      </c>
      <c r="C2751" s="2">
        <v>4332405.0</v>
      </c>
      <c r="D2751" s="2">
        <v>73.5736</v>
      </c>
    </row>
    <row r="2752">
      <c r="A2752" s="4">
        <v>45011.0</v>
      </c>
      <c r="B2752" s="2">
        <v>231213.0</v>
      </c>
      <c r="C2752" s="2">
        <v>4332342.0</v>
      </c>
      <c r="D2752" s="2">
        <v>93.3235</v>
      </c>
    </row>
    <row r="2753">
      <c r="A2753" s="4">
        <v>45011.0</v>
      </c>
      <c r="B2753" s="2">
        <v>304143.0</v>
      </c>
      <c r="C2753" s="2">
        <v>4332326.0</v>
      </c>
      <c r="D2753" s="2">
        <v>48.1222</v>
      </c>
    </row>
    <row r="2754">
      <c r="A2754" s="4">
        <v>45267.0</v>
      </c>
      <c r="B2754" s="2">
        <v>1185813.0</v>
      </c>
      <c r="C2754" s="2">
        <v>5287448.0</v>
      </c>
      <c r="D2754" s="2">
        <v>85.4921</v>
      </c>
    </row>
    <row r="2755">
      <c r="A2755" s="4">
        <v>45267.0</v>
      </c>
      <c r="B2755" s="2">
        <v>1807773.0</v>
      </c>
      <c r="C2755" s="2">
        <v>5286786.0</v>
      </c>
      <c r="D2755" s="2">
        <v>7.545</v>
      </c>
    </row>
    <row r="2756">
      <c r="A2756" s="4">
        <v>45267.0</v>
      </c>
      <c r="B2756" s="2">
        <v>1423773.0</v>
      </c>
      <c r="C2756" s="2">
        <v>5287567.0</v>
      </c>
      <c r="D2756" s="2">
        <v>74.2775</v>
      </c>
    </row>
    <row r="2757">
      <c r="A2757" s="4">
        <v>45267.0</v>
      </c>
      <c r="B2757" s="2">
        <v>1310703.0</v>
      </c>
      <c r="C2757" s="2">
        <v>5286254.0</v>
      </c>
      <c r="D2757" s="2">
        <v>135.6521</v>
      </c>
    </row>
    <row r="2758">
      <c r="A2758" s="4">
        <v>45267.0</v>
      </c>
      <c r="B2758" s="2">
        <v>1030563.0</v>
      </c>
      <c r="C2758" s="2">
        <v>5286504.0</v>
      </c>
      <c r="D2758" s="2">
        <v>87.7017</v>
      </c>
    </row>
    <row r="2759">
      <c r="A2759" s="4">
        <v>45267.0</v>
      </c>
      <c r="B2759" s="2">
        <v>1807983.0</v>
      </c>
      <c r="C2759" s="2">
        <v>5287561.0</v>
      </c>
      <c r="D2759" s="2">
        <v>13.3875</v>
      </c>
    </row>
    <row r="2760">
      <c r="A2760" s="4">
        <v>45267.0</v>
      </c>
      <c r="B2760" s="2">
        <v>1801533.0</v>
      </c>
      <c r="C2760" s="2">
        <v>5288919.0</v>
      </c>
      <c r="D2760" s="2">
        <v>67.5636</v>
      </c>
    </row>
    <row r="2761">
      <c r="A2761" s="4">
        <v>45267.0</v>
      </c>
      <c r="B2761" s="2">
        <v>1628463.0</v>
      </c>
      <c r="C2761" s="2">
        <v>5287270.0</v>
      </c>
      <c r="D2761" s="2">
        <v>40.5864</v>
      </c>
    </row>
    <row r="2762">
      <c r="A2762" s="4">
        <v>45267.0</v>
      </c>
      <c r="B2762" s="2">
        <v>1807653.0</v>
      </c>
      <c r="C2762" s="2">
        <v>5286345.0</v>
      </c>
      <c r="D2762" s="2">
        <v>46.6667</v>
      </c>
    </row>
    <row r="2763">
      <c r="A2763" s="4">
        <v>45267.0</v>
      </c>
      <c r="B2763" s="2">
        <v>331473.0</v>
      </c>
      <c r="C2763" s="2">
        <v>5286920.0</v>
      </c>
      <c r="D2763" s="2">
        <v>40.0333</v>
      </c>
    </row>
    <row r="2764">
      <c r="A2764" s="4">
        <v>44756.0</v>
      </c>
      <c r="B2764" s="2">
        <v>1302573.0</v>
      </c>
      <c r="C2764" s="2">
        <v>3645384.0</v>
      </c>
      <c r="D2764" s="2">
        <v>97.5979</v>
      </c>
    </row>
    <row r="2765">
      <c r="A2765" s="4">
        <v>44756.0</v>
      </c>
      <c r="B2765" s="2">
        <v>1103823.0</v>
      </c>
      <c r="C2765" s="2">
        <v>3645444.0</v>
      </c>
      <c r="D2765" s="2">
        <v>46.3749</v>
      </c>
    </row>
    <row r="2766">
      <c r="A2766" s="4">
        <v>44756.0</v>
      </c>
      <c r="B2766" s="2">
        <v>1272693.0</v>
      </c>
      <c r="C2766" s="2">
        <v>3646575.0</v>
      </c>
      <c r="D2766" s="2">
        <v>149.204</v>
      </c>
    </row>
    <row r="2767">
      <c r="A2767" s="4">
        <v>45012.0</v>
      </c>
      <c r="B2767" s="2">
        <v>1273593.0</v>
      </c>
      <c r="C2767" s="2">
        <v>4334113.0</v>
      </c>
      <c r="D2767" s="2">
        <v>26.5908</v>
      </c>
    </row>
    <row r="2768">
      <c r="A2768" s="4">
        <v>45012.0</v>
      </c>
      <c r="B2768" s="2">
        <v>1559583.0</v>
      </c>
      <c r="C2768" s="2">
        <v>4335477.0</v>
      </c>
      <c r="D2768" s="2">
        <v>34.0112</v>
      </c>
    </row>
    <row r="2769">
      <c r="A2769" s="4">
        <v>45012.0</v>
      </c>
      <c r="B2769" s="2">
        <v>1468323.0</v>
      </c>
      <c r="C2769" s="2">
        <v>4335367.0</v>
      </c>
      <c r="D2769" s="2">
        <v>2.8611</v>
      </c>
    </row>
    <row r="2770">
      <c r="A2770" s="4">
        <v>45012.0</v>
      </c>
      <c r="B2770" s="2">
        <v>1559193.0</v>
      </c>
      <c r="C2770" s="2">
        <v>4334899.0</v>
      </c>
      <c r="D2770" s="2">
        <v>66.6574</v>
      </c>
    </row>
    <row r="2771">
      <c r="A2771" s="4">
        <v>45012.0</v>
      </c>
      <c r="B2771" s="2">
        <v>1534473.0</v>
      </c>
      <c r="C2771" s="2">
        <v>4334356.0</v>
      </c>
      <c r="D2771" s="2">
        <v>53.5616</v>
      </c>
    </row>
    <row r="2772">
      <c r="A2772" s="4">
        <v>45012.0</v>
      </c>
      <c r="B2772" s="2">
        <v>1558593.0</v>
      </c>
      <c r="C2772" s="2">
        <v>4334964.0</v>
      </c>
      <c r="D2772" s="2">
        <v>90.881</v>
      </c>
    </row>
    <row r="2773">
      <c r="A2773" s="4">
        <v>45268.0</v>
      </c>
      <c r="B2773" s="2">
        <v>1809723.0</v>
      </c>
      <c r="C2773" s="2">
        <v>5292878.0</v>
      </c>
      <c r="D2773" s="2">
        <v>60.6151</v>
      </c>
    </row>
    <row r="2774">
      <c r="A2774" s="4">
        <v>45268.0</v>
      </c>
      <c r="B2774" s="2">
        <v>1809633.0</v>
      </c>
      <c r="C2774" s="2">
        <v>5292611.0</v>
      </c>
      <c r="D2774" s="2">
        <v>47.6757</v>
      </c>
    </row>
    <row r="2775">
      <c r="A2775" s="4">
        <v>45268.0</v>
      </c>
      <c r="B2775" s="2">
        <v>367683.0</v>
      </c>
      <c r="C2775" s="2">
        <v>5292162.0</v>
      </c>
      <c r="D2775" s="2">
        <v>35.9364</v>
      </c>
    </row>
    <row r="2776">
      <c r="A2776" s="4">
        <v>45268.0</v>
      </c>
      <c r="B2776" s="2">
        <v>1809603.0</v>
      </c>
      <c r="C2776" s="2">
        <v>5292544.0</v>
      </c>
      <c r="D2776" s="2">
        <v>42.2874</v>
      </c>
    </row>
    <row r="2777">
      <c r="A2777" s="4">
        <v>45268.0</v>
      </c>
      <c r="B2777" s="2">
        <v>1304433.0</v>
      </c>
      <c r="C2777" s="2">
        <v>5292764.0</v>
      </c>
      <c r="D2777" s="2">
        <v>80.9582999999999</v>
      </c>
    </row>
    <row r="2778">
      <c r="A2778" s="4">
        <v>45268.0</v>
      </c>
      <c r="B2778" s="2">
        <v>1435293.0</v>
      </c>
      <c r="C2778" s="2">
        <v>5290677.0</v>
      </c>
      <c r="D2778" s="2">
        <v>150.5994</v>
      </c>
    </row>
    <row r="2779">
      <c r="A2779" s="4">
        <v>45268.0</v>
      </c>
      <c r="B2779" s="2">
        <v>1332093.0</v>
      </c>
      <c r="C2779" s="2">
        <v>5292678.0</v>
      </c>
      <c r="D2779" s="2">
        <v>44.9862</v>
      </c>
    </row>
    <row r="2780">
      <c r="A2780" s="4">
        <v>45268.0</v>
      </c>
      <c r="B2780" s="2">
        <v>1134153.0</v>
      </c>
      <c r="C2780" s="2">
        <v>5291297.0</v>
      </c>
      <c r="D2780" s="2">
        <v>113.4975</v>
      </c>
    </row>
    <row r="2781">
      <c r="A2781" s="4">
        <v>45268.0</v>
      </c>
      <c r="B2781" s="2">
        <v>1324833.0</v>
      </c>
      <c r="C2781" s="2">
        <v>5290439.0</v>
      </c>
      <c r="D2781" s="2">
        <v>29.8493</v>
      </c>
    </row>
    <row r="2782">
      <c r="A2782" s="4">
        <v>45268.0</v>
      </c>
      <c r="B2782" s="2">
        <v>1808823.0</v>
      </c>
      <c r="C2782" s="2">
        <v>5290095.0</v>
      </c>
      <c r="D2782" s="2">
        <v>98.3195</v>
      </c>
    </row>
    <row r="2783">
      <c r="A2783" s="4">
        <v>44757.0</v>
      </c>
      <c r="B2783" s="2">
        <v>1349433.0</v>
      </c>
      <c r="C2783" s="2">
        <v>3647243.0</v>
      </c>
      <c r="D2783" s="2">
        <v>139.784</v>
      </c>
    </row>
    <row r="2784">
      <c r="A2784" s="4">
        <v>44757.0</v>
      </c>
      <c r="B2784" s="2">
        <v>120213.0</v>
      </c>
      <c r="C2784" s="2">
        <v>3647235.0</v>
      </c>
      <c r="D2784" s="2">
        <v>60.6439</v>
      </c>
    </row>
    <row r="2785">
      <c r="A2785" s="4">
        <v>44757.0</v>
      </c>
      <c r="B2785" s="2">
        <v>367683.0</v>
      </c>
      <c r="C2785" s="2">
        <v>3647588.0</v>
      </c>
      <c r="D2785" s="2">
        <v>63.3654</v>
      </c>
    </row>
    <row r="2786">
      <c r="A2786" s="4">
        <v>44757.0</v>
      </c>
      <c r="B2786" s="2">
        <v>1378023.0</v>
      </c>
      <c r="C2786" s="2">
        <v>3648393.0</v>
      </c>
      <c r="D2786" s="2">
        <v>7.3</v>
      </c>
    </row>
    <row r="2787">
      <c r="A2787" s="4">
        <v>44757.0</v>
      </c>
      <c r="B2787" s="2">
        <v>1251393.0</v>
      </c>
      <c r="C2787" s="2">
        <v>3648157.0</v>
      </c>
      <c r="D2787" s="2">
        <v>36.1809</v>
      </c>
    </row>
    <row r="2788">
      <c r="A2788" s="4">
        <v>44757.0</v>
      </c>
      <c r="B2788" s="2">
        <v>1218303.0</v>
      </c>
      <c r="C2788" s="2">
        <v>3647244.0</v>
      </c>
      <c r="D2788" s="2">
        <v>44.0896</v>
      </c>
    </row>
    <row r="2789">
      <c r="A2789" s="4">
        <v>44757.0</v>
      </c>
      <c r="B2789" s="2">
        <v>1368693.0</v>
      </c>
      <c r="C2789" s="2">
        <v>3647678.0</v>
      </c>
      <c r="D2789" s="2">
        <v>87.4932</v>
      </c>
    </row>
    <row r="2790">
      <c r="A2790" s="4">
        <v>45013.0</v>
      </c>
      <c r="B2790" s="2">
        <v>1074813.0</v>
      </c>
      <c r="C2790" s="2">
        <v>4337587.0</v>
      </c>
      <c r="D2790" s="2">
        <v>53.8164</v>
      </c>
    </row>
    <row r="2791">
      <c r="A2791" s="4">
        <v>45013.0</v>
      </c>
      <c r="B2791" s="2">
        <v>1318413.0</v>
      </c>
      <c r="C2791" s="2">
        <v>4337457.0</v>
      </c>
      <c r="D2791" s="2">
        <v>68.2610999999999</v>
      </c>
    </row>
    <row r="2792">
      <c r="A2792" s="4">
        <v>45013.0</v>
      </c>
      <c r="B2792" s="2">
        <v>1560483.0</v>
      </c>
      <c r="C2792" s="2">
        <v>4338988.0</v>
      </c>
      <c r="D2792" s="2">
        <v>7.1087</v>
      </c>
    </row>
    <row r="2793">
      <c r="A2793" s="4">
        <v>45013.0</v>
      </c>
      <c r="B2793" s="2">
        <v>1560423.0</v>
      </c>
      <c r="C2793" s="2">
        <v>4338762.0</v>
      </c>
      <c r="D2793" s="2">
        <v>34.5309</v>
      </c>
    </row>
    <row r="2794">
      <c r="A2794" s="4">
        <v>45013.0</v>
      </c>
      <c r="B2794" s="2">
        <v>1519623.0</v>
      </c>
      <c r="C2794" s="2">
        <v>4338985.0</v>
      </c>
      <c r="D2794" s="2">
        <v>62.2472999999999</v>
      </c>
    </row>
    <row r="2795">
      <c r="A2795" s="4">
        <v>45013.0</v>
      </c>
      <c r="B2795" s="2">
        <v>1491723.0</v>
      </c>
      <c r="C2795" s="2">
        <v>4338155.0</v>
      </c>
      <c r="D2795" s="2">
        <v>40.3464999999999</v>
      </c>
    </row>
    <row r="2796">
      <c r="A2796" s="4">
        <v>45013.0</v>
      </c>
      <c r="B2796" s="2">
        <v>1173993.0</v>
      </c>
      <c r="C2796" s="2">
        <v>4339211.0</v>
      </c>
      <c r="D2796" s="2">
        <v>248.725499999999</v>
      </c>
    </row>
    <row r="2797">
      <c r="A2797" s="4">
        <v>45013.0</v>
      </c>
      <c r="B2797" s="2">
        <v>1559853.0</v>
      </c>
      <c r="C2797" s="2">
        <v>4336492.0</v>
      </c>
      <c r="D2797" s="2">
        <v>35.3466</v>
      </c>
    </row>
    <row r="2798">
      <c r="A2798" s="4">
        <v>45269.0</v>
      </c>
      <c r="B2798" s="2">
        <v>1722093.0</v>
      </c>
      <c r="C2798" s="2">
        <v>5293941.0</v>
      </c>
      <c r="D2798" s="2">
        <v>91.4720999999999</v>
      </c>
    </row>
    <row r="2799">
      <c r="A2799" s="4">
        <v>45269.0</v>
      </c>
      <c r="B2799" s="2">
        <v>1809903.0</v>
      </c>
      <c r="C2799" s="2">
        <v>5293535.0</v>
      </c>
      <c r="D2799" s="2">
        <v>26.3267</v>
      </c>
    </row>
    <row r="2800">
      <c r="A2800" s="4">
        <v>45269.0</v>
      </c>
      <c r="B2800" s="2">
        <v>1656453.0</v>
      </c>
      <c r="C2800" s="2">
        <v>5296314.0</v>
      </c>
      <c r="D2800" s="2">
        <v>26.2084</v>
      </c>
    </row>
    <row r="2801">
      <c r="A2801" s="4">
        <v>45269.0</v>
      </c>
      <c r="B2801" s="2">
        <v>410973.0</v>
      </c>
      <c r="C2801" s="2">
        <v>5293831.0</v>
      </c>
      <c r="D2801" s="2">
        <v>64.6041</v>
      </c>
    </row>
    <row r="2802">
      <c r="A2802" s="4">
        <v>45269.0</v>
      </c>
      <c r="B2802" s="2">
        <v>1184643.0</v>
      </c>
      <c r="C2802" s="2">
        <v>5298435.0</v>
      </c>
      <c r="D2802" s="2">
        <v>171.1863</v>
      </c>
    </row>
    <row r="2803">
      <c r="A2803" s="4">
        <v>45269.0</v>
      </c>
      <c r="B2803" s="2">
        <v>1775463.0</v>
      </c>
      <c r="C2803" s="2">
        <v>5298249.0</v>
      </c>
      <c r="D2803" s="2">
        <v>10.8256</v>
      </c>
    </row>
    <row r="2804">
      <c r="A2804" s="4">
        <v>45269.0</v>
      </c>
      <c r="B2804" s="2">
        <v>1519503.0</v>
      </c>
      <c r="C2804" s="2">
        <v>5295810.0</v>
      </c>
      <c r="D2804" s="2">
        <v>51.5342</v>
      </c>
    </row>
    <row r="2805">
      <c r="A2805" s="4">
        <v>45269.0</v>
      </c>
      <c r="B2805" s="2">
        <v>1649583.0</v>
      </c>
      <c r="C2805" s="2">
        <v>5296934.0</v>
      </c>
      <c r="D2805" s="2">
        <v>39.5343</v>
      </c>
    </row>
    <row r="2806">
      <c r="A2806" s="4">
        <v>45269.0</v>
      </c>
      <c r="B2806" s="2">
        <v>77973.0</v>
      </c>
      <c r="C2806" s="2">
        <v>5293863.0</v>
      </c>
      <c r="D2806" s="2">
        <v>15.7332</v>
      </c>
    </row>
    <row r="2807">
      <c r="A2807" s="4">
        <v>45269.0</v>
      </c>
      <c r="B2807" s="2">
        <v>126573.0</v>
      </c>
      <c r="C2807" s="2">
        <v>5295821.0</v>
      </c>
      <c r="D2807" s="2">
        <v>75.0322999999999</v>
      </c>
    </row>
    <row r="2808">
      <c r="A2808" s="4">
        <v>44758.0</v>
      </c>
      <c r="B2808" s="2">
        <v>1184643.0</v>
      </c>
      <c r="C2808" s="2">
        <v>3650877.0</v>
      </c>
      <c r="D2808" s="2">
        <v>85.1545</v>
      </c>
    </row>
    <row r="2809">
      <c r="A2809" s="4">
        <v>44758.0</v>
      </c>
      <c r="B2809" s="2">
        <v>1125063.0</v>
      </c>
      <c r="C2809" s="2">
        <v>3648780.0</v>
      </c>
      <c r="D2809" s="2">
        <v>118.668</v>
      </c>
    </row>
    <row r="2810">
      <c r="A2810" s="4">
        <v>44758.0</v>
      </c>
      <c r="B2810" s="2">
        <v>1378593.0</v>
      </c>
      <c r="C2810" s="2">
        <v>3650915.0</v>
      </c>
      <c r="D2810" s="2">
        <v>33.575</v>
      </c>
    </row>
    <row r="2811">
      <c r="A2811" s="4">
        <v>44758.0</v>
      </c>
      <c r="B2811" s="2">
        <v>425463.0</v>
      </c>
      <c r="C2811" s="2">
        <v>3649481.0</v>
      </c>
      <c r="D2811" s="2">
        <v>87.0212</v>
      </c>
    </row>
    <row r="2812">
      <c r="A2812" s="4">
        <v>44758.0</v>
      </c>
      <c r="B2812" s="2">
        <v>1223673.0</v>
      </c>
      <c r="C2812" s="2">
        <v>3650221.0</v>
      </c>
      <c r="D2812" s="2">
        <v>61.4657</v>
      </c>
    </row>
    <row r="2813">
      <c r="A2813" s="4">
        <v>45014.0</v>
      </c>
      <c r="B2813" s="2">
        <v>1560633.0</v>
      </c>
      <c r="C2813" s="2">
        <v>4339599.0</v>
      </c>
      <c r="D2813" s="2">
        <v>20.75</v>
      </c>
    </row>
    <row r="2814">
      <c r="A2814" s="4">
        <v>45014.0</v>
      </c>
      <c r="B2814" s="2">
        <v>1145583.0</v>
      </c>
      <c r="C2814" s="2">
        <v>4340842.0</v>
      </c>
      <c r="D2814" s="2">
        <v>84.9158</v>
      </c>
    </row>
    <row r="2815">
      <c r="A2815" s="4">
        <v>45014.0</v>
      </c>
      <c r="B2815" s="2">
        <v>1561083.0</v>
      </c>
      <c r="C2815" s="2">
        <v>4341485.0</v>
      </c>
      <c r="D2815" s="2">
        <v>31.0958</v>
      </c>
    </row>
    <row r="2816">
      <c r="A2816" s="4">
        <v>45014.0</v>
      </c>
      <c r="B2816" s="2">
        <v>1559463.0</v>
      </c>
      <c r="C2816" s="2">
        <v>4341246.0</v>
      </c>
      <c r="D2816" s="2">
        <v>12.3035</v>
      </c>
    </row>
    <row r="2817">
      <c r="A2817" s="4">
        <v>45014.0</v>
      </c>
      <c r="B2817" s="2">
        <v>1467843.0</v>
      </c>
      <c r="C2817" s="2">
        <v>4341404.0</v>
      </c>
      <c r="D2817" s="2">
        <v>41.1082</v>
      </c>
    </row>
    <row r="2818">
      <c r="A2818" s="4">
        <v>45014.0</v>
      </c>
      <c r="B2818" s="2">
        <v>1560603.0</v>
      </c>
      <c r="C2818" s="2">
        <v>4339465.0</v>
      </c>
      <c r="D2818" s="2">
        <v>8.8333</v>
      </c>
    </row>
    <row r="2819">
      <c r="A2819" s="4">
        <v>45014.0</v>
      </c>
      <c r="B2819" s="2">
        <v>1035903.0</v>
      </c>
      <c r="C2819" s="2">
        <v>4340374.0</v>
      </c>
      <c r="D2819" s="2">
        <v>154.4167</v>
      </c>
    </row>
    <row r="2820">
      <c r="A2820" s="4">
        <v>45270.0</v>
      </c>
      <c r="B2820" s="2">
        <v>278853.0</v>
      </c>
      <c r="C2820" s="2">
        <v>5301271.0</v>
      </c>
      <c r="D2820" s="2">
        <v>39.8625</v>
      </c>
    </row>
    <row r="2821">
      <c r="A2821" s="4">
        <v>45270.0</v>
      </c>
      <c r="B2821" s="2">
        <v>1811763.0</v>
      </c>
      <c r="C2821" s="2">
        <v>5300762.0</v>
      </c>
      <c r="D2821" s="2">
        <v>10.4266</v>
      </c>
    </row>
    <row r="2822">
      <c r="A2822" s="4">
        <v>45270.0</v>
      </c>
      <c r="B2822" s="2">
        <v>1110273.0</v>
      </c>
      <c r="C2822" s="2">
        <v>5302693.0</v>
      </c>
      <c r="D2822" s="2">
        <v>90.4812999999999</v>
      </c>
    </row>
    <row r="2823">
      <c r="A2823" s="4">
        <v>45270.0</v>
      </c>
      <c r="B2823" s="2">
        <v>1725633.0</v>
      </c>
      <c r="C2823" s="2">
        <v>5300875.0</v>
      </c>
      <c r="D2823" s="2">
        <v>74.6417</v>
      </c>
    </row>
    <row r="2824">
      <c r="A2824" s="4">
        <v>45270.0</v>
      </c>
      <c r="B2824" s="2">
        <v>1811463.0</v>
      </c>
      <c r="C2824" s="2">
        <v>5299688.0</v>
      </c>
      <c r="D2824" s="2">
        <v>53.0823</v>
      </c>
    </row>
    <row r="2825">
      <c r="A2825" s="4">
        <v>45270.0</v>
      </c>
      <c r="B2825" s="2">
        <v>1296213.0</v>
      </c>
      <c r="C2825" s="2">
        <v>5299320.0</v>
      </c>
      <c r="D2825" s="2">
        <v>151.983</v>
      </c>
    </row>
    <row r="2826">
      <c r="A2826" s="4">
        <v>45270.0</v>
      </c>
      <c r="B2826" s="2">
        <v>1533513.0</v>
      </c>
      <c r="C2826" s="2">
        <v>5299513.0</v>
      </c>
      <c r="D2826" s="2">
        <v>73.6800999999999</v>
      </c>
    </row>
    <row r="2827">
      <c r="A2827" s="4">
        <v>45270.0</v>
      </c>
      <c r="B2827" s="2">
        <v>1811703.0</v>
      </c>
      <c r="C2827" s="2">
        <v>5300720.0</v>
      </c>
      <c r="D2827" s="2">
        <v>47.4209</v>
      </c>
    </row>
    <row r="2828">
      <c r="A2828" s="4">
        <v>45270.0</v>
      </c>
      <c r="B2828" s="2">
        <v>1689333.0</v>
      </c>
      <c r="C2828" s="2">
        <v>5301078.0</v>
      </c>
      <c r="D2828" s="2">
        <v>27.6297</v>
      </c>
    </row>
    <row r="2829">
      <c r="A2829" s="4">
        <v>45270.0</v>
      </c>
      <c r="B2829" s="2">
        <v>1305483.0</v>
      </c>
      <c r="C2829" s="2">
        <v>5302515.0</v>
      </c>
      <c r="D2829" s="2">
        <v>113.5105</v>
      </c>
    </row>
    <row r="2830">
      <c r="A2830" s="4">
        <v>45270.0</v>
      </c>
      <c r="B2830" s="2">
        <v>1811643.0</v>
      </c>
      <c r="C2830" s="2">
        <v>5300337.0</v>
      </c>
      <c r="D2830" s="2">
        <v>38.4434</v>
      </c>
    </row>
    <row r="2831">
      <c r="A2831" s="4">
        <v>44759.0</v>
      </c>
      <c r="B2831" s="2">
        <v>1352673.0</v>
      </c>
      <c r="C2831" s="2">
        <v>3654039.0</v>
      </c>
      <c r="D2831" s="2">
        <v>15.3593</v>
      </c>
    </row>
    <row r="2832">
      <c r="A2832" s="4">
        <v>44759.0</v>
      </c>
      <c r="B2832" s="2">
        <v>1213623.0</v>
      </c>
      <c r="C2832" s="2">
        <v>3652046.0</v>
      </c>
      <c r="D2832" s="2">
        <v>64.7434</v>
      </c>
    </row>
    <row r="2833">
      <c r="A2833" s="4">
        <v>44759.0</v>
      </c>
      <c r="B2833" s="2">
        <v>395523.0</v>
      </c>
      <c r="C2833" s="2">
        <v>3653273.0</v>
      </c>
      <c r="D2833" s="2">
        <v>151.2596</v>
      </c>
    </row>
    <row r="2834">
      <c r="A2834" s="4">
        <v>44759.0</v>
      </c>
      <c r="B2834" s="2">
        <v>1379193.0</v>
      </c>
      <c r="C2834" s="2">
        <v>3654070.0</v>
      </c>
      <c r="D2834" s="2">
        <v>33.8334</v>
      </c>
    </row>
    <row r="2835">
      <c r="A2835" s="4">
        <v>44759.0</v>
      </c>
      <c r="B2835" s="2">
        <v>306753.0</v>
      </c>
      <c r="C2835" s="2">
        <v>3652566.0</v>
      </c>
      <c r="D2835" s="2">
        <v>118.7233</v>
      </c>
    </row>
    <row r="2836">
      <c r="A2836" s="4">
        <v>44759.0</v>
      </c>
      <c r="B2836" s="2">
        <v>1141683.0</v>
      </c>
      <c r="C2836" s="2">
        <v>3653956.0</v>
      </c>
      <c r="D2836" s="2">
        <v>71.4388</v>
      </c>
    </row>
    <row r="2837">
      <c r="A2837" s="4">
        <v>44759.0</v>
      </c>
      <c r="B2837" s="2">
        <v>1379133.0</v>
      </c>
      <c r="C2837" s="2">
        <v>3653717.0</v>
      </c>
      <c r="D2837" s="2">
        <v>56.3092</v>
      </c>
    </row>
    <row r="2838">
      <c r="A2838" s="4">
        <v>44759.0</v>
      </c>
      <c r="B2838" s="2">
        <v>1379253.0</v>
      </c>
      <c r="C2838" s="2">
        <v>3654426.0</v>
      </c>
      <c r="D2838" s="2">
        <v>33.3516</v>
      </c>
    </row>
    <row r="2839">
      <c r="A2839" s="4">
        <v>44759.0</v>
      </c>
      <c r="B2839" s="2">
        <v>1367313.0</v>
      </c>
      <c r="C2839" s="2">
        <v>3652567.0</v>
      </c>
      <c r="D2839" s="2">
        <v>16.5193999999999</v>
      </c>
    </row>
    <row r="2840">
      <c r="A2840" s="4">
        <v>45015.0</v>
      </c>
      <c r="B2840" s="2">
        <v>1440333.0</v>
      </c>
      <c r="C2840" s="2">
        <v>4343891.0</v>
      </c>
      <c r="D2840" s="2">
        <v>65.5274</v>
      </c>
    </row>
    <row r="2841">
      <c r="A2841" s="4">
        <v>45015.0</v>
      </c>
      <c r="B2841" s="2">
        <v>1440333.0</v>
      </c>
      <c r="C2841" s="2">
        <v>4343672.0</v>
      </c>
      <c r="D2841" s="2">
        <v>68.1517</v>
      </c>
    </row>
    <row r="2842">
      <c r="A2842" s="4">
        <v>45015.0</v>
      </c>
      <c r="B2842" s="2">
        <v>1214823.0</v>
      </c>
      <c r="C2842" s="2">
        <v>4342698.0</v>
      </c>
      <c r="D2842" s="2">
        <v>100.4327</v>
      </c>
    </row>
    <row r="2843">
      <c r="A2843" s="4">
        <v>45015.0</v>
      </c>
      <c r="B2843" s="2">
        <v>1561593.0</v>
      </c>
      <c r="C2843" s="2">
        <v>4343636.0</v>
      </c>
      <c r="D2843" s="2">
        <v>39.3525</v>
      </c>
    </row>
    <row r="2844">
      <c r="A2844" s="4">
        <v>45015.0</v>
      </c>
      <c r="B2844" s="2">
        <v>1561293.0</v>
      </c>
      <c r="C2844" s="2">
        <v>4342398.0</v>
      </c>
      <c r="D2844" s="2">
        <v>51.1246</v>
      </c>
    </row>
    <row r="2845">
      <c r="A2845" s="4">
        <v>45015.0</v>
      </c>
      <c r="B2845" s="2">
        <v>1077273.0</v>
      </c>
      <c r="C2845" s="2">
        <v>4343257.0</v>
      </c>
      <c r="D2845" s="2">
        <v>83.2775999999999</v>
      </c>
    </row>
    <row r="2846">
      <c r="A2846" s="4">
        <v>45015.0</v>
      </c>
      <c r="B2846" s="2">
        <v>1333263.0</v>
      </c>
      <c r="C2846" s="2">
        <v>4342584.0</v>
      </c>
      <c r="D2846" s="2">
        <v>55.6180999999999</v>
      </c>
    </row>
    <row r="2847">
      <c r="A2847" s="4">
        <v>45015.0</v>
      </c>
      <c r="B2847" s="2">
        <v>1345623.0</v>
      </c>
      <c r="C2847" s="2">
        <v>4343412.0</v>
      </c>
      <c r="D2847" s="2">
        <v>69.75</v>
      </c>
    </row>
    <row r="2848">
      <c r="A2848" s="4">
        <v>45271.0</v>
      </c>
      <c r="B2848" s="2">
        <v>1812963.0</v>
      </c>
      <c r="C2848" s="2">
        <v>5304823.0</v>
      </c>
      <c r="D2848" s="2">
        <v>38.2875</v>
      </c>
    </row>
    <row r="2849">
      <c r="A2849" s="4">
        <v>45271.0</v>
      </c>
      <c r="B2849" s="2">
        <v>1812903.0</v>
      </c>
      <c r="C2849" s="2">
        <v>5304581.0</v>
      </c>
      <c r="D2849" s="2">
        <v>66.65</v>
      </c>
    </row>
    <row r="2850">
      <c r="A2850" s="4">
        <v>45271.0</v>
      </c>
      <c r="B2850" s="2">
        <v>301203.0</v>
      </c>
      <c r="C2850" s="2">
        <v>5306081.0</v>
      </c>
      <c r="D2850" s="2">
        <v>65.4958</v>
      </c>
    </row>
    <row r="2851">
      <c r="A2851" s="4">
        <v>45271.0</v>
      </c>
      <c r="B2851" s="2">
        <v>1812753.0</v>
      </c>
      <c r="C2851" s="2">
        <v>5304027.0</v>
      </c>
      <c r="D2851" s="2">
        <v>44.8334</v>
      </c>
    </row>
    <row r="2852">
      <c r="A2852" s="4">
        <v>45271.0</v>
      </c>
      <c r="B2852" s="2">
        <v>1246083.0</v>
      </c>
      <c r="C2852" s="2">
        <v>5307097.0</v>
      </c>
      <c r="D2852" s="2">
        <v>76.3352</v>
      </c>
    </row>
    <row r="2853">
      <c r="A2853" s="4">
        <v>45271.0</v>
      </c>
      <c r="B2853" s="2">
        <v>1033923.0</v>
      </c>
      <c r="C2853" s="2">
        <v>5306441.0</v>
      </c>
      <c r="D2853" s="2">
        <v>39.65</v>
      </c>
    </row>
    <row r="2854">
      <c r="A2854" s="4">
        <v>45271.0</v>
      </c>
      <c r="B2854" s="2">
        <v>1813263.0</v>
      </c>
      <c r="C2854" s="2">
        <v>5305681.0</v>
      </c>
      <c r="D2854" s="2">
        <v>21.7843</v>
      </c>
    </row>
    <row r="2855">
      <c r="A2855" s="4">
        <v>45271.0</v>
      </c>
      <c r="B2855" s="2">
        <v>91623.0</v>
      </c>
      <c r="C2855" s="2">
        <v>5303417.0</v>
      </c>
      <c r="D2855" s="2">
        <v>38.3174</v>
      </c>
    </row>
    <row r="2856">
      <c r="A2856" s="4">
        <v>44760.0</v>
      </c>
      <c r="B2856" s="2">
        <v>1375353.0</v>
      </c>
      <c r="C2856" s="2">
        <v>3655982.0</v>
      </c>
      <c r="D2856" s="2">
        <v>72.1264</v>
      </c>
    </row>
    <row r="2857">
      <c r="A2857" s="4">
        <v>44760.0</v>
      </c>
      <c r="B2857" s="2">
        <v>1063383.0</v>
      </c>
      <c r="C2857" s="2">
        <v>3654829.0</v>
      </c>
      <c r="D2857" s="2">
        <v>91.0875</v>
      </c>
    </row>
    <row r="2858">
      <c r="A2858" s="4">
        <v>44760.0</v>
      </c>
      <c r="B2858" s="2">
        <v>1204983.0</v>
      </c>
      <c r="C2858" s="2">
        <v>3655450.0</v>
      </c>
      <c r="D2858" s="2">
        <v>80.1642</v>
      </c>
    </row>
    <row r="2859">
      <c r="A2859" s="4">
        <v>44760.0</v>
      </c>
      <c r="B2859" s="2">
        <v>1092093.0</v>
      </c>
      <c r="C2859" s="2">
        <v>3654771.0</v>
      </c>
      <c r="D2859" s="2">
        <v>31.4114</v>
      </c>
    </row>
    <row r="2860">
      <c r="A2860" s="4">
        <v>44760.0</v>
      </c>
      <c r="B2860" s="2">
        <v>1379523.0</v>
      </c>
      <c r="C2860" s="2">
        <v>3655785.0</v>
      </c>
      <c r="D2860" s="2">
        <v>237.4163</v>
      </c>
    </row>
    <row r="2861">
      <c r="A2861" s="4">
        <v>44760.0</v>
      </c>
      <c r="B2861" s="2">
        <v>473733.0</v>
      </c>
      <c r="C2861" s="2">
        <v>3656408.0</v>
      </c>
      <c r="D2861" s="2">
        <v>24.9752</v>
      </c>
    </row>
    <row r="2862">
      <c r="A2862" s="4">
        <v>44760.0</v>
      </c>
      <c r="B2862" s="2">
        <v>1077273.0</v>
      </c>
      <c r="C2862" s="2">
        <v>3655599.0</v>
      </c>
      <c r="D2862" s="2">
        <v>53.6789</v>
      </c>
    </row>
    <row r="2863">
      <c r="A2863" s="4">
        <v>44760.0</v>
      </c>
      <c r="B2863" s="2">
        <v>1379313.0</v>
      </c>
      <c r="C2863" s="2">
        <v>3654890.0</v>
      </c>
      <c r="D2863" s="2">
        <v>135.2839</v>
      </c>
    </row>
    <row r="2864">
      <c r="A2864" s="4">
        <v>44760.0</v>
      </c>
      <c r="B2864" s="2">
        <v>1379343.0</v>
      </c>
      <c r="C2864" s="2">
        <v>3654995.0</v>
      </c>
      <c r="D2864" s="2">
        <v>2.85</v>
      </c>
    </row>
    <row r="2865">
      <c r="A2865" s="4">
        <v>45016.0</v>
      </c>
      <c r="B2865" s="2">
        <v>485253.0</v>
      </c>
      <c r="C2865" s="2">
        <v>4346572.0</v>
      </c>
      <c r="D2865" s="2">
        <v>118.1593</v>
      </c>
    </row>
    <row r="2866">
      <c r="A2866" s="4">
        <v>45016.0</v>
      </c>
      <c r="B2866" s="2">
        <v>1318413.0</v>
      </c>
      <c r="C2866" s="2">
        <v>4345792.0</v>
      </c>
      <c r="D2866" s="2">
        <v>66.9334</v>
      </c>
    </row>
    <row r="2867">
      <c r="A2867" s="4">
        <v>45016.0</v>
      </c>
      <c r="B2867" s="2">
        <v>63723.0</v>
      </c>
      <c r="C2867" s="2">
        <v>4346069.0</v>
      </c>
      <c r="D2867" s="2">
        <v>28.2126999999999</v>
      </c>
    </row>
    <row r="2868">
      <c r="A2868" s="4">
        <v>45016.0</v>
      </c>
      <c r="B2868" s="2">
        <v>1562373.0</v>
      </c>
      <c r="C2868" s="2">
        <v>4346522.0</v>
      </c>
      <c r="D2868" s="2">
        <v>30.625</v>
      </c>
    </row>
    <row r="2869">
      <c r="A2869" s="4">
        <v>45016.0</v>
      </c>
      <c r="B2869" s="2">
        <v>1204983.0</v>
      </c>
      <c r="C2869" s="2">
        <v>4346748.0</v>
      </c>
      <c r="D2869" s="2">
        <v>65.0562</v>
      </c>
    </row>
    <row r="2870">
      <c r="A2870" s="4">
        <v>45016.0</v>
      </c>
      <c r="B2870" s="2">
        <v>1562283.0</v>
      </c>
      <c r="C2870" s="2">
        <v>4346392.0</v>
      </c>
      <c r="D2870" s="2">
        <v>4.9834</v>
      </c>
    </row>
    <row r="2871">
      <c r="A2871" s="4">
        <v>45272.0</v>
      </c>
      <c r="B2871" s="2">
        <v>1407333.0</v>
      </c>
      <c r="C2871" s="2">
        <v>5309318.0</v>
      </c>
      <c r="D2871" s="2">
        <v>73.0262</v>
      </c>
    </row>
    <row r="2872">
      <c r="A2872" s="4">
        <v>45272.0</v>
      </c>
      <c r="B2872" s="2">
        <v>1814823.0</v>
      </c>
      <c r="C2872" s="2">
        <v>5311109.0</v>
      </c>
      <c r="D2872" s="2">
        <v>164.25</v>
      </c>
    </row>
    <row r="2873">
      <c r="A2873" s="4">
        <v>45272.0</v>
      </c>
      <c r="B2873" s="2">
        <v>1814403.0</v>
      </c>
      <c r="C2873" s="2">
        <v>5309672.0</v>
      </c>
      <c r="D2873" s="2">
        <v>17.4677</v>
      </c>
    </row>
    <row r="2874">
      <c r="A2874" s="4">
        <v>45272.0</v>
      </c>
      <c r="B2874" s="2">
        <v>1814133.0</v>
      </c>
      <c r="C2874" s="2">
        <v>5308718.0</v>
      </c>
      <c r="D2874" s="2">
        <v>59.2263</v>
      </c>
    </row>
    <row r="2875">
      <c r="A2875" s="4">
        <v>45272.0</v>
      </c>
      <c r="B2875" s="2">
        <v>1814523.0</v>
      </c>
      <c r="C2875" s="2">
        <v>5310062.0</v>
      </c>
      <c r="D2875" s="2">
        <v>28.25</v>
      </c>
    </row>
    <row r="2876">
      <c r="A2876" s="4">
        <v>45272.0</v>
      </c>
      <c r="B2876" s="2">
        <v>257913.0</v>
      </c>
      <c r="C2876" s="2">
        <v>5309444.0</v>
      </c>
      <c r="D2876" s="2">
        <v>82.9269</v>
      </c>
    </row>
    <row r="2877">
      <c r="A2877" s="4">
        <v>45272.0</v>
      </c>
      <c r="B2877" s="2">
        <v>1814163.0</v>
      </c>
      <c r="C2877" s="2">
        <v>5308789.0</v>
      </c>
      <c r="D2877" s="2">
        <v>58.4359999999999</v>
      </c>
    </row>
    <row r="2878">
      <c r="A2878" s="4">
        <v>45272.0</v>
      </c>
      <c r="B2878" s="2">
        <v>1813983.0</v>
      </c>
      <c r="C2878" s="2">
        <v>5308186.0</v>
      </c>
      <c r="D2878" s="2">
        <v>333.325</v>
      </c>
    </row>
    <row r="2879">
      <c r="A2879" s="4">
        <v>45272.0</v>
      </c>
      <c r="B2879" s="2">
        <v>1286103.0</v>
      </c>
      <c r="C2879" s="2">
        <v>5307451.0</v>
      </c>
      <c r="D2879" s="2">
        <v>104.103</v>
      </c>
    </row>
    <row r="2880">
      <c r="A2880" s="4">
        <v>45272.0</v>
      </c>
      <c r="B2880" s="2">
        <v>1814613.0</v>
      </c>
      <c r="C2880" s="2">
        <v>5310344.0</v>
      </c>
      <c r="D2880" s="2">
        <v>6.095</v>
      </c>
    </row>
    <row r="2881">
      <c r="A2881" s="4">
        <v>45272.0</v>
      </c>
      <c r="B2881" s="2">
        <v>1011093.0</v>
      </c>
      <c r="C2881" s="2">
        <v>5310173.0</v>
      </c>
      <c r="D2881" s="2">
        <v>62.3309</v>
      </c>
    </row>
    <row r="2882">
      <c r="A2882" s="4">
        <v>45272.0</v>
      </c>
      <c r="B2882" s="2">
        <v>1028433.0</v>
      </c>
      <c r="C2882" s="2">
        <v>5310833.0</v>
      </c>
      <c r="D2882" s="2">
        <v>60.0375</v>
      </c>
    </row>
    <row r="2883">
      <c r="A2883" s="4">
        <v>45272.0</v>
      </c>
      <c r="B2883" s="2">
        <v>1019493.0</v>
      </c>
      <c r="C2883" s="2">
        <v>5309218.0</v>
      </c>
      <c r="D2883" s="2">
        <v>66.4361</v>
      </c>
    </row>
    <row r="2884">
      <c r="A2884" s="4">
        <v>45272.0</v>
      </c>
      <c r="B2884" s="2">
        <v>1519983.0</v>
      </c>
      <c r="C2884" s="2">
        <v>5308799.0</v>
      </c>
      <c r="D2884" s="2">
        <v>69.126</v>
      </c>
    </row>
    <row r="2885">
      <c r="A2885" s="4">
        <v>45272.0</v>
      </c>
      <c r="B2885" s="2">
        <v>1528623.0</v>
      </c>
      <c r="C2885" s="2">
        <v>5309718.0</v>
      </c>
      <c r="D2885" s="2">
        <v>77.955</v>
      </c>
    </row>
    <row r="2886">
      <c r="A2886" s="4">
        <v>44761.0</v>
      </c>
      <c r="B2886" s="2">
        <v>1292223.0</v>
      </c>
      <c r="C2886" s="2">
        <v>3657650.0</v>
      </c>
      <c r="D2886" s="2">
        <v>51.125</v>
      </c>
    </row>
    <row r="2887">
      <c r="A2887" s="4">
        <v>44761.0</v>
      </c>
      <c r="B2887" s="2">
        <v>306753.0</v>
      </c>
      <c r="C2887" s="2">
        <v>3657701.0</v>
      </c>
      <c r="D2887" s="2">
        <v>67.925</v>
      </c>
    </row>
    <row r="2888">
      <c r="A2888" s="4">
        <v>44761.0</v>
      </c>
      <c r="B2888" s="2">
        <v>169653.0</v>
      </c>
      <c r="C2888" s="2">
        <v>3658628.0</v>
      </c>
      <c r="D2888" s="2">
        <v>16.45</v>
      </c>
    </row>
    <row r="2889">
      <c r="A2889" s="4">
        <v>44761.0</v>
      </c>
      <c r="B2889" s="2">
        <v>948573.0</v>
      </c>
      <c r="C2889" s="2">
        <v>3656914.0</v>
      </c>
      <c r="D2889" s="2">
        <v>34.0289999999999</v>
      </c>
    </row>
    <row r="2890">
      <c r="A2890" s="4">
        <v>44761.0</v>
      </c>
      <c r="B2890" s="2">
        <v>1380003.0</v>
      </c>
      <c r="C2890" s="2">
        <v>3657941.0</v>
      </c>
      <c r="D2890" s="2">
        <v>74.8378</v>
      </c>
    </row>
    <row r="2891">
      <c r="A2891" s="4">
        <v>44761.0</v>
      </c>
      <c r="B2891" s="2">
        <v>217743.0</v>
      </c>
      <c r="C2891" s="2">
        <v>3658252.0</v>
      </c>
      <c r="D2891" s="2">
        <v>129.8456</v>
      </c>
    </row>
    <row r="2892">
      <c r="A2892" s="4">
        <v>45017.0</v>
      </c>
      <c r="B2892" s="2">
        <v>1332093.0</v>
      </c>
      <c r="C2892" s="2">
        <v>4347156.0</v>
      </c>
      <c r="D2892" s="2">
        <v>16.8402</v>
      </c>
    </row>
    <row r="2893">
      <c r="A2893" s="4">
        <v>45017.0</v>
      </c>
      <c r="B2893" s="2">
        <v>444303.0</v>
      </c>
      <c r="C2893" s="2">
        <v>4348056.0</v>
      </c>
      <c r="D2893" s="2">
        <v>37.6695</v>
      </c>
    </row>
    <row r="2894">
      <c r="A2894" s="4">
        <v>45017.0</v>
      </c>
      <c r="B2894" s="2">
        <v>1379103.0</v>
      </c>
      <c r="C2894" s="2">
        <v>4348934.0</v>
      </c>
      <c r="D2894" s="2">
        <v>44.8959</v>
      </c>
    </row>
    <row r="2895">
      <c r="A2895" s="4">
        <v>45017.0</v>
      </c>
      <c r="B2895" s="2">
        <v>1163223.0</v>
      </c>
      <c r="C2895" s="2">
        <v>4348797.0</v>
      </c>
      <c r="D2895" s="2">
        <v>74.1933</v>
      </c>
    </row>
    <row r="2896">
      <c r="A2896" s="4">
        <v>45017.0</v>
      </c>
      <c r="B2896" s="2">
        <v>1562793.0</v>
      </c>
      <c r="C2896" s="2">
        <v>4348077.0</v>
      </c>
      <c r="D2896" s="2">
        <v>89.9487999999999</v>
      </c>
    </row>
    <row r="2897">
      <c r="A2897" s="4">
        <v>45017.0</v>
      </c>
      <c r="B2897" s="2">
        <v>1435293.0</v>
      </c>
      <c r="C2897" s="2">
        <v>4347650.0</v>
      </c>
      <c r="D2897" s="2">
        <v>86.3661</v>
      </c>
    </row>
    <row r="2898">
      <c r="A2898" s="4">
        <v>45017.0</v>
      </c>
      <c r="B2898" s="2">
        <v>1291233.0</v>
      </c>
      <c r="C2898" s="2">
        <v>4347844.0</v>
      </c>
      <c r="D2898" s="2">
        <v>125.942699999999</v>
      </c>
    </row>
    <row r="2899">
      <c r="A2899" s="4">
        <v>45017.0</v>
      </c>
      <c r="B2899" s="2">
        <v>1435293.0</v>
      </c>
      <c r="C2899" s="2">
        <v>4347415.0</v>
      </c>
      <c r="D2899" s="2">
        <v>12.4167</v>
      </c>
    </row>
    <row r="2900">
      <c r="A2900" s="4">
        <v>45273.0</v>
      </c>
      <c r="B2900" s="2">
        <v>1077423.0</v>
      </c>
      <c r="C2900" s="2">
        <v>5313270.0</v>
      </c>
      <c r="D2900" s="2">
        <v>181.8768</v>
      </c>
    </row>
    <row r="2901">
      <c r="A2901" s="4">
        <v>45273.0</v>
      </c>
      <c r="B2901" s="2">
        <v>1816023.0</v>
      </c>
      <c r="C2901" s="2">
        <v>5314896.0</v>
      </c>
      <c r="D2901" s="2">
        <v>13.3875</v>
      </c>
    </row>
    <row r="2902">
      <c r="A2902" s="4">
        <v>45273.0</v>
      </c>
      <c r="B2902" s="2">
        <v>1149063.0</v>
      </c>
      <c r="C2902" s="2">
        <v>5313773.0</v>
      </c>
      <c r="D2902" s="2">
        <v>87.2459</v>
      </c>
    </row>
    <row r="2903">
      <c r="A2903" s="4">
        <v>45273.0</v>
      </c>
      <c r="B2903" s="2">
        <v>1815153.0</v>
      </c>
      <c r="C2903" s="2">
        <v>5312164.0</v>
      </c>
      <c r="D2903" s="2">
        <v>34.6058</v>
      </c>
    </row>
    <row r="2904">
      <c r="A2904" s="4">
        <v>45273.0</v>
      </c>
      <c r="B2904" s="2">
        <v>1594203.0</v>
      </c>
      <c r="C2904" s="2">
        <v>5311724.0</v>
      </c>
      <c r="D2904" s="2">
        <v>101.5847</v>
      </c>
    </row>
    <row r="2905">
      <c r="A2905" s="4">
        <v>45273.0</v>
      </c>
      <c r="B2905" s="2">
        <v>1815753.0</v>
      </c>
      <c r="C2905" s="2">
        <v>5314058.0</v>
      </c>
      <c r="D2905" s="2">
        <v>20.25</v>
      </c>
    </row>
    <row r="2906">
      <c r="A2906" s="4">
        <v>45273.0</v>
      </c>
      <c r="B2906" s="2">
        <v>1547883.0</v>
      </c>
      <c r="C2906" s="2">
        <v>5314022.0</v>
      </c>
      <c r="D2906" s="2">
        <v>65.7</v>
      </c>
    </row>
    <row r="2907">
      <c r="A2907" s="4">
        <v>45273.0</v>
      </c>
      <c r="B2907" s="2">
        <v>1073343.0</v>
      </c>
      <c r="C2907" s="2">
        <v>5313006.0</v>
      </c>
      <c r="D2907" s="2">
        <v>59.25</v>
      </c>
    </row>
    <row r="2908">
      <c r="A2908" s="4">
        <v>44762.0</v>
      </c>
      <c r="B2908" s="2">
        <v>1321473.0</v>
      </c>
      <c r="C2908" s="2">
        <v>3659397.0</v>
      </c>
      <c r="D2908" s="2">
        <v>8.4456</v>
      </c>
    </row>
    <row r="2909">
      <c r="A2909" s="4">
        <v>44762.0</v>
      </c>
      <c r="B2909" s="2">
        <v>1357473.0</v>
      </c>
      <c r="C2909" s="2">
        <v>3659534.0</v>
      </c>
      <c r="D2909" s="2">
        <v>21.0709</v>
      </c>
    </row>
    <row r="2910">
      <c r="A2910" s="4">
        <v>44762.0</v>
      </c>
      <c r="B2910" s="2">
        <v>1380573.0</v>
      </c>
      <c r="C2910" s="2">
        <v>3660418.0</v>
      </c>
      <c r="D2910" s="2">
        <v>10.9952</v>
      </c>
    </row>
    <row r="2911">
      <c r="A2911" s="4">
        <v>44762.0</v>
      </c>
      <c r="B2911" s="2">
        <v>1340253.0</v>
      </c>
      <c r="C2911" s="2">
        <v>3660208.0</v>
      </c>
      <c r="D2911" s="2">
        <v>27.6175</v>
      </c>
    </row>
    <row r="2912">
      <c r="A2912" s="4">
        <v>45018.0</v>
      </c>
      <c r="B2912" s="2">
        <v>1245363.0</v>
      </c>
      <c r="C2912" s="2">
        <v>4352386.0</v>
      </c>
      <c r="D2912" s="2">
        <v>74.4149</v>
      </c>
    </row>
    <row r="2913">
      <c r="A2913" s="4">
        <v>45018.0</v>
      </c>
      <c r="B2913" s="2">
        <v>1563093.0</v>
      </c>
      <c r="C2913" s="2">
        <v>4352402.0</v>
      </c>
      <c r="D2913" s="2">
        <v>76.7213</v>
      </c>
    </row>
    <row r="2914">
      <c r="A2914" s="4">
        <v>45018.0</v>
      </c>
      <c r="B2914" s="2">
        <v>1563363.0</v>
      </c>
      <c r="C2914" s="2">
        <v>4350132.0</v>
      </c>
      <c r="D2914" s="2">
        <v>35.0225</v>
      </c>
    </row>
    <row r="2915">
      <c r="A2915" s="4">
        <v>45018.0</v>
      </c>
      <c r="B2915" s="2">
        <v>1296363.0</v>
      </c>
      <c r="C2915" s="2">
        <v>4350166.0</v>
      </c>
      <c r="D2915" s="2">
        <v>90.4596999999999</v>
      </c>
    </row>
    <row r="2916">
      <c r="A2916" s="4">
        <v>45018.0</v>
      </c>
      <c r="B2916" s="2">
        <v>458763.0</v>
      </c>
      <c r="C2916" s="2">
        <v>4352077.0</v>
      </c>
      <c r="D2916" s="2">
        <v>59.6625</v>
      </c>
    </row>
    <row r="2917">
      <c r="A2917" s="4">
        <v>45018.0</v>
      </c>
      <c r="B2917" s="2">
        <v>1220073.0</v>
      </c>
      <c r="C2917" s="2">
        <v>4350779.0</v>
      </c>
      <c r="D2917" s="2">
        <v>75.106</v>
      </c>
    </row>
    <row r="2918">
      <c r="A2918" s="4">
        <v>45018.0</v>
      </c>
      <c r="B2918" s="2">
        <v>1555203.0</v>
      </c>
      <c r="C2918" s="2">
        <v>4351754.0</v>
      </c>
      <c r="D2918" s="2">
        <v>31.5833</v>
      </c>
    </row>
    <row r="2919">
      <c r="A2919" s="4">
        <v>45274.0</v>
      </c>
      <c r="B2919" s="2">
        <v>260553.0</v>
      </c>
      <c r="C2919" s="2">
        <v>5317526.0</v>
      </c>
      <c r="D2919" s="2">
        <v>43.1666</v>
      </c>
    </row>
    <row r="2920">
      <c r="A2920" s="4">
        <v>45274.0</v>
      </c>
      <c r="B2920" s="2">
        <v>1207683.0</v>
      </c>
      <c r="C2920" s="2">
        <v>5315992.0</v>
      </c>
      <c r="D2920" s="2">
        <v>78.3753999999999</v>
      </c>
    </row>
    <row r="2921">
      <c r="A2921" s="4">
        <v>45274.0</v>
      </c>
      <c r="B2921" s="2">
        <v>1291233.0</v>
      </c>
      <c r="C2921" s="2">
        <v>5317858.0</v>
      </c>
      <c r="D2921" s="2">
        <v>100.280099999999</v>
      </c>
    </row>
    <row r="2922">
      <c r="A2922" s="4">
        <v>45274.0</v>
      </c>
      <c r="B2922" s="2">
        <v>1692153.0</v>
      </c>
      <c r="C2922" s="2">
        <v>5316414.0</v>
      </c>
      <c r="D2922" s="2">
        <v>25.0433</v>
      </c>
    </row>
    <row r="2923">
      <c r="A2923" s="4">
        <v>45274.0</v>
      </c>
      <c r="B2923" s="2">
        <v>1644393.0</v>
      </c>
      <c r="C2923" s="2">
        <v>5317726.0</v>
      </c>
      <c r="D2923" s="2">
        <v>22.9896</v>
      </c>
    </row>
    <row r="2924">
      <c r="A2924" s="4">
        <v>45274.0</v>
      </c>
      <c r="B2924" s="2">
        <v>1379103.0</v>
      </c>
      <c r="C2924" s="2">
        <v>5317676.0</v>
      </c>
      <c r="D2924" s="2">
        <v>116.4744</v>
      </c>
    </row>
    <row r="2925">
      <c r="A2925" s="4">
        <v>45274.0</v>
      </c>
      <c r="B2925" s="2">
        <v>1637013.0</v>
      </c>
      <c r="C2925" s="2">
        <v>5317360.0</v>
      </c>
      <c r="D2925" s="2">
        <v>45.8095</v>
      </c>
    </row>
    <row r="2926">
      <c r="A2926" s="4">
        <v>45274.0</v>
      </c>
      <c r="B2926" s="2">
        <v>1816713.0</v>
      </c>
      <c r="C2926" s="2">
        <v>5317230.0</v>
      </c>
      <c r="D2926" s="2">
        <v>85.4239</v>
      </c>
    </row>
    <row r="2927">
      <c r="A2927" s="4">
        <v>45274.0</v>
      </c>
      <c r="B2927" s="2">
        <v>1816443.0</v>
      </c>
      <c r="C2927" s="2">
        <v>5316239.0</v>
      </c>
      <c r="D2927" s="2">
        <v>35.0625</v>
      </c>
    </row>
    <row r="2928">
      <c r="A2928" s="4">
        <v>44763.0</v>
      </c>
      <c r="B2928" s="2">
        <v>1381053.0</v>
      </c>
      <c r="C2928" s="2">
        <v>3662428.0</v>
      </c>
      <c r="D2928" s="2">
        <v>12.0</v>
      </c>
    </row>
    <row r="2929">
      <c r="A2929" s="4">
        <v>45019.0</v>
      </c>
      <c r="B2929" s="2">
        <v>1327233.0</v>
      </c>
      <c r="C2929" s="2">
        <v>4356429.0</v>
      </c>
      <c r="D2929" s="2">
        <v>41.962</v>
      </c>
    </row>
    <row r="2930">
      <c r="A2930" s="4">
        <v>45019.0</v>
      </c>
      <c r="B2930" s="2">
        <v>1409553.0</v>
      </c>
      <c r="C2930" s="2">
        <v>4354113.0</v>
      </c>
      <c r="D2930" s="2">
        <v>71.2055</v>
      </c>
    </row>
    <row r="2931">
      <c r="A2931" s="4">
        <v>45019.0</v>
      </c>
      <c r="B2931" s="2">
        <v>1478463.0</v>
      </c>
      <c r="C2931" s="2">
        <v>4355257.0</v>
      </c>
      <c r="D2931" s="2">
        <v>56.9516</v>
      </c>
    </row>
    <row r="2932">
      <c r="A2932" s="4">
        <v>45019.0</v>
      </c>
      <c r="B2932" s="2">
        <v>1489683.0</v>
      </c>
      <c r="C2932" s="2">
        <v>4355396.0</v>
      </c>
      <c r="D2932" s="2">
        <v>112.3624</v>
      </c>
    </row>
    <row r="2933">
      <c r="A2933" s="4">
        <v>45019.0</v>
      </c>
      <c r="B2933" s="2">
        <v>1564863.0</v>
      </c>
      <c r="C2933" s="2">
        <v>4356398.0</v>
      </c>
      <c r="D2933" s="2">
        <v>54.602</v>
      </c>
    </row>
    <row r="2934">
      <c r="A2934" s="4">
        <v>45019.0</v>
      </c>
      <c r="B2934" s="2">
        <v>1564293.0</v>
      </c>
      <c r="C2934" s="2">
        <v>4354316.0</v>
      </c>
      <c r="D2934" s="2">
        <v>23.5547</v>
      </c>
    </row>
    <row r="2935">
      <c r="A2935" s="4">
        <v>45275.0</v>
      </c>
      <c r="B2935" s="2">
        <v>1163223.0</v>
      </c>
      <c r="C2935" s="2">
        <v>5320826.0</v>
      </c>
      <c r="D2935" s="2">
        <v>79.5214</v>
      </c>
    </row>
    <row r="2936">
      <c r="A2936" s="4">
        <v>45275.0</v>
      </c>
      <c r="B2936" s="2">
        <v>1141683.0</v>
      </c>
      <c r="C2936" s="2">
        <v>5318829.0</v>
      </c>
      <c r="D2936" s="2">
        <v>94.9198</v>
      </c>
    </row>
    <row r="2937">
      <c r="A2937" s="4">
        <v>45275.0</v>
      </c>
      <c r="B2937" s="2">
        <v>1818033.0</v>
      </c>
      <c r="C2937" s="2">
        <v>5321164.0</v>
      </c>
      <c r="D2937" s="2">
        <v>23.7083999999999</v>
      </c>
    </row>
    <row r="2938">
      <c r="A2938" s="4">
        <v>45275.0</v>
      </c>
      <c r="B2938" s="2">
        <v>1462173.0</v>
      </c>
      <c r="C2938" s="2">
        <v>5320673.0</v>
      </c>
      <c r="D2938" s="2">
        <v>61.427</v>
      </c>
    </row>
    <row r="2939">
      <c r="A2939" s="4">
        <v>45275.0</v>
      </c>
      <c r="B2939" s="2">
        <v>1784793.0</v>
      </c>
      <c r="C2939" s="2">
        <v>5320084.0</v>
      </c>
      <c r="D2939" s="2">
        <v>24.4407</v>
      </c>
    </row>
    <row r="2940">
      <c r="A2940" s="4">
        <v>45275.0</v>
      </c>
      <c r="B2940" s="2">
        <v>181533.0</v>
      </c>
      <c r="C2940" s="2">
        <v>5321554.0</v>
      </c>
      <c r="D2940" s="2">
        <v>11.6967</v>
      </c>
    </row>
    <row r="2941">
      <c r="A2941" s="4">
        <v>45275.0</v>
      </c>
      <c r="B2941" s="2">
        <v>1817433.0</v>
      </c>
      <c r="C2941" s="2">
        <v>5319319.0</v>
      </c>
      <c r="D2941" s="2">
        <v>21.1868</v>
      </c>
    </row>
    <row r="2942">
      <c r="A2942" s="4">
        <v>45275.0</v>
      </c>
      <c r="B2942" s="2">
        <v>1467843.0</v>
      </c>
      <c r="C2942" s="2">
        <v>5320572.0</v>
      </c>
      <c r="D2942" s="2">
        <v>38.2368</v>
      </c>
    </row>
    <row r="2943">
      <c r="A2943" s="4">
        <v>44764.0</v>
      </c>
      <c r="B2943" s="2">
        <v>1381413.0</v>
      </c>
      <c r="C2943" s="2">
        <v>3663805.0</v>
      </c>
      <c r="D2943" s="2">
        <v>68.3242</v>
      </c>
    </row>
    <row r="2944">
      <c r="A2944" s="4">
        <v>44764.0</v>
      </c>
      <c r="B2944" s="2">
        <v>1381323.0</v>
      </c>
      <c r="C2944" s="2">
        <v>3663415.0</v>
      </c>
      <c r="D2944" s="2">
        <v>47.1</v>
      </c>
    </row>
    <row r="2945">
      <c r="A2945" s="4">
        <v>44764.0</v>
      </c>
      <c r="B2945" s="2">
        <v>1304853.0</v>
      </c>
      <c r="C2945" s="2">
        <v>3663561.0</v>
      </c>
      <c r="D2945" s="2">
        <v>51.9101</v>
      </c>
    </row>
    <row r="2946">
      <c r="A2946" s="4">
        <v>44764.0</v>
      </c>
      <c r="B2946" s="2">
        <v>1238253.0</v>
      </c>
      <c r="C2946" s="2">
        <v>3663886.0</v>
      </c>
      <c r="D2946" s="2">
        <v>14.79</v>
      </c>
    </row>
    <row r="2947">
      <c r="A2947" s="4">
        <v>44764.0</v>
      </c>
      <c r="B2947" s="2">
        <v>1381683.0</v>
      </c>
      <c r="C2947" s="2">
        <v>3664750.0</v>
      </c>
      <c r="D2947" s="2">
        <v>14.6454</v>
      </c>
    </row>
    <row r="2948">
      <c r="A2948" s="4">
        <v>45020.0</v>
      </c>
      <c r="B2948" s="2">
        <v>1524873.0</v>
      </c>
      <c r="C2948" s="2">
        <v>4358340.0</v>
      </c>
      <c r="D2948" s="2">
        <v>80.6593</v>
      </c>
    </row>
    <row r="2949">
      <c r="A2949" s="4">
        <v>45020.0</v>
      </c>
      <c r="B2949" s="2">
        <v>1351143.0</v>
      </c>
      <c r="C2949" s="2">
        <v>4359340.0</v>
      </c>
      <c r="D2949" s="2">
        <v>70.3403</v>
      </c>
    </row>
    <row r="2950">
      <c r="A2950" s="4">
        <v>45020.0</v>
      </c>
      <c r="B2950" s="2">
        <v>58503.0</v>
      </c>
      <c r="C2950" s="2">
        <v>4358751.0</v>
      </c>
      <c r="D2950" s="2">
        <v>68.7638999999999</v>
      </c>
    </row>
    <row r="2951">
      <c r="A2951" s="4">
        <v>45020.0</v>
      </c>
      <c r="B2951" s="2">
        <v>1286103.0</v>
      </c>
      <c r="C2951" s="2">
        <v>4356837.0</v>
      </c>
      <c r="D2951" s="2">
        <v>173.6105</v>
      </c>
    </row>
    <row r="2952">
      <c r="A2952" s="4">
        <v>45020.0</v>
      </c>
      <c r="B2952" s="2">
        <v>1522173.0</v>
      </c>
      <c r="C2952" s="2">
        <v>4358734.0</v>
      </c>
      <c r="D2952" s="2">
        <v>35.4353</v>
      </c>
    </row>
    <row r="2953">
      <c r="A2953" s="4">
        <v>45020.0</v>
      </c>
      <c r="B2953" s="2">
        <v>1565823.0</v>
      </c>
      <c r="C2953" s="2">
        <v>4360002.0</v>
      </c>
      <c r="D2953" s="2">
        <v>16.9014</v>
      </c>
    </row>
    <row r="2954">
      <c r="A2954" s="4">
        <v>45020.0</v>
      </c>
      <c r="B2954" s="2">
        <v>1556343.0</v>
      </c>
      <c r="C2954" s="2">
        <v>4358435.0</v>
      </c>
      <c r="D2954" s="2">
        <v>19.1167</v>
      </c>
    </row>
    <row r="2955">
      <c r="A2955" s="4">
        <v>45020.0</v>
      </c>
      <c r="B2955" s="2">
        <v>1138083.0</v>
      </c>
      <c r="C2955" s="2">
        <v>4357684.0</v>
      </c>
      <c r="D2955" s="2">
        <v>165.2475</v>
      </c>
    </row>
    <row r="2956">
      <c r="A2956" s="4">
        <v>45020.0</v>
      </c>
      <c r="B2956" s="2">
        <v>1547883.0</v>
      </c>
      <c r="C2956" s="2">
        <v>4359529.0</v>
      </c>
      <c r="D2956" s="2">
        <v>68.5382</v>
      </c>
    </row>
    <row r="2957">
      <c r="A2957" s="4">
        <v>45020.0</v>
      </c>
      <c r="B2957" s="2">
        <v>1292223.0</v>
      </c>
      <c r="C2957" s="2">
        <v>4358134.0</v>
      </c>
      <c r="D2957" s="2">
        <v>103.929</v>
      </c>
    </row>
    <row r="2958">
      <c r="A2958" s="4">
        <v>45020.0</v>
      </c>
      <c r="B2958" s="2">
        <v>1223523.0</v>
      </c>
      <c r="C2958" s="2">
        <v>4358008.0</v>
      </c>
      <c r="D2958" s="2">
        <v>120.0475</v>
      </c>
    </row>
    <row r="2959">
      <c r="A2959" s="4">
        <v>45276.0</v>
      </c>
      <c r="B2959" s="2">
        <v>1819443.0</v>
      </c>
      <c r="C2959" s="2">
        <v>5326039.0</v>
      </c>
      <c r="D2959" s="2">
        <v>24.8967</v>
      </c>
    </row>
    <row r="2960">
      <c r="A2960" s="4">
        <v>45276.0</v>
      </c>
      <c r="B2960" s="2">
        <v>1605693.0</v>
      </c>
      <c r="C2960" s="2">
        <v>5327010.0</v>
      </c>
      <c r="D2960" s="2">
        <v>26.9583</v>
      </c>
    </row>
    <row r="2961">
      <c r="A2961" s="4">
        <v>45276.0</v>
      </c>
      <c r="B2961" s="2">
        <v>1252173.0</v>
      </c>
      <c r="C2961" s="2">
        <v>5323321.0</v>
      </c>
      <c r="D2961" s="2">
        <v>50.5791</v>
      </c>
    </row>
    <row r="2962">
      <c r="A2962" s="4">
        <v>45276.0</v>
      </c>
      <c r="B2962" s="2">
        <v>1687653.0</v>
      </c>
      <c r="C2962" s="2">
        <v>5326868.0</v>
      </c>
      <c r="D2962" s="2">
        <v>76.0933999999999</v>
      </c>
    </row>
    <row r="2963">
      <c r="A2963" s="4">
        <v>45276.0</v>
      </c>
      <c r="B2963" s="2">
        <v>1810803.0</v>
      </c>
      <c r="C2963" s="2">
        <v>5325794.0</v>
      </c>
      <c r="D2963" s="2">
        <v>76.1149</v>
      </c>
    </row>
    <row r="2964">
      <c r="A2964" s="4">
        <v>45276.0</v>
      </c>
      <c r="B2964" s="2">
        <v>996933.0</v>
      </c>
      <c r="C2964" s="2">
        <v>5326841.0</v>
      </c>
      <c r="D2964" s="2">
        <v>135.8386</v>
      </c>
    </row>
    <row r="2965">
      <c r="A2965" s="4">
        <v>45276.0</v>
      </c>
      <c r="B2965" s="2">
        <v>1805133.0</v>
      </c>
      <c r="C2965" s="2">
        <v>5324493.0</v>
      </c>
      <c r="D2965" s="2">
        <v>92.0960999999999</v>
      </c>
    </row>
    <row r="2966">
      <c r="A2966" s="4">
        <v>45276.0</v>
      </c>
      <c r="B2966" s="2">
        <v>1791423.0</v>
      </c>
      <c r="C2966" s="2">
        <v>5324764.0</v>
      </c>
      <c r="D2966" s="2">
        <v>172.139599999999</v>
      </c>
    </row>
    <row r="2967">
      <c r="A2967" s="4">
        <v>45276.0</v>
      </c>
      <c r="B2967" s="2">
        <v>1607613.0</v>
      </c>
      <c r="C2967" s="2">
        <v>5326038.0</v>
      </c>
      <c r="D2967" s="2">
        <v>96.5768</v>
      </c>
    </row>
    <row r="2968">
      <c r="A2968" s="4">
        <v>45276.0</v>
      </c>
      <c r="B2968" s="2">
        <v>1818693.0</v>
      </c>
      <c r="C2968" s="2">
        <v>5323368.0</v>
      </c>
      <c r="D2968" s="2">
        <v>71.9913</v>
      </c>
    </row>
    <row r="2969">
      <c r="A2969" s="4">
        <v>45276.0</v>
      </c>
      <c r="B2969" s="2">
        <v>1465233.0</v>
      </c>
      <c r="C2969" s="2">
        <v>5326090.0</v>
      </c>
      <c r="D2969" s="2">
        <v>90.6787</v>
      </c>
    </row>
    <row r="2970">
      <c r="A2970" s="4">
        <v>45276.0</v>
      </c>
      <c r="B2970" s="2">
        <v>1818303.0</v>
      </c>
      <c r="C2970" s="2">
        <v>5322003.0</v>
      </c>
      <c r="D2970" s="2">
        <v>75.7791999999999</v>
      </c>
    </row>
    <row r="2971">
      <c r="A2971" s="4">
        <v>45276.0</v>
      </c>
      <c r="B2971" s="2">
        <v>1406043.0</v>
      </c>
      <c r="C2971" s="2">
        <v>5322353.0</v>
      </c>
      <c r="D2971" s="2">
        <v>67.4757999999999</v>
      </c>
    </row>
    <row r="2972">
      <c r="A2972" s="4">
        <v>44765.0</v>
      </c>
      <c r="B2972" s="2">
        <v>1151883.0</v>
      </c>
      <c r="C2972" s="2">
        <v>3665024.0</v>
      </c>
      <c r="D2972" s="2">
        <v>148.0391</v>
      </c>
    </row>
    <row r="2973">
      <c r="A2973" s="4">
        <v>44765.0</v>
      </c>
      <c r="B2973" s="2">
        <v>1382133.0</v>
      </c>
      <c r="C2973" s="2">
        <v>3666453.0</v>
      </c>
      <c r="D2973" s="2">
        <v>7.3378</v>
      </c>
    </row>
    <row r="2974">
      <c r="A2974" s="4">
        <v>44765.0</v>
      </c>
      <c r="B2974" s="2">
        <v>1302723.0</v>
      </c>
      <c r="C2974" s="2">
        <v>3666812.0</v>
      </c>
      <c r="D2974" s="2">
        <v>113.7064</v>
      </c>
    </row>
    <row r="2975">
      <c r="A2975" s="4">
        <v>44765.0</v>
      </c>
      <c r="B2975" s="2">
        <v>1223523.0</v>
      </c>
      <c r="C2975" s="2">
        <v>3665426.0</v>
      </c>
      <c r="D2975" s="2">
        <v>61.2120999999999</v>
      </c>
    </row>
    <row r="2976">
      <c r="A2976" s="4">
        <v>45021.0</v>
      </c>
      <c r="B2976" s="2">
        <v>1267803.0</v>
      </c>
      <c r="C2976" s="2">
        <v>4362718.0</v>
      </c>
      <c r="D2976" s="2">
        <v>79.344</v>
      </c>
    </row>
    <row r="2977">
      <c r="A2977" s="4">
        <v>45021.0</v>
      </c>
      <c r="B2977" s="2">
        <v>278733.0</v>
      </c>
      <c r="C2977" s="2">
        <v>4362941.0</v>
      </c>
      <c r="D2977" s="2">
        <v>66.3841</v>
      </c>
    </row>
    <row r="2978">
      <c r="A2978" s="4">
        <v>45021.0</v>
      </c>
      <c r="B2978" s="2">
        <v>1307673.0</v>
      </c>
      <c r="C2978" s="2">
        <v>4360540.0</v>
      </c>
      <c r="D2978" s="2">
        <v>40.3304</v>
      </c>
    </row>
    <row r="2979">
      <c r="A2979" s="4">
        <v>45021.0</v>
      </c>
      <c r="B2979" s="2">
        <v>1046973.0</v>
      </c>
      <c r="C2979" s="2">
        <v>4361837.0</v>
      </c>
      <c r="D2979" s="2">
        <v>18.152</v>
      </c>
    </row>
    <row r="2980">
      <c r="A2980" s="4">
        <v>45277.0</v>
      </c>
      <c r="B2980" s="2">
        <v>1819743.0</v>
      </c>
      <c r="C2980" s="2">
        <v>5327166.0</v>
      </c>
      <c r="D2980" s="2">
        <v>42.9895</v>
      </c>
    </row>
    <row r="2981">
      <c r="A2981" s="4">
        <v>45277.0</v>
      </c>
      <c r="B2981" s="2">
        <v>1623573.0</v>
      </c>
      <c r="C2981" s="2">
        <v>5328975.0</v>
      </c>
      <c r="D2981" s="2">
        <v>27.7248</v>
      </c>
    </row>
    <row r="2982">
      <c r="A2982" s="4">
        <v>45277.0</v>
      </c>
      <c r="B2982" s="2">
        <v>1803513.0</v>
      </c>
      <c r="C2982" s="2">
        <v>5329549.0</v>
      </c>
      <c r="D2982" s="2">
        <v>4.7299</v>
      </c>
    </row>
    <row r="2983">
      <c r="A2983" s="4">
        <v>45277.0</v>
      </c>
      <c r="B2983" s="2">
        <v>1648683.0</v>
      </c>
      <c r="C2983" s="2">
        <v>5329872.0</v>
      </c>
      <c r="D2983" s="2">
        <v>135.264</v>
      </c>
    </row>
    <row r="2984">
      <c r="A2984" s="4">
        <v>45277.0</v>
      </c>
      <c r="B2984" s="2">
        <v>1444053.0</v>
      </c>
      <c r="C2984" s="2">
        <v>5327220.0</v>
      </c>
      <c r="D2984" s="2">
        <v>65.8334</v>
      </c>
    </row>
    <row r="2985">
      <c r="A2985" s="4">
        <v>44766.0</v>
      </c>
      <c r="B2985" s="2">
        <v>1291233.0</v>
      </c>
      <c r="C2985" s="2">
        <v>3667684.0</v>
      </c>
      <c r="D2985" s="2">
        <v>65.3948</v>
      </c>
    </row>
    <row r="2986">
      <c r="A2986" s="4">
        <v>44766.0</v>
      </c>
      <c r="B2986" s="2">
        <v>1382673.0</v>
      </c>
      <c r="C2986" s="2">
        <v>3668775.0</v>
      </c>
      <c r="D2986" s="2">
        <v>74.5632</v>
      </c>
    </row>
    <row r="2987">
      <c r="A2987" s="4">
        <v>44766.0</v>
      </c>
      <c r="B2987" s="2">
        <v>1279323.0</v>
      </c>
      <c r="C2987" s="2">
        <v>3667468.0</v>
      </c>
      <c r="D2987" s="2">
        <v>38.5501</v>
      </c>
    </row>
    <row r="2988">
      <c r="A2988" s="4">
        <v>44766.0</v>
      </c>
      <c r="B2988" s="2">
        <v>1382613.0</v>
      </c>
      <c r="C2988" s="2">
        <v>3668597.0</v>
      </c>
      <c r="D2988" s="2">
        <v>17.8294</v>
      </c>
    </row>
    <row r="2989">
      <c r="A2989" s="4">
        <v>44766.0</v>
      </c>
      <c r="B2989" s="2">
        <v>391113.0</v>
      </c>
      <c r="C2989" s="2">
        <v>3667610.0</v>
      </c>
      <c r="D2989" s="2">
        <v>74.3396</v>
      </c>
    </row>
    <row r="2990">
      <c r="A2990" s="4">
        <v>45022.0</v>
      </c>
      <c r="B2990" s="2">
        <v>1287393.0</v>
      </c>
      <c r="C2990" s="2">
        <v>4363918.0</v>
      </c>
      <c r="D2990" s="2">
        <v>85.9618</v>
      </c>
    </row>
    <row r="2991">
      <c r="A2991" s="4">
        <v>45022.0</v>
      </c>
      <c r="B2991" s="2">
        <v>1567053.0</v>
      </c>
      <c r="C2991" s="2">
        <v>4364816.0</v>
      </c>
      <c r="D2991" s="2">
        <v>46.5121999999999</v>
      </c>
    </row>
    <row r="2992">
      <c r="A2992" s="4">
        <v>45022.0</v>
      </c>
      <c r="B2992" s="2">
        <v>1128333.0</v>
      </c>
      <c r="C2992" s="2">
        <v>4364276.0</v>
      </c>
      <c r="D2992" s="2">
        <v>62.9544</v>
      </c>
    </row>
    <row r="2993">
      <c r="A2993" s="4">
        <v>45022.0</v>
      </c>
      <c r="B2993" s="2">
        <v>266283.0</v>
      </c>
      <c r="C2993" s="2">
        <v>4363886.0</v>
      </c>
      <c r="D2993" s="2">
        <v>79.3697</v>
      </c>
    </row>
    <row r="2994">
      <c r="A2994" s="4">
        <v>45022.0</v>
      </c>
      <c r="B2994" s="2">
        <v>1141683.0</v>
      </c>
      <c r="C2994" s="2">
        <v>4364366.0</v>
      </c>
      <c r="D2994" s="2">
        <v>72.5961</v>
      </c>
    </row>
    <row r="2995">
      <c r="A2995" s="4">
        <v>45022.0</v>
      </c>
      <c r="B2995" s="2">
        <v>1566813.0</v>
      </c>
      <c r="C2995" s="2">
        <v>4363891.0</v>
      </c>
      <c r="D2995" s="2">
        <v>15.2458999999999</v>
      </c>
    </row>
    <row r="2996">
      <c r="A2996" s="4">
        <v>45278.0</v>
      </c>
      <c r="B2996" s="2">
        <v>1821753.0</v>
      </c>
      <c r="C2996" s="2">
        <v>5334327.0</v>
      </c>
      <c r="D2996" s="2">
        <v>50.9292</v>
      </c>
    </row>
    <row r="2997">
      <c r="A2997" s="4">
        <v>45278.0</v>
      </c>
      <c r="B2997" s="2">
        <v>1821573.0</v>
      </c>
      <c r="C2997" s="2">
        <v>5333816.0</v>
      </c>
      <c r="D2997" s="2">
        <v>30.625</v>
      </c>
    </row>
    <row r="2998">
      <c r="A2998" s="4">
        <v>45278.0</v>
      </c>
      <c r="B2998" s="2">
        <v>1616763.0</v>
      </c>
      <c r="C2998" s="2">
        <v>5333734.0</v>
      </c>
      <c r="D2998" s="2">
        <v>25.2020999999999</v>
      </c>
    </row>
    <row r="2999">
      <c r="A2999" s="4">
        <v>44767.0</v>
      </c>
      <c r="B2999" s="2">
        <v>186663.0</v>
      </c>
      <c r="C2999" s="2">
        <v>3670383.0</v>
      </c>
      <c r="D2999" s="2">
        <v>100.6553</v>
      </c>
    </row>
    <row r="3000">
      <c r="A3000" s="4">
        <v>44767.0</v>
      </c>
      <c r="B3000" s="2">
        <v>1206753.0</v>
      </c>
      <c r="C3000" s="2">
        <v>3670750.0</v>
      </c>
      <c r="D3000" s="2">
        <v>46.5816999999999</v>
      </c>
    </row>
    <row r="3001">
      <c r="A3001" s="4">
        <v>44767.0</v>
      </c>
      <c r="B3001" s="2">
        <v>1318413.0</v>
      </c>
      <c r="C3001" s="2">
        <v>3670929.0</v>
      </c>
      <c r="D3001" s="2">
        <v>12.4279</v>
      </c>
    </row>
    <row r="3002">
      <c r="A3002" s="4">
        <v>45023.0</v>
      </c>
      <c r="B3002" s="2">
        <v>358443.0</v>
      </c>
      <c r="C3002" s="2">
        <v>4367939.0</v>
      </c>
      <c r="D3002" s="2">
        <v>134.6606</v>
      </c>
    </row>
    <row r="3003">
      <c r="A3003" s="4">
        <v>45023.0</v>
      </c>
      <c r="B3003" s="2">
        <v>1567863.0</v>
      </c>
      <c r="C3003" s="2">
        <v>4367663.0</v>
      </c>
      <c r="D3003" s="2">
        <v>29.75</v>
      </c>
    </row>
    <row r="3004">
      <c r="A3004" s="4">
        <v>45023.0</v>
      </c>
      <c r="B3004" s="2">
        <v>1567323.0</v>
      </c>
      <c r="C3004" s="2">
        <v>4365794.0</v>
      </c>
      <c r="D3004" s="2">
        <v>80.5925</v>
      </c>
    </row>
    <row r="3005">
      <c r="A3005" s="4">
        <v>45023.0</v>
      </c>
      <c r="B3005" s="2">
        <v>1410633.0</v>
      </c>
      <c r="C3005" s="2">
        <v>4366147.0</v>
      </c>
      <c r="D3005" s="2">
        <v>62.0425</v>
      </c>
    </row>
    <row r="3006">
      <c r="A3006" s="4">
        <v>45023.0</v>
      </c>
      <c r="B3006" s="2">
        <v>366003.0</v>
      </c>
      <c r="C3006" s="2">
        <v>4366759.0</v>
      </c>
      <c r="D3006" s="2">
        <v>93.1334</v>
      </c>
    </row>
    <row r="3007">
      <c r="A3007" s="4">
        <v>45279.0</v>
      </c>
      <c r="B3007" s="2">
        <v>1822683.0</v>
      </c>
      <c r="C3007" s="2">
        <v>5337409.0</v>
      </c>
      <c r="D3007" s="2">
        <v>7.5</v>
      </c>
    </row>
    <row r="3008">
      <c r="A3008" s="4">
        <v>45279.0</v>
      </c>
      <c r="B3008" s="2">
        <v>188823.0</v>
      </c>
      <c r="C3008" s="2">
        <v>5335148.0</v>
      </c>
      <c r="D3008" s="2">
        <v>77.1124</v>
      </c>
    </row>
    <row r="3009">
      <c r="A3009" s="4">
        <v>45279.0</v>
      </c>
      <c r="B3009" s="2">
        <v>1822203.0</v>
      </c>
      <c r="C3009" s="2">
        <v>5335932.0</v>
      </c>
      <c r="D3009" s="2">
        <v>10.2125</v>
      </c>
    </row>
    <row r="3010">
      <c r="A3010" s="4">
        <v>45279.0</v>
      </c>
      <c r="B3010" s="2">
        <v>184683.0</v>
      </c>
      <c r="C3010" s="2">
        <v>5336780.0</v>
      </c>
      <c r="D3010" s="2">
        <v>83.3956</v>
      </c>
    </row>
    <row r="3011">
      <c r="A3011" s="4">
        <v>45279.0</v>
      </c>
      <c r="B3011" s="2">
        <v>1261383.0</v>
      </c>
      <c r="C3011" s="2">
        <v>5337555.0</v>
      </c>
      <c r="D3011" s="2">
        <v>213.2934</v>
      </c>
    </row>
    <row r="3012">
      <c r="A3012" s="4">
        <v>45279.0</v>
      </c>
      <c r="B3012" s="2">
        <v>1822443.0</v>
      </c>
      <c r="C3012" s="2">
        <v>5336675.0</v>
      </c>
      <c r="D3012" s="2">
        <v>28.25</v>
      </c>
    </row>
    <row r="3013">
      <c r="A3013" s="4">
        <v>44768.0</v>
      </c>
      <c r="B3013" s="2">
        <v>1383813.0</v>
      </c>
      <c r="C3013" s="2">
        <v>3673325.0</v>
      </c>
      <c r="D3013" s="2">
        <v>9.5576</v>
      </c>
    </row>
    <row r="3014">
      <c r="A3014" s="4">
        <v>44768.0</v>
      </c>
      <c r="B3014" s="2">
        <v>1384113.0</v>
      </c>
      <c r="C3014" s="2">
        <v>3674426.0</v>
      </c>
      <c r="D3014" s="2">
        <v>97.69</v>
      </c>
    </row>
    <row r="3015">
      <c r="A3015" s="4">
        <v>44768.0</v>
      </c>
      <c r="B3015" s="2">
        <v>1039983.0</v>
      </c>
      <c r="C3015" s="2">
        <v>3674362.0</v>
      </c>
      <c r="D3015" s="2">
        <v>75.2737</v>
      </c>
    </row>
    <row r="3016">
      <c r="A3016" s="4">
        <v>44768.0</v>
      </c>
      <c r="B3016" s="2">
        <v>1207683.0</v>
      </c>
      <c r="C3016" s="2">
        <v>3672640.0</v>
      </c>
      <c r="D3016" s="2">
        <v>71.9058999999999</v>
      </c>
    </row>
    <row r="3017">
      <c r="A3017" s="4">
        <v>45024.0</v>
      </c>
      <c r="B3017" s="2">
        <v>367683.0</v>
      </c>
      <c r="C3017" s="2">
        <v>4368983.0</v>
      </c>
      <c r="D3017" s="2">
        <v>73.2822</v>
      </c>
    </row>
    <row r="3018">
      <c r="A3018" s="4">
        <v>45024.0</v>
      </c>
      <c r="B3018" s="2">
        <v>1533513.0</v>
      </c>
      <c r="C3018" s="2">
        <v>4368784.0</v>
      </c>
      <c r="D3018" s="2">
        <v>71.6949</v>
      </c>
    </row>
    <row r="3019">
      <c r="A3019" s="4">
        <v>45024.0</v>
      </c>
      <c r="B3019" s="2">
        <v>1220583.0</v>
      </c>
      <c r="C3019" s="2">
        <v>4371519.0</v>
      </c>
      <c r="D3019" s="2">
        <v>83.0467</v>
      </c>
    </row>
    <row r="3020">
      <c r="A3020" s="4">
        <v>45024.0</v>
      </c>
      <c r="B3020" s="2">
        <v>1535343.0</v>
      </c>
      <c r="C3020" s="2">
        <v>4371501.0</v>
      </c>
      <c r="D3020" s="2">
        <v>16.5</v>
      </c>
    </row>
    <row r="3021">
      <c r="A3021" s="4">
        <v>45024.0</v>
      </c>
      <c r="B3021" s="2">
        <v>1568163.0</v>
      </c>
      <c r="C3021" s="2">
        <v>4368906.0</v>
      </c>
      <c r="D3021" s="2">
        <v>13.5363</v>
      </c>
    </row>
    <row r="3022">
      <c r="A3022" s="4">
        <v>45024.0</v>
      </c>
      <c r="B3022" s="2">
        <v>247473.0</v>
      </c>
      <c r="C3022" s="2">
        <v>4369358.0</v>
      </c>
      <c r="D3022" s="2">
        <v>98.1599</v>
      </c>
    </row>
    <row r="3023">
      <c r="A3023" s="4">
        <v>45280.0</v>
      </c>
      <c r="B3023" s="2">
        <v>1592163.0</v>
      </c>
      <c r="C3023" s="2">
        <v>5338231.0</v>
      </c>
      <c r="D3023" s="2">
        <v>91.8746999999999</v>
      </c>
    </row>
    <row r="3024">
      <c r="A3024" s="4">
        <v>45280.0</v>
      </c>
      <c r="B3024" s="2">
        <v>1754043.0</v>
      </c>
      <c r="C3024" s="2">
        <v>5338541.0</v>
      </c>
      <c r="D3024" s="2">
        <v>168.246999999999</v>
      </c>
    </row>
    <row r="3025">
      <c r="A3025" s="4">
        <v>45280.0</v>
      </c>
      <c r="B3025" s="2">
        <v>1286103.0</v>
      </c>
      <c r="C3025" s="2">
        <v>5340356.0</v>
      </c>
      <c r="D3025" s="2">
        <v>168.6392</v>
      </c>
    </row>
    <row r="3026">
      <c r="A3026" s="4">
        <v>45280.0</v>
      </c>
      <c r="B3026" s="2">
        <v>1812753.0</v>
      </c>
      <c r="C3026" s="2">
        <v>5339715.0</v>
      </c>
      <c r="D3026" s="2">
        <v>14.7652</v>
      </c>
    </row>
    <row r="3027">
      <c r="A3027" s="4">
        <v>45280.0</v>
      </c>
      <c r="B3027" s="2">
        <v>1823163.0</v>
      </c>
      <c r="C3027" s="2">
        <v>5339049.0</v>
      </c>
      <c r="D3027" s="2">
        <v>41.1957</v>
      </c>
    </row>
    <row r="3028">
      <c r="A3028" s="4">
        <v>45280.0</v>
      </c>
      <c r="B3028" s="2">
        <v>1823523.0</v>
      </c>
      <c r="C3028" s="2">
        <v>5340328.0</v>
      </c>
      <c r="D3028" s="2">
        <v>81.3804</v>
      </c>
    </row>
    <row r="3029">
      <c r="A3029" s="4">
        <v>45280.0</v>
      </c>
      <c r="B3029" s="2">
        <v>1318413.0</v>
      </c>
      <c r="C3029" s="2">
        <v>5338459.0</v>
      </c>
      <c r="D3029" s="2">
        <v>156.7928</v>
      </c>
    </row>
    <row r="3030">
      <c r="A3030" s="4">
        <v>45280.0</v>
      </c>
      <c r="B3030" s="2">
        <v>1580073.0</v>
      </c>
      <c r="C3030" s="2">
        <v>5339645.0</v>
      </c>
      <c r="D3030" s="2">
        <v>46.7296</v>
      </c>
    </row>
    <row r="3031">
      <c r="A3031" s="4">
        <v>45280.0</v>
      </c>
      <c r="B3031" s="2">
        <v>1823103.0</v>
      </c>
      <c r="C3031" s="2">
        <v>5338874.0</v>
      </c>
      <c r="D3031" s="2">
        <v>36.5723</v>
      </c>
    </row>
    <row r="3032">
      <c r="A3032" s="4">
        <v>45280.0</v>
      </c>
      <c r="B3032" s="2">
        <v>1823553.0</v>
      </c>
      <c r="C3032" s="2">
        <v>5340417.0</v>
      </c>
      <c r="D3032" s="2">
        <v>24.9917</v>
      </c>
    </row>
    <row r="3033">
      <c r="A3033" s="4">
        <v>44769.0</v>
      </c>
      <c r="B3033" s="2">
        <v>1384593.0</v>
      </c>
      <c r="C3033" s="2">
        <v>3676261.0</v>
      </c>
      <c r="D3033" s="2">
        <v>36.628</v>
      </c>
    </row>
    <row r="3034">
      <c r="A3034" s="4">
        <v>44769.0</v>
      </c>
      <c r="B3034" s="2">
        <v>1149063.0</v>
      </c>
      <c r="C3034" s="2">
        <v>3675217.0</v>
      </c>
      <c r="D3034" s="2">
        <v>59.4586999999999</v>
      </c>
    </row>
    <row r="3035">
      <c r="A3035" s="4">
        <v>44769.0</v>
      </c>
      <c r="B3035" s="2">
        <v>1177893.0</v>
      </c>
      <c r="C3035" s="2">
        <v>3675035.0</v>
      </c>
      <c r="D3035" s="2">
        <v>99.181</v>
      </c>
    </row>
    <row r="3036">
      <c r="A3036" s="4">
        <v>44769.0</v>
      </c>
      <c r="B3036" s="2">
        <v>1234923.0</v>
      </c>
      <c r="C3036" s="2">
        <v>3675389.0</v>
      </c>
      <c r="D3036" s="2">
        <v>6.996</v>
      </c>
    </row>
    <row r="3037">
      <c r="A3037" s="4">
        <v>45025.0</v>
      </c>
      <c r="B3037" s="2">
        <v>1569543.0</v>
      </c>
      <c r="C3037" s="2">
        <v>4374536.0</v>
      </c>
      <c r="D3037" s="2">
        <v>79.0833</v>
      </c>
    </row>
    <row r="3038">
      <c r="A3038" s="4">
        <v>45025.0</v>
      </c>
      <c r="B3038" s="2">
        <v>228423.0</v>
      </c>
      <c r="C3038" s="2">
        <v>4375659.0</v>
      </c>
      <c r="D3038" s="2">
        <v>115.877299999999</v>
      </c>
    </row>
    <row r="3039">
      <c r="A3039" s="4">
        <v>45025.0</v>
      </c>
      <c r="B3039" s="2">
        <v>1426383.0</v>
      </c>
      <c r="C3039" s="2">
        <v>4375033.0</v>
      </c>
      <c r="D3039" s="2">
        <v>120.8492</v>
      </c>
    </row>
    <row r="3040">
      <c r="A3040" s="4">
        <v>45025.0</v>
      </c>
      <c r="B3040" s="2">
        <v>465123.0</v>
      </c>
      <c r="C3040" s="2">
        <v>4372939.0</v>
      </c>
      <c r="D3040" s="2">
        <v>70.2899999999999</v>
      </c>
    </row>
    <row r="3041">
      <c r="A3041" s="4">
        <v>45025.0</v>
      </c>
      <c r="B3041" s="2">
        <v>1569243.0</v>
      </c>
      <c r="C3041" s="2">
        <v>4373358.0</v>
      </c>
      <c r="D3041" s="2">
        <v>23.2783</v>
      </c>
    </row>
    <row r="3042">
      <c r="A3042" s="4">
        <v>45025.0</v>
      </c>
      <c r="B3042" s="2">
        <v>221733.0</v>
      </c>
      <c r="C3042" s="2">
        <v>4373022.0</v>
      </c>
      <c r="D3042" s="2">
        <v>361.753</v>
      </c>
    </row>
    <row r="3043">
      <c r="A3043" s="4">
        <v>45025.0</v>
      </c>
      <c r="B3043" s="2">
        <v>884403.0</v>
      </c>
      <c r="C3043" s="2">
        <v>4372270.0</v>
      </c>
      <c r="D3043" s="2">
        <v>53.0875</v>
      </c>
    </row>
    <row r="3044">
      <c r="A3044" s="4">
        <v>45025.0</v>
      </c>
      <c r="B3044" s="2">
        <v>62733.0</v>
      </c>
      <c r="C3044" s="2">
        <v>4375396.0</v>
      </c>
      <c r="D3044" s="2">
        <v>32.633</v>
      </c>
    </row>
    <row r="3045">
      <c r="A3045" s="4">
        <v>45281.0</v>
      </c>
      <c r="B3045" s="2">
        <v>1823643.0</v>
      </c>
      <c r="C3045" s="2">
        <v>5340966.0</v>
      </c>
      <c r="D3045" s="2">
        <v>51.7479</v>
      </c>
    </row>
    <row r="3046">
      <c r="A3046" s="4">
        <v>45281.0</v>
      </c>
      <c r="B3046" s="2">
        <v>1588233.0</v>
      </c>
      <c r="C3046" s="2">
        <v>5341098.0</v>
      </c>
      <c r="D3046" s="2">
        <v>113.900299999999</v>
      </c>
    </row>
    <row r="3047">
      <c r="A3047" s="4">
        <v>45281.0</v>
      </c>
      <c r="B3047" s="2">
        <v>1284063.0</v>
      </c>
      <c r="C3047" s="2">
        <v>5341560.0</v>
      </c>
      <c r="D3047" s="2">
        <v>65.1532</v>
      </c>
    </row>
    <row r="3048">
      <c r="A3048" s="4">
        <v>45281.0</v>
      </c>
      <c r="B3048" s="2">
        <v>1252983.0</v>
      </c>
      <c r="C3048" s="2">
        <v>5341775.0</v>
      </c>
      <c r="D3048" s="2">
        <v>20.9260999999999</v>
      </c>
    </row>
    <row r="3049">
      <c r="A3049" s="4">
        <v>45281.0</v>
      </c>
      <c r="B3049" s="2">
        <v>1823853.0</v>
      </c>
      <c r="C3049" s="2">
        <v>5341527.0</v>
      </c>
      <c r="D3049" s="2">
        <v>57.5</v>
      </c>
    </row>
    <row r="3050">
      <c r="A3050" s="4">
        <v>45281.0</v>
      </c>
      <c r="B3050" s="2">
        <v>1823973.0</v>
      </c>
      <c r="C3050" s="2">
        <v>5341922.0</v>
      </c>
      <c r="D3050" s="2">
        <v>21.9375</v>
      </c>
    </row>
    <row r="3051">
      <c r="A3051" s="4">
        <v>44770.0</v>
      </c>
      <c r="B3051" s="2">
        <v>1319373.0</v>
      </c>
      <c r="C3051" s="2">
        <v>3677188.0</v>
      </c>
      <c r="D3051" s="2">
        <v>99.5507999999999</v>
      </c>
    </row>
    <row r="3052">
      <c r="A3052" s="4">
        <v>44770.0</v>
      </c>
      <c r="B3052" s="2">
        <v>1113423.0</v>
      </c>
      <c r="C3052" s="2">
        <v>3677535.0</v>
      </c>
      <c r="D3052" s="2">
        <v>65.0672</v>
      </c>
    </row>
    <row r="3053">
      <c r="A3053" s="4">
        <v>44770.0</v>
      </c>
      <c r="B3053" s="2">
        <v>1328943.0</v>
      </c>
      <c r="C3053" s="2">
        <v>3677951.0</v>
      </c>
      <c r="D3053" s="2">
        <v>73.8353999999999</v>
      </c>
    </row>
    <row r="3054">
      <c r="A3054" s="4">
        <v>44770.0</v>
      </c>
      <c r="B3054" s="2">
        <v>1188063.0</v>
      </c>
      <c r="C3054" s="2">
        <v>3677910.0</v>
      </c>
      <c r="D3054" s="2">
        <v>20.2929</v>
      </c>
    </row>
    <row r="3055">
      <c r="A3055" s="4">
        <v>45026.0</v>
      </c>
      <c r="B3055" s="2">
        <v>1546173.0</v>
      </c>
      <c r="C3055" s="2">
        <v>4378097.0</v>
      </c>
      <c r="D3055" s="2">
        <v>59.3836</v>
      </c>
    </row>
    <row r="3056">
      <c r="A3056" s="4">
        <v>45026.0</v>
      </c>
      <c r="B3056" s="2">
        <v>1570083.0</v>
      </c>
      <c r="C3056" s="2">
        <v>4376666.0</v>
      </c>
      <c r="D3056" s="2">
        <v>12.837</v>
      </c>
    </row>
    <row r="3057">
      <c r="A3057" s="4">
        <v>45026.0</v>
      </c>
      <c r="B3057" s="2">
        <v>1570653.0</v>
      </c>
      <c r="C3057" s="2">
        <v>4378550.0</v>
      </c>
      <c r="D3057" s="2">
        <v>79.3215</v>
      </c>
    </row>
    <row r="3058">
      <c r="A3058" s="4">
        <v>45026.0</v>
      </c>
      <c r="B3058" s="2">
        <v>1194483.0</v>
      </c>
      <c r="C3058" s="2">
        <v>4376329.0</v>
      </c>
      <c r="D3058" s="2">
        <v>120.036499999999</v>
      </c>
    </row>
    <row r="3059">
      <c r="A3059" s="4">
        <v>45026.0</v>
      </c>
      <c r="B3059" s="2">
        <v>1455903.0</v>
      </c>
      <c r="C3059" s="2">
        <v>4376052.0</v>
      </c>
      <c r="D3059" s="2">
        <v>88.0444</v>
      </c>
    </row>
    <row r="3060">
      <c r="A3060" s="4">
        <v>45026.0</v>
      </c>
      <c r="B3060" s="2">
        <v>1477113.0</v>
      </c>
      <c r="C3060" s="2">
        <v>4378102.0</v>
      </c>
      <c r="D3060" s="2">
        <v>55.7867</v>
      </c>
    </row>
    <row r="3061">
      <c r="A3061" s="4">
        <v>45026.0</v>
      </c>
      <c r="B3061" s="2">
        <v>1570053.0</v>
      </c>
      <c r="C3061" s="2">
        <v>4376585.0</v>
      </c>
      <c r="D3061" s="2">
        <v>24.607</v>
      </c>
    </row>
    <row r="3062">
      <c r="A3062" s="4">
        <v>45282.0</v>
      </c>
      <c r="B3062" s="2">
        <v>1173993.0</v>
      </c>
      <c r="C3062" s="2">
        <v>5342434.0</v>
      </c>
      <c r="D3062" s="2">
        <v>93.431</v>
      </c>
    </row>
    <row r="3063">
      <c r="A3063" s="4">
        <v>45282.0</v>
      </c>
      <c r="B3063" s="2">
        <v>1423773.0</v>
      </c>
      <c r="C3063" s="2">
        <v>5342590.0</v>
      </c>
      <c r="D3063" s="2">
        <v>46.5833</v>
      </c>
    </row>
    <row r="3064">
      <c r="A3064" s="4">
        <v>45282.0</v>
      </c>
      <c r="B3064" s="2">
        <v>1824453.0</v>
      </c>
      <c r="C3064" s="2">
        <v>5343414.0</v>
      </c>
      <c r="D3064" s="2">
        <v>53.1503</v>
      </c>
    </row>
    <row r="3065">
      <c r="A3065" s="4">
        <v>45282.0</v>
      </c>
      <c r="B3065" s="2">
        <v>1824123.0</v>
      </c>
      <c r="C3065" s="2">
        <v>5342436.0</v>
      </c>
      <c r="D3065" s="2">
        <v>35.8335</v>
      </c>
    </row>
    <row r="3066">
      <c r="A3066" s="4">
        <v>45282.0</v>
      </c>
      <c r="B3066" s="2">
        <v>1292853.0</v>
      </c>
      <c r="C3066" s="2">
        <v>5342616.0</v>
      </c>
      <c r="D3066" s="2">
        <v>19.1666</v>
      </c>
    </row>
    <row r="3067">
      <c r="A3067" s="4">
        <v>44771.0</v>
      </c>
      <c r="B3067" s="2">
        <v>260853.0</v>
      </c>
      <c r="C3067" s="2">
        <v>3680307.0</v>
      </c>
      <c r="D3067" s="2">
        <v>8.25</v>
      </c>
    </row>
    <row r="3068">
      <c r="A3068" s="4">
        <v>44771.0</v>
      </c>
      <c r="B3068" s="2">
        <v>1255293.0</v>
      </c>
      <c r="C3068" s="2">
        <v>3679871.0</v>
      </c>
      <c r="D3068" s="2">
        <v>22.3365</v>
      </c>
    </row>
    <row r="3069">
      <c r="A3069" s="4">
        <v>44771.0</v>
      </c>
      <c r="B3069" s="2">
        <v>1341213.0</v>
      </c>
      <c r="C3069" s="2">
        <v>3679423.0</v>
      </c>
      <c r="D3069" s="2">
        <v>65.8333</v>
      </c>
    </row>
    <row r="3070">
      <c r="A3070" s="4">
        <v>44771.0</v>
      </c>
      <c r="B3070" s="2">
        <v>1385613.0</v>
      </c>
      <c r="C3070" s="2">
        <v>3680225.0</v>
      </c>
      <c r="D3070" s="2">
        <v>71.8277</v>
      </c>
    </row>
    <row r="3071">
      <c r="A3071" s="4">
        <v>44771.0</v>
      </c>
      <c r="B3071" s="2">
        <v>1174923.0</v>
      </c>
      <c r="C3071" s="2">
        <v>3679440.0</v>
      </c>
      <c r="D3071" s="2">
        <v>2.9858</v>
      </c>
    </row>
    <row r="3072">
      <c r="A3072" s="4">
        <v>44771.0</v>
      </c>
      <c r="B3072" s="2">
        <v>1385673.0</v>
      </c>
      <c r="C3072" s="2">
        <v>3680431.0</v>
      </c>
      <c r="D3072" s="2">
        <v>219.9167</v>
      </c>
    </row>
    <row r="3073">
      <c r="A3073" s="4">
        <v>45027.0</v>
      </c>
      <c r="B3073" s="2">
        <v>1570893.0</v>
      </c>
      <c r="C3073" s="2">
        <v>4379464.0</v>
      </c>
      <c r="D3073" s="2">
        <v>23.7762</v>
      </c>
    </row>
    <row r="3074">
      <c r="A3074" s="4">
        <v>45027.0</v>
      </c>
      <c r="B3074" s="2">
        <v>474633.0</v>
      </c>
      <c r="C3074" s="2">
        <v>4380194.0</v>
      </c>
      <c r="D3074" s="2">
        <v>167.068399999999</v>
      </c>
    </row>
    <row r="3075">
      <c r="A3075" s="4">
        <v>45027.0</v>
      </c>
      <c r="B3075" s="2">
        <v>1501053.0</v>
      </c>
      <c r="C3075" s="2">
        <v>4379377.0</v>
      </c>
      <c r="D3075" s="2">
        <v>107.076</v>
      </c>
    </row>
    <row r="3076">
      <c r="A3076" s="4">
        <v>45027.0</v>
      </c>
      <c r="B3076" s="2">
        <v>1332093.0</v>
      </c>
      <c r="C3076" s="2">
        <v>4381140.0</v>
      </c>
      <c r="D3076" s="2">
        <v>28.067</v>
      </c>
    </row>
    <row r="3077">
      <c r="A3077" s="4">
        <v>45027.0</v>
      </c>
      <c r="B3077" s="2">
        <v>1571433.0</v>
      </c>
      <c r="C3077" s="2">
        <v>4381229.0</v>
      </c>
      <c r="D3077" s="2">
        <v>56.3563999999999</v>
      </c>
    </row>
    <row r="3078">
      <c r="A3078" s="4">
        <v>45027.0</v>
      </c>
      <c r="B3078" s="2">
        <v>1475553.0</v>
      </c>
      <c r="C3078" s="2">
        <v>4380953.0</v>
      </c>
      <c r="D3078" s="2">
        <v>53.2294</v>
      </c>
    </row>
    <row r="3079">
      <c r="A3079" s="4">
        <v>45027.0</v>
      </c>
      <c r="B3079" s="2">
        <v>1428003.0</v>
      </c>
      <c r="C3079" s="2">
        <v>4379694.0</v>
      </c>
      <c r="D3079" s="2">
        <v>66.2346</v>
      </c>
    </row>
    <row r="3080">
      <c r="A3080" s="4">
        <v>45283.0</v>
      </c>
      <c r="B3080" s="2">
        <v>1011093.0</v>
      </c>
      <c r="C3080" s="2">
        <v>5343647.0</v>
      </c>
      <c r="D3080" s="2">
        <v>50.9901</v>
      </c>
    </row>
    <row r="3081">
      <c r="A3081" s="4">
        <v>45283.0</v>
      </c>
      <c r="B3081" s="2">
        <v>1824753.0</v>
      </c>
      <c r="C3081" s="2">
        <v>5344370.0</v>
      </c>
      <c r="D3081" s="2">
        <v>92.6548</v>
      </c>
    </row>
    <row r="3082">
      <c r="A3082" s="4">
        <v>45283.0</v>
      </c>
      <c r="B3082" s="2">
        <v>1599783.0</v>
      </c>
      <c r="C3082" s="2">
        <v>5344740.0</v>
      </c>
      <c r="D3082" s="2">
        <v>30.1679</v>
      </c>
    </row>
    <row r="3083">
      <c r="A3083" s="4">
        <v>45283.0</v>
      </c>
      <c r="B3083" s="2">
        <v>235353.0</v>
      </c>
      <c r="C3083" s="2">
        <v>5344097.0</v>
      </c>
      <c r="D3083" s="2">
        <v>31.8083</v>
      </c>
    </row>
    <row r="3084">
      <c r="A3084" s="4">
        <v>45283.0</v>
      </c>
      <c r="B3084" s="2">
        <v>1824693.0</v>
      </c>
      <c r="C3084" s="2">
        <v>5344276.0</v>
      </c>
      <c r="D3084" s="2">
        <v>56.5833</v>
      </c>
    </row>
    <row r="3085">
      <c r="A3085" s="4">
        <v>45283.0</v>
      </c>
      <c r="B3085" s="2">
        <v>1011093.0</v>
      </c>
      <c r="C3085" s="2">
        <v>5344322.0</v>
      </c>
      <c r="D3085" s="2">
        <v>97.5226999999999</v>
      </c>
    </row>
    <row r="3086">
      <c r="A3086" s="4">
        <v>45283.0</v>
      </c>
      <c r="B3086" s="2">
        <v>1374483.0</v>
      </c>
      <c r="C3086" s="2">
        <v>5343845.0</v>
      </c>
      <c r="D3086" s="2">
        <v>50.8935</v>
      </c>
    </row>
    <row r="3087">
      <c r="A3087" s="4">
        <v>45283.0</v>
      </c>
      <c r="B3087" s="2">
        <v>1824783.0</v>
      </c>
      <c r="C3087" s="2">
        <v>5344474.0</v>
      </c>
      <c r="D3087" s="2">
        <v>20.0</v>
      </c>
    </row>
    <row r="3088">
      <c r="A3088" s="4">
        <v>45283.0</v>
      </c>
      <c r="B3088" s="2">
        <v>1236333.0</v>
      </c>
      <c r="C3088" s="2">
        <v>5345182.0</v>
      </c>
      <c r="D3088" s="2">
        <v>81.3487</v>
      </c>
    </row>
    <row r="3089">
      <c r="A3089" s="4">
        <v>44772.0</v>
      </c>
      <c r="B3089" s="2">
        <v>1386303.0</v>
      </c>
      <c r="C3089" s="2">
        <v>3682911.0</v>
      </c>
      <c r="D3089" s="2">
        <v>43.4227</v>
      </c>
    </row>
    <row r="3090">
      <c r="A3090" s="4">
        <v>44772.0</v>
      </c>
      <c r="B3090" s="2">
        <v>1385223.0</v>
      </c>
      <c r="C3090" s="2">
        <v>3682426.0</v>
      </c>
      <c r="D3090" s="2">
        <v>149.1667</v>
      </c>
    </row>
    <row r="3091">
      <c r="A3091" s="4">
        <v>44772.0</v>
      </c>
      <c r="B3091" s="2">
        <v>1386093.0</v>
      </c>
      <c r="C3091" s="2">
        <v>3682096.0</v>
      </c>
      <c r="D3091" s="2">
        <v>14.3951999999999</v>
      </c>
    </row>
    <row r="3092">
      <c r="A3092" s="4">
        <v>44772.0</v>
      </c>
      <c r="B3092" s="2">
        <v>1351803.0</v>
      </c>
      <c r="C3092" s="2">
        <v>3681969.0</v>
      </c>
      <c r="D3092" s="2">
        <v>119.2696</v>
      </c>
    </row>
    <row r="3093">
      <c r="A3093" s="4">
        <v>44772.0</v>
      </c>
      <c r="B3093" s="2">
        <v>260853.0</v>
      </c>
      <c r="C3093" s="2">
        <v>3682162.0</v>
      </c>
      <c r="D3093" s="2">
        <v>70.6353999999999</v>
      </c>
    </row>
    <row r="3094">
      <c r="A3094" s="4">
        <v>44772.0</v>
      </c>
      <c r="B3094" s="2">
        <v>1242753.0</v>
      </c>
      <c r="C3094" s="2">
        <v>3683078.0</v>
      </c>
      <c r="D3094" s="2">
        <v>67.4808</v>
      </c>
    </row>
    <row r="3095">
      <c r="A3095" s="4">
        <v>44772.0</v>
      </c>
      <c r="B3095" s="2">
        <v>1237893.0</v>
      </c>
      <c r="C3095" s="2">
        <v>3681275.0</v>
      </c>
      <c r="D3095" s="2">
        <v>68.2805999999999</v>
      </c>
    </row>
    <row r="3096">
      <c r="A3096" s="4">
        <v>45028.0</v>
      </c>
      <c r="B3096" s="2">
        <v>1571643.0</v>
      </c>
      <c r="C3096" s="2">
        <v>4381878.0</v>
      </c>
      <c r="D3096" s="2">
        <v>69.0359</v>
      </c>
    </row>
    <row r="3097">
      <c r="A3097" s="4">
        <v>45028.0</v>
      </c>
      <c r="B3097" s="2">
        <v>1572153.0</v>
      </c>
      <c r="C3097" s="2">
        <v>4383544.0</v>
      </c>
      <c r="D3097" s="2">
        <v>55.9242</v>
      </c>
    </row>
    <row r="3098">
      <c r="A3098" s="4">
        <v>45028.0</v>
      </c>
      <c r="B3098" s="2">
        <v>414963.0</v>
      </c>
      <c r="C3098" s="2">
        <v>4383830.0</v>
      </c>
      <c r="D3098" s="2">
        <v>60.053</v>
      </c>
    </row>
    <row r="3099">
      <c r="A3099" s="4">
        <v>45028.0</v>
      </c>
      <c r="B3099" s="2">
        <v>1571703.0</v>
      </c>
      <c r="C3099" s="2">
        <v>4382065.0</v>
      </c>
      <c r="D3099" s="2">
        <v>18.384</v>
      </c>
    </row>
    <row r="3100">
      <c r="A3100" s="4">
        <v>45028.0</v>
      </c>
      <c r="B3100" s="2">
        <v>1528353.0</v>
      </c>
      <c r="C3100" s="2">
        <v>4381695.0</v>
      </c>
      <c r="D3100" s="2">
        <v>161.3216</v>
      </c>
    </row>
    <row r="3101">
      <c r="A3101" s="4">
        <v>45028.0</v>
      </c>
      <c r="B3101" s="2">
        <v>1572213.0</v>
      </c>
      <c r="C3101" s="2">
        <v>4383711.0</v>
      </c>
      <c r="D3101" s="2">
        <v>69.9813</v>
      </c>
    </row>
    <row r="3102">
      <c r="A3102" s="4">
        <v>45028.0</v>
      </c>
      <c r="B3102" s="2">
        <v>142833.0</v>
      </c>
      <c r="C3102" s="2">
        <v>4383641.0</v>
      </c>
      <c r="D3102" s="2">
        <v>111.0767</v>
      </c>
    </row>
    <row r="3103">
      <c r="A3103" s="4">
        <v>45284.0</v>
      </c>
      <c r="B3103" s="2">
        <v>1825083.0</v>
      </c>
      <c r="C3103" s="2">
        <v>5345586.0</v>
      </c>
      <c r="D3103" s="2">
        <v>12.6064</v>
      </c>
    </row>
    <row r="3104">
      <c r="A3104" s="4">
        <v>45284.0</v>
      </c>
      <c r="B3104" s="2">
        <v>1824723.0</v>
      </c>
      <c r="C3104" s="2">
        <v>5345425.0</v>
      </c>
      <c r="D3104" s="2">
        <v>9.5792</v>
      </c>
    </row>
    <row r="3105">
      <c r="A3105" s="4">
        <v>45284.0</v>
      </c>
      <c r="B3105" s="2">
        <v>1825143.0</v>
      </c>
      <c r="C3105" s="2">
        <v>5345787.0</v>
      </c>
      <c r="D3105" s="2">
        <v>60.117</v>
      </c>
    </row>
    <row r="3106">
      <c r="A3106" s="4">
        <v>45284.0</v>
      </c>
      <c r="B3106" s="2">
        <v>1567053.0</v>
      </c>
      <c r="C3106" s="2">
        <v>5346150.0</v>
      </c>
      <c r="D3106" s="2">
        <v>76.2192</v>
      </c>
    </row>
    <row r="3107">
      <c r="A3107" s="4">
        <v>44773.0</v>
      </c>
      <c r="B3107" s="2">
        <v>1387023.0</v>
      </c>
      <c r="C3107" s="2">
        <v>3685945.0</v>
      </c>
      <c r="D3107" s="2">
        <v>9.8334</v>
      </c>
    </row>
    <row r="3108">
      <c r="A3108" s="4">
        <v>44773.0</v>
      </c>
      <c r="B3108" s="2">
        <v>1386543.0</v>
      </c>
      <c r="C3108" s="2">
        <v>3683931.0</v>
      </c>
      <c r="D3108" s="2">
        <v>19.7141999999999</v>
      </c>
    </row>
    <row r="3109">
      <c r="A3109" s="4">
        <v>44773.0</v>
      </c>
      <c r="B3109" s="2">
        <v>1155453.0</v>
      </c>
      <c r="C3109" s="2">
        <v>3684888.0</v>
      </c>
      <c r="D3109" s="2">
        <v>37.45</v>
      </c>
    </row>
    <row r="3110">
      <c r="A3110" s="4">
        <v>44773.0</v>
      </c>
      <c r="B3110" s="2">
        <v>391113.0</v>
      </c>
      <c r="C3110" s="2">
        <v>3683740.0</v>
      </c>
      <c r="D3110" s="2">
        <v>47.9068</v>
      </c>
    </row>
    <row r="3111">
      <c r="A3111" s="4">
        <v>45029.0</v>
      </c>
      <c r="B3111" s="2">
        <v>1572843.0</v>
      </c>
      <c r="C3111" s="2">
        <v>4385866.0</v>
      </c>
      <c r="D3111" s="2">
        <v>35.2787</v>
      </c>
    </row>
    <row r="3112">
      <c r="A3112" s="4">
        <v>45029.0</v>
      </c>
      <c r="B3112" s="2">
        <v>1544463.0</v>
      </c>
      <c r="C3112" s="2">
        <v>4385448.0</v>
      </c>
      <c r="D3112" s="2">
        <v>32.6332</v>
      </c>
    </row>
    <row r="3113">
      <c r="A3113" s="4">
        <v>45029.0</v>
      </c>
      <c r="B3113" s="2">
        <v>235353.0</v>
      </c>
      <c r="C3113" s="2">
        <v>4384832.0</v>
      </c>
      <c r="D3113" s="2">
        <v>19.1334</v>
      </c>
    </row>
    <row r="3114">
      <c r="A3114" s="4">
        <v>45285.0</v>
      </c>
      <c r="B3114" s="2">
        <v>1817073.0</v>
      </c>
      <c r="C3114" s="2">
        <v>5347333.0</v>
      </c>
      <c r="D3114" s="2">
        <v>43.4387</v>
      </c>
    </row>
    <row r="3115">
      <c r="A3115" s="4">
        <v>45285.0</v>
      </c>
      <c r="B3115" s="2">
        <v>1407333.0</v>
      </c>
      <c r="C3115" s="2">
        <v>5346784.0</v>
      </c>
      <c r="D3115" s="2">
        <v>69.9774</v>
      </c>
    </row>
    <row r="3116">
      <c r="A3116" s="4">
        <v>44774.0</v>
      </c>
      <c r="B3116" s="2">
        <v>1270233.0</v>
      </c>
      <c r="C3116" s="2">
        <v>3687249.0</v>
      </c>
      <c r="D3116" s="2">
        <v>36.0542</v>
      </c>
    </row>
    <row r="3117">
      <c r="A3117" s="4">
        <v>44774.0</v>
      </c>
      <c r="B3117" s="2">
        <v>1387113.0</v>
      </c>
      <c r="C3117" s="2">
        <v>3686414.0</v>
      </c>
      <c r="D3117" s="2">
        <v>56.7544</v>
      </c>
    </row>
    <row r="3118">
      <c r="A3118" s="4">
        <v>44774.0</v>
      </c>
      <c r="B3118" s="2">
        <v>1384563.0</v>
      </c>
      <c r="C3118" s="2">
        <v>3687655.0</v>
      </c>
      <c r="D3118" s="2">
        <v>48.5167</v>
      </c>
    </row>
    <row r="3119">
      <c r="A3119" s="4">
        <v>44774.0</v>
      </c>
      <c r="B3119" s="2">
        <v>1209063.0</v>
      </c>
      <c r="C3119" s="2">
        <v>3687124.0</v>
      </c>
      <c r="D3119" s="2">
        <v>106.509899999999</v>
      </c>
    </row>
    <row r="3120">
      <c r="A3120" s="4">
        <v>44774.0</v>
      </c>
      <c r="B3120" s="2">
        <v>391113.0</v>
      </c>
      <c r="C3120" s="2">
        <v>3687115.0</v>
      </c>
      <c r="D3120" s="2">
        <v>55.1059999999999</v>
      </c>
    </row>
    <row r="3121">
      <c r="A3121" s="4">
        <v>44774.0</v>
      </c>
      <c r="B3121" s="2">
        <v>1378683.0</v>
      </c>
      <c r="C3121" s="2">
        <v>3686741.0</v>
      </c>
      <c r="D3121" s="2">
        <v>95.1886</v>
      </c>
    </row>
    <row r="3122">
      <c r="A3122" s="4">
        <v>45030.0</v>
      </c>
      <c r="B3122" s="2">
        <v>1573173.0</v>
      </c>
      <c r="C3122" s="2">
        <v>4386958.0</v>
      </c>
      <c r="D3122" s="2">
        <v>46.9506</v>
      </c>
    </row>
    <row r="3123">
      <c r="A3123" s="4">
        <v>45030.0</v>
      </c>
      <c r="B3123" s="2">
        <v>1573503.0</v>
      </c>
      <c r="C3123" s="2">
        <v>4388113.0</v>
      </c>
      <c r="D3123" s="2">
        <v>66.3411</v>
      </c>
    </row>
    <row r="3124">
      <c r="A3124" s="4">
        <v>45030.0</v>
      </c>
      <c r="B3124" s="2">
        <v>1372173.0</v>
      </c>
      <c r="C3124" s="2">
        <v>4388020.0</v>
      </c>
      <c r="D3124" s="2">
        <v>105.3904</v>
      </c>
    </row>
    <row r="3125">
      <c r="A3125" s="4">
        <v>45030.0</v>
      </c>
      <c r="B3125" s="2">
        <v>334263.0</v>
      </c>
      <c r="C3125" s="2">
        <v>4388240.0</v>
      </c>
      <c r="D3125" s="2">
        <v>106.5151</v>
      </c>
    </row>
    <row r="3126">
      <c r="A3126" s="4">
        <v>45030.0</v>
      </c>
      <c r="B3126" s="2">
        <v>1573383.0</v>
      </c>
      <c r="C3126" s="2">
        <v>4387705.0</v>
      </c>
      <c r="D3126" s="2">
        <v>41.1667</v>
      </c>
    </row>
    <row r="3127">
      <c r="A3127" s="4">
        <v>45030.0</v>
      </c>
      <c r="B3127" s="2">
        <v>1437663.0</v>
      </c>
      <c r="C3127" s="2">
        <v>4387216.0</v>
      </c>
      <c r="D3127" s="2">
        <v>80.6271</v>
      </c>
    </row>
    <row r="3128">
      <c r="A3128" s="4">
        <v>45286.0</v>
      </c>
      <c r="B3128" s="2">
        <v>1690593.0</v>
      </c>
      <c r="C3128" s="2">
        <v>5348109.0</v>
      </c>
      <c r="D3128" s="2">
        <v>67.8920999999999</v>
      </c>
    </row>
    <row r="3129">
      <c r="A3129" s="4">
        <v>45286.0</v>
      </c>
      <c r="B3129" s="2">
        <v>423153.0</v>
      </c>
      <c r="C3129" s="2">
        <v>5348555.0</v>
      </c>
      <c r="D3129" s="2">
        <v>120.505499999999</v>
      </c>
    </row>
    <row r="3130">
      <c r="A3130" s="4">
        <v>45286.0</v>
      </c>
      <c r="B3130" s="2">
        <v>361563.0</v>
      </c>
      <c r="C3130" s="2">
        <v>5348381.0</v>
      </c>
      <c r="D3130" s="2">
        <v>22.9668</v>
      </c>
    </row>
    <row r="3131">
      <c r="A3131" s="4">
        <v>45286.0</v>
      </c>
      <c r="B3131" s="2">
        <v>1428633.0</v>
      </c>
      <c r="C3131" s="2">
        <v>5349351.0</v>
      </c>
      <c r="D3131" s="2">
        <v>175.8772</v>
      </c>
    </row>
    <row r="3132">
      <c r="A3132" s="4">
        <v>45286.0</v>
      </c>
      <c r="B3132" s="2">
        <v>1712253.0</v>
      </c>
      <c r="C3132" s="2">
        <v>5347558.0</v>
      </c>
      <c r="D3132" s="2">
        <v>110.3711</v>
      </c>
    </row>
    <row r="3133">
      <c r="A3133" s="4">
        <v>45286.0</v>
      </c>
      <c r="B3133" s="2">
        <v>217743.0</v>
      </c>
      <c r="C3133" s="2">
        <v>5347821.0</v>
      </c>
      <c r="D3133" s="2">
        <v>95.1965</v>
      </c>
    </row>
    <row r="3134">
      <c r="A3134" s="4">
        <v>44775.0</v>
      </c>
      <c r="B3134" s="2">
        <v>1388133.0</v>
      </c>
      <c r="C3134" s="2">
        <v>3690735.0</v>
      </c>
      <c r="D3134" s="2">
        <v>20.9908</v>
      </c>
    </row>
    <row r="3135">
      <c r="A3135" s="4">
        <v>44775.0</v>
      </c>
      <c r="B3135" s="2">
        <v>1341843.0</v>
      </c>
      <c r="C3135" s="2">
        <v>3689914.0</v>
      </c>
      <c r="D3135" s="2">
        <v>81.0107</v>
      </c>
    </row>
    <row r="3136">
      <c r="A3136" s="4">
        <v>44775.0</v>
      </c>
      <c r="B3136" s="2">
        <v>1387623.0</v>
      </c>
      <c r="C3136" s="2">
        <v>3688596.0</v>
      </c>
      <c r="D3136" s="2">
        <v>84.7855999999999</v>
      </c>
    </row>
    <row r="3137">
      <c r="A3137" s="4">
        <v>44775.0</v>
      </c>
      <c r="B3137" s="2">
        <v>1387833.0</v>
      </c>
      <c r="C3137" s="2">
        <v>3689516.0</v>
      </c>
      <c r="D3137" s="2">
        <v>67.1458</v>
      </c>
    </row>
    <row r="3138">
      <c r="A3138" s="4">
        <v>44775.0</v>
      </c>
      <c r="B3138" s="2">
        <v>1326993.0</v>
      </c>
      <c r="C3138" s="2">
        <v>3690157.0</v>
      </c>
      <c r="D3138" s="2">
        <v>86.5277</v>
      </c>
    </row>
    <row r="3139">
      <c r="A3139" s="4">
        <v>44775.0</v>
      </c>
      <c r="B3139" s="2">
        <v>1387683.0</v>
      </c>
      <c r="C3139" s="2">
        <v>3688859.0</v>
      </c>
      <c r="D3139" s="2">
        <v>48.7757</v>
      </c>
    </row>
    <row r="3140">
      <c r="A3140" s="4">
        <v>45031.0</v>
      </c>
      <c r="B3140" s="2">
        <v>1061973.0</v>
      </c>
      <c r="C3140" s="2">
        <v>4390891.0</v>
      </c>
      <c r="D3140" s="2">
        <v>70.9749</v>
      </c>
    </row>
    <row r="3141">
      <c r="A3141" s="4">
        <v>45031.0</v>
      </c>
      <c r="B3141" s="2">
        <v>1307373.0</v>
      </c>
      <c r="C3141" s="2">
        <v>4389214.0</v>
      </c>
      <c r="D3141" s="2">
        <v>90.5566999999999</v>
      </c>
    </row>
    <row r="3142">
      <c r="A3142" s="4">
        <v>45031.0</v>
      </c>
      <c r="B3142" s="2">
        <v>1495473.0</v>
      </c>
      <c r="C3142" s="2">
        <v>4389234.0</v>
      </c>
      <c r="D3142" s="2">
        <v>69.2531</v>
      </c>
    </row>
    <row r="3143">
      <c r="A3143" s="4">
        <v>45031.0</v>
      </c>
      <c r="B3143" s="2">
        <v>1156593.0</v>
      </c>
      <c r="C3143" s="2">
        <v>4388446.0</v>
      </c>
      <c r="D3143" s="2">
        <v>65.7886</v>
      </c>
    </row>
    <row r="3144">
      <c r="A3144" s="4">
        <v>45031.0</v>
      </c>
      <c r="B3144" s="2">
        <v>1344573.0</v>
      </c>
      <c r="C3144" s="2">
        <v>4389928.0</v>
      </c>
      <c r="D3144" s="2">
        <v>71.8181</v>
      </c>
    </row>
    <row r="3145">
      <c r="A3145" s="4">
        <v>45031.0</v>
      </c>
      <c r="B3145" s="2">
        <v>1224573.0</v>
      </c>
      <c r="C3145" s="2">
        <v>4390388.0</v>
      </c>
      <c r="D3145" s="2">
        <v>26.1137</v>
      </c>
    </row>
    <row r="3146">
      <c r="A3146" s="4">
        <v>45031.0</v>
      </c>
      <c r="B3146" s="2">
        <v>1435293.0</v>
      </c>
      <c r="C3146" s="2">
        <v>4389876.0</v>
      </c>
      <c r="D3146" s="2">
        <v>109.5735</v>
      </c>
    </row>
    <row r="3147">
      <c r="A3147" s="4">
        <v>45031.0</v>
      </c>
      <c r="B3147" s="2">
        <v>1125543.0</v>
      </c>
      <c r="C3147" s="2">
        <v>4388401.0</v>
      </c>
      <c r="D3147" s="2">
        <v>27.3938</v>
      </c>
    </row>
    <row r="3148">
      <c r="A3148" s="4">
        <v>45287.0</v>
      </c>
      <c r="B3148" s="2">
        <v>1819503.0</v>
      </c>
      <c r="C3148" s="2">
        <v>5349753.0</v>
      </c>
      <c r="D3148" s="2">
        <v>71.55</v>
      </c>
    </row>
    <row r="3149">
      <c r="A3149" s="4">
        <v>44776.0</v>
      </c>
      <c r="B3149" s="2">
        <v>1245363.0</v>
      </c>
      <c r="C3149" s="2">
        <v>3692550.0</v>
      </c>
      <c r="D3149" s="2">
        <v>104.8018</v>
      </c>
    </row>
    <row r="3150">
      <c r="A3150" s="4">
        <v>44776.0</v>
      </c>
      <c r="B3150" s="2">
        <v>1050153.0</v>
      </c>
      <c r="C3150" s="2">
        <v>3692427.0</v>
      </c>
      <c r="D3150" s="2">
        <v>67.1528</v>
      </c>
    </row>
    <row r="3151">
      <c r="A3151" s="4">
        <v>44776.0</v>
      </c>
      <c r="B3151" s="2">
        <v>1388343.0</v>
      </c>
      <c r="C3151" s="2">
        <v>3691708.0</v>
      </c>
      <c r="D3151" s="2">
        <v>53.8135999999999</v>
      </c>
    </row>
    <row r="3152">
      <c r="A3152" s="4">
        <v>44776.0</v>
      </c>
      <c r="B3152" s="2">
        <v>1387443.0</v>
      </c>
      <c r="C3152" s="2">
        <v>3691284.0</v>
      </c>
      <c r="D3152" s="2">
        <v>69.8584</v>
      </c>
    </row>
    <row r="3153">
      <c r="A3153" s="4">
        <v>45032.0</v>
      </c>
      <c r="B3153" s="2">
        <v>1185843.0</v>
      </c>
      <c r="C3153" s="2">
        <v>4394091.0</v>
      </c>
      <c r="D3153" s="2">
        <v>65.3708</v>
      </c>
    </row>
    <row r="3154">
      <c r="A3154" s="4">
        <v>45032.0</v>
      </c>
      <c r="B3154" s="2">
        <v>1574913.0</v>
      </c>
      <c r="C3154" s="2">
        <v>4393306.0</v>
      </c>
      <c r="D3154" s="2">
        <v>21.805</v>
      </c>
    </row>
    <row r="3155">
      <c r="A3155" s="4">
        <v>45288.0</v>
      </c>
      <c r="B3155" s="2">
        <v>1827213.0</v>
      </c>
      <c r="C3155" s="2">
        <v>5352962.0</v>
      </c>
      <c r="D3155" s="2">
        <v>51.6952</v>
      </c>
    </row>
    <row r="3156">
      <c r="A3156" s="4">
        <v>45288.0</v>
      </c>
      <c r="B3156" s="2">
        <v>1747713.0</v>
      </c>
      <c r="C3156" s="2">
        <v>5353033.0</v>
      </c>
      <c r="D3156" s="2">
        <v>84.0709999999999</v>
      </c>
    </row>
    <row r="3157">
      <c r="A3157" s="4">
        <v>45288.0</v>
      </c>
      <c r="B3157" s="2">
        <v>1578423.0</v>
      </c>
      <c r="C3157" s="2">
        <v>5352296.0</v>
      </c>
      <c r="D3157" s="2">
        <v>98.8383</v>
      </c>
    </row>
    <row r="3158">
      <c r="A3158" s="4">
        <v>44777.0</v>
      </c>
      <c r="B3158" s="2">
        <v>1313943.0</v>
      </c>
      <c r="C3158" s="2">
        <v>3693728.0</v>
      </c>
      <c r="D3158" s="2">
        <v>60.6249</v>
      </c>
    </row>
    <row r="3159">
      <c r="A3159" s="4">
        <v>44777.0</v>
      </c>
      <c r="B3159" s="2">
        <v>1364913.0</v>
      </c>
      <c r="C3159" s="2">
        <v>3694650.0</v>
      </c>
      <c r="D3159" s="2">
        <v>119.3609</v>
      </c>
    </row>
    <row r="3160">
      <c r="A3160" s="4">
        <v>44777.0</v>
      </c>
      <c r="B3160" s="2">
        <v>1082913.0</v>
      </c>
      <c r="C3160" s="2">
        <v>3694539.0</v>
      </c>
      <c r="D3160" s="2">
        <v>131.7773</v>
      </c>
    </row>
    <row r="3161">
      <c r="A3161" s="4">
        <v>44777.0</v>
      </c>
      <c r="B3161" s="2">
        <v>1184643.0</v>
      </c>
      <c r="C3161" s="2">
        <v>3693594.0</v>
      </c>
      <c r="D3161" s="2">
        <v>94.1874</v>
      </c>
    </row>
    <row r="3162">
      <c r="A3162" s="4">
        <v>44777.0</v>
      </c>
      <c r="B3162" s="2">
        <v>1389093.0</v>
      </c>
      <c r="C3162" s="2">
        <v>3694721.0</v>
      </c>
      <c r="D3162" s="2">
        <v>15.3297</v>
      </c>
    </row>
    <row r="3163">
      <c r="A3163" s="4">
        <v>45033.0</v>
      </c>
      <c r="B3163" s="2">
        <v>1473483.0</v>
      </c>
      <c r="C3163" s="2">
        <v>4396825.0</v>
      </c>
      <c r="D3163" s="2">
        <v>115.653799999999</v>
      </c>
    </row>
    <row r="3164">
      <c r="A3164" s="4">
        <v>45033.0</v>
      </c>
      <c r="B3164" s="2">
        <v>1434813.0</v>
      </c>
      <c r="C3164" s="2">
        <v>4395399.0</v>
      </c>
      <c r="D3164" s="2">
        <v>279.5636</v>
      </c>
    </row>
    <row r="3165">
      <c r="A3165" s="4">
        <v>45289.0</v>
      </c>
      <c r="B3165" s="2">
        <v>1827603.0</v>
      </c>
      <c r="C3165" s="2">
        <v>5354205.0</v>
      </c>
      <c r="D3165" s="2">
        <v>21.9674</v>
      </c>
    </row>
    <row r="3166">
      <c r="A3166" s="4">
        <v>45289.0</v>
      </c>
      <c r="B3166" s="2">
        <v>1261383.0</v>
      </c>
      <c r="C3166" s="2">
        <v>5354610.0</v>
      </c>
      <c r="D3166" s="2">
        <v>77.5107999999999</v>
      </c>
    </row>
    <row r="3167">
      <c r="A3167" s="4">
        <v>45289.0</v>
      </c>
      <c r="B3167" s="2">
        <v>1157373.0</v>
      </c>
      <c r="C3167" s="2">
        <v>5353944.0</v>
      </c>
      <c r="D3167" s="2">
        <v>64.2654</v>
      </c>
    </row>
    <row r="3168">
      <c r="A3168" s="4">
        <v>45289.0</v>
      </c>
      <c r="B3168" s="2">
        <v>1827873.0</v>
      </c>
      <c r="C3168" s="2">
        <v>5355283.0</v>
      </c>
      <c r="D3168" s="2">
        <v>142.4282</v>
      </c>
    </row>
    <row r="3169">
      <c r="A3169" s="4">
        <v>45289.0</v>
      </c>
      <c r="B3169" s="2">
        <v>358443.0</v>
      </c>
      <c r="C3169" s="2">
        <v>5356114.0</v>
      </c>
      <c r="D3169" s="2">
        <v>97.3416</v>
      </c>
    </row>
    <row r="3170">
      <c r="A3170" s="4">
        <v>45289.0</v>
      </c>
      <c r="B3170" s="2">
        <v>1048593.0</v>
      </c>
      <c r="C3170" s="2">
        <v>5354613.0</v>
      </c>
      <c r="D3170" s="2">
        <v>137.782</v>
      </c>
    </row>
    <row r="3171">
      <c r="A3171" s="4">
        <v>44778.0</v>
      </c>
      <c r="B3171" s="2">
        <v>1276743.0</v>
      </c>
      <c r="C3171" s="2">
        <v>3695037.0</v>
      </c>
      <c r="D3171" s="2">
        <v>29.9833</v>
      </c>
    </row>
    <row r="3172">
      <c r="A3172" s="4">
        <v>44778.0</v>
      </c>
      <c r="B3172" s="2">
        <v>1389153.0</v>
      </c>
      <c r="C3172" s="2">
        <v>3694990.0</v>
      </c>
      <c r="D3172" s="2">
        <v>23.4965</v>
      </c>
    </row>
    <row r="3173">
      <c r="A3173" s="4">
        <v>45034.0</v>
      </c>
      <c r="B3173" s="2">
        <v>1252173.0</v>
      </c>
      <c r="C3173" s="2">
        <v>4398788.0</v>
      </c>
      <c r="D3173" s="2">
        <v>111.9324</v>
      </c>
    </row>
    <row r="3174">
      <c r="A3174" s="4">
        <v>45034.0</v>
      </c>
      <c r="B3174" s="2">
        <v>392763.0</v>
      </c>
      <c r="C3174" s="2">
        <v>4398774.0</v>
      </c>
      <c r="D3174" s="2">
        <v>71.4981999999999</v>
      </c>
    </row>
    <row r="3175">
      <c r="A3175" s="4">
        <v>45034.0</v>
      </c>
      <c r="B3175" s="2">
        <v>1575603.0</v>
      </c>
      <c r="C3175" s="2">
        <v>4397892.0</v>
      </c>
      <c r="D3175" s="2">
        <v>77.4874</v>
      </c>
    </row>
    <row r="3176">
      <c r="A3176" s="4">
        <v>45034.0</v>
      </c>
      <c r="B3176" s="2">
        <v>309093.0</v>
      </c>
      <c r="C3176" s="2">
        <v>4397807.0</v>
      </c>
      <c r="D3176" s="2">
        <v>85.7605</v>
      </c>
    </row>
    <row r="3177">
      <c r="A3177" s="4">
        <v>45034.0</v>
      </c>
      <c r="B3177" s="2">
        <v>1576473.0</v>
      </c>
      <c r="C3177" s="2">
        <v>4399099.0</v>
      </c>
      <c r="D3177" s="2">
        <v>25.6667</v>
      </c>
    </row>
    <row r="3178">
      <c r="A3178" s="4">
        <v>45290.0</v>
      </c>
      <c r="B3178" s="2">
        <v>426423.0</v>
      </c>
      <c r="C3178" s="2">
        <v>5357494.0</v>
      </c>
      <c r="D3178" s="2">
        <v>109.0661</v>
      </c>
    </row>
    <row r="3179">
      <c r="A3179" s="4">
        <v>45290.0</v>
      </c>
      <c r="B3179" s="2">
        <v>1352493.0</v>
      </c>
      <c r="C3179" s="2">
        <v>5357358.0</v>
      </c>
      <c r="D3179" s="2">
        <v>48.0082</v>
      </c>
    </row>
    <row r="3180">
      <c r="A3180" s="4">
        <v>45290.0</v>
      </c>
      <c r="B3180" s="2">
        <v>1670943.0</v>
      </c>
      <c r="C3180" s="2">
        <v>5356465.0</v>
      </c>
      <c r="D3180" s="2">
        <v>45.3958</v>
      </c>
    </row>
    <row r="3181">
      <c r="A3181" s="4">
        <v>45290.0</v>
      </c>
      <c r="B3181" s="2">
        <v>1416123.0</v>
      </c>
      <c r="C3181" s="2">
        <v>5357515.0</v>
      </c>
      <c r="D3181" s="2">
        <v>47.3463</v>
      </c>
    </row>
    <row r="3182">
      <c r="A3182" s="4">
        <v>45290.0</v>
      </c>
      <c r="B3182" s="2">
        <v>1749693.0</v>
      </c>
      <c r="C3182" s="2">
        <v>5357544.0</v>
      </c>
      <c r="D3182" s="2">
        <v>82.86</v>
      </c>
    </row>
    <row r="3183">
      <c r="A3183" s="4">
        <v>45290.0</v>
      </c>
      <c r="B3183" s="2">
        <v>1450503.0</v>
      </c>
      <c r="C3183" s="2">
        <v>5357740.0</v>
      </c>
      <c r="D3183" s="2">
        <v>11.85</v>
      </c>
    </row>
    <row r="3184">
      <c r="A3184" s="4">
        <v>45290.0</v>
      </c>
      <c r="B3184" s="2">
        <v>1409553.0</v>
      </c>
      <c r="C3184" s="2">
        <v>5358170.0</v>
      </c>
      <c r="D3184" s="2">
        <v>75.5148</v>
      </c>
    </row>
    <row r="3185">
      <c r="A3185" s="4">
        <v>45290.0</v>
      </c>
      <c r="B3185" s="2">
        <v>1270953.0</v>
      </c>
      <c r="C3185" s="2">
        <v>5356587.0</v>
      </c>
      <c r="D3185" s="2">
        <v>19.5356</v>
      </c>
    </row>
    <row r="3186">
      <c r="A3186" s="4">
        <v>44779.0</v>
      </c>
      <c r="B3186" s="2">
        <v>286983.0</v>
      </c>
      <c r="C3186" s="2">
        <v>3697887.0</v>
      </c>
      <c r="D3186" s="2">
        <v>29.15</v>
      </c>
    </row>
    <row r="3187">
      <c r="A3187" s="4">
        <v>44779.0</v>
      </c>
      <c r="B3187" s="2">
        <v>1089273.0</v>
      </c>
      <c r="C3187" s="2">
        <v>3697489.0</v>
      </c>
      <c r="D3187" s="2">
        <v>74.5240999999999</v>
      </c>
    </row>
    <row r="3188">
      <c r="A3188" s="4">
        <v>44779.0</v>
      </c>
      <c r="B3188" s="2">
        <v>1236333.0</v>
      </c>
      <c r="C3188" s="2">
        <v>3697626.0</v>
      </c>
      <c r="D3188" s="2">
        <v>137.0153</v>
      </c>
    </row>
    <row r="3189">
      <c r="A3189" s="4">
        <v>45035.0</v>
      </c>
      <c r="B3189" s="2">
        <v>1433553.0</v>
      </c>
      <c r="C3189" s="2">
        <v>4399515.0</v>
      </c>
      <c r="D3189" s="2">
        <v>132.1874</v>
      </c>
    </row>
    <row r="3190">
      <c r="A3190" s="4">
        <v>45035.0</v>
      </c>
      <c r="B3190" s="2">
        <v>1416123.0</v>
      </c>
      <c r="C3190" s="2">
        <v>4401361.0</v>
      </c>
      <c r="D3190" s="2">
        <v>71.0455</v>
      </c>
    </row>
    <row r="3191">
      <c r="A3191" s="4">
        <v>45035.0</v>
      </c>
      <c r="B3191" s="2">
        <v>1162143.0</v>
      </c>
      <c r="C3191" s="2">
        <v>4400631.0</v>
      </c>
      <c r="D3191" s="2">
        <v>89.3693</v>
      </c>
    </row>
    <row r="3192">
      <c r="A3192" s="4">
        <v>45035.0</v>
      </c>
      <c r="B3192" s="2">
        <v>1576353.0</v>
      </c>
      <c r="C3192" s="2">
        <v>4401322.0</v>
      </c>
      <c r="D3192" s="2">
        <v>23.4123999999999</v>
      </c>
    </row>
    <row r="3193">
      <c r="A3193" s="4">
        <v>45035.0</v>
      </c>
      <c r="B3193" s="2">
        <v>1218303.0</v>
      </c>
      <c r="C3193" s="2">
        <v>4399632.0</v>
      </c>
      <c r="D3193" s="2">
        <v>57.7198999999999</v>
      </c>
    </row>
    <row r="3194">
      <c r="A3194" s="4">
        <v>45035.0</v>
      </c>
      <c r="B3194" s="2">
        <v>1163223.0</v>
      </c>
      <c r="C3194" s="2">
        <v>4401275.0</v>
      </c>
      <c r="D3194" s="2">
        <v>16.2166</v>
      </c>
    </row>
    <row r="3195">
      <c r="A3195" s="4">
        <v>45035.0</v>
      </c>
      <c r="B3195" s="2">
        <v>234783.0</v>
      </c>
      <c r="C3195" s="2">
        <v>4400120.0</v>
      </c>
      <c r="D3195" s="2">
        <v>167.054</v>
      </c>
    </row>
    <row r="3196">
      <c r="A3196" s="4">
        <v>45291.0</v>
      </c>
      <c r="B3196" s="2">
        <v>1829373.0</v>
      </c>
      <c r="C3196" s="2">
        <v>5361044.0</v>
      </c>
      <c r="D3196" s="2">
        <v>79.6258</v>
      </c>
    </row>
    <row r="3197">
      <c r="A3197" s="4">
        <v>45291.0</v>
      </c>
      <c r="B3197" s="2">
        <v>1611873.0</v>
      </c>
      <c r="C3197" s="2">
        <v>5360838.0</v>
      </c>
      <c r="D3197" s="2">
        <v>134.5332</v>
      </c>
    </row>
    <row r="3198">
      <c r="A3198" s="4">
        <v>45291.0</v>
      </c>
      <c r="B3198" s="2">
        <v>1829223.0</v>
      </c>
      <c r="C3198" s="2">
        <v>5360387.0</v>
      </c>
      <c r="D3198" s="2">
        <v>60.33</v>
      </c>
    </row>
    <row r="3199">
      <c r="A3199" s="4">
        <v>45291.0</v>
      </c>
      <c r="B3199" s="2">
        <v>1427553.0</v>
      </c>
      <c r="C3199" s="2">
        <v>5360722.0</v>
      </c>
      <c r="D3199" s="2">
        <v>186.8008</v>
      </c>
    </row>
    <row r="3200">
      <c r="A3200" s="4">
        <v>45291.0</v>
      </c>
      <c r="B3200" s="2">
        <v>1427553.0</v>
      </c>
      <c r="C3200" s="2">
        <v>5360760.0</v>
      </c>
      <c r="D3200" s="2">
        <v>76.8037</v>
      </c>
    </row>
    <row r="3201">
      <c r="A3201" s="4">
        <v>44780.0</v>
      </c>
      <c r="B3201" s="2">
        <v>391113.0</v>
      </c>
      <c r="C3201" s="2">
        <v>3699234.0</v>
      </c>
      <c r="D3201" s="2">
        <v>44.8043</v>
      </c>
    </row>
    <row r="3202">
      <c r="A3202" s="4">
        <v>44780.0</v>
      </c>
      <c r="B3202" s="2">
        <v>1390533.0</v>
      </c>
      <c r="C3202" s="2">
        <v>3700642.0</v>
      </c>
      <c r="D3202" s="2">
        <v>36.4089</v>
      </c>
    </row>
    <row r="3203">
      <c r="A3203" s="4">
        <v>44780.0</v>
      </c>
      <c r="B3203" s="2">
        <v>1246893.0</v>
      </c>
      <c r="C3203" s="2">
        <v>3699747.0</v>
      </c>
      <c r="D3203" s="2">
        <v>204.7083</v>
      </c>
    </row>
    <row r="3204">
      <c r="A3204" s="4">
        <v>45036.0</v>
      </c>
      <c r="B3204" s="2">
        <v>217743.0</v>
      </c>
      <c r="C3204" s="2">
        <v>4402832.0</v>
      </c>
      <c r="D3204" s="2">
        <v>164.0812</v>
      </c>
    </row>
    <row r="3205">
      <c r="A3205" s="4">
        <v>45036.0</v>
      </c>
      <c r="B3205" s="2">
        <v>1577253.0</v>
      </c>
      <c r="C3205" s="2">
        <v>4401792.0</v>
      </c>
      <c r="D3205" s="2">
        <v>38.623</v>
      </c>
    </row>
    <row r="3206">
      <c r="A3206" s="4">
        <v>44781.0</v>
      </c>
      <c r="B3206" s="2">
        <v>1391163.0</v>
      </c>
      <c r="C3206" s="2">
        <v>3703403.0</v>
      </c>
      <c r="D3206" s="2">
        <v>80.925</v>
      </c>
    </row>
    <row r="3207">
      <c r="A3207" s="4">
        <v>44781.0</v>
      </c>
      <c r="B3207" s="2">
        <v>1273263.0</v>
      </c>
      <c r="C3207" s="2">
        <v>3702779.0</v>
      </c>
      <c r="D3207" s="2">
        <v>40.9093</v>
      </c>
    </row>
    <row r="3208">
      <c r="A3208" s="4">
        <v>44781.0</v>
      </c>
      <c r="B3208" s="2">
        <v>1128333.0</v>
      </c>
      <c r="C3208" s="2">
        <v>3703012.0</v>
      </c>
      <c r="D3208" s="2">
        <v>58.3079</v>
      </c>
    </row>
    <row r="3209">
      <c r="A3209" s="4">
        <v>44781.0</v>
      </c>
      <c r="B3209" s="2">
        <v>1334643.0</v>
      </c>
      <c r="C3209" s="2">
        <v>3701575.0</v>
      </c>
      <c r="D3209" s="2">
        <v>119.3972</v>
      </c>
    </row>
    <row r="3210">
      <c r="A3210" s="4">
        <v>44781.0</v>
      </c>
      <c r="B3210" s="2">
        <v>1292943.0</v>
      </c>
      <c r="C3210" s="2">
        <v>3701869.0</v>
      </c>
      <c r="D3210" s="2">
        <v>203.784399999999</v>
      </c>
    </row>
    <row r="3211">
      <c r="A3211" s="4">
        <v>44781.0</v>
      </c>
      <c r="B3211" s="2">
        <v>1390683.0</v>
      </c>
      <c r="C3211" s="2">
        <v>3703250.0</v>
      </c>
      <c r="D3211" s="2">
        <v>246.6902</v>
      </c>
    </row>
    <row r="3212">
      <c r="A3212" s="4">
        <v>44781.0</v>
      </c>
      <c r="B3212" s="2">
        <v>366003.0</v>
      </c>
      <c r="C3212" s="2">
        <v>3701984.0</v>
      </c>
      <c r="D3212" s="2">
        <v>126.8977</v>
      </c>
    </row>
    <row r="3213">
      <c r="A3213" s="4">
        <v>45037.0</v>
      </c>
      <c r="B3213" s="2">
        <v>1348683.0</v>
      </c>
      <c r="C3213" s="2">
        <v>4404799.0</v>
      </c>
      <c r="D3213" s="2">
        <v>99.545</v>
      </c>
    </row>
    <row r="3214">
      <c r="A3214" s="4">
        <v>45037.0</v>
      </c>
      <c r="B3214" s="2">
        <v>1491273.0</v>
      </c>
      <c r="C3214" s="2">
        <v>4404521.0</v>
      </c>
      <c r="D3214" s="2">
        <v>73.0483</v>
      </c>
    </row>
    <row r="3215">
      <c r="A3215" s="4">
        <v>45037.0</v>
      </c>
      <c r="B3215" s="2">
        <v>481893.0</v>
      </c>
      <c r="C3215" s="2">
        <v>4403556.0</v>
      </c>
      <c r="D3215" s="2">
        <v>92.3314</v>
      </c>
    </row>
    <row r="3216">
      <c r="A3216" s="4">
        <v>44782.0</v>
      </c>
      <c r="B3216" s="2">
        <v>1246893.0</v>
      </c>
      <c r="C3216" s="2">
        <v>3704359.0</v>
      </c>
      <c r="D3216" s="2">
        <v>91.375</v>
      </c>
    </row>
    <row r="3217">
      <c r="A3217" s="4">
        <v>44782.0</v>
      </c>
      <c r="B3217" s="2">
        <v>1391493.0</v>
      </c>
      <c r="C3217" s="2">
        <v>3704705.0</v>
      </c>
      <c r="D3217" s="2">
        <v>75.2916</v>
      </c>
    </row>
    <row r="3218">
      <c r="A3218" s="4">
        <v>45038.0</v>
      </c>
      <c r="B3218" s="2">
        <v>1184643.0</v>
      </c>
      <c r="C3218" s="2">
        <v>4407730.0</v>
      </c>
      <c r="D3218" s="2">
        <v>119.174699999999</v>
      </c>
    </row>
    <row r="3219">
      <c r="A3219" s="4">
        <v>45038.0</v>
      </c>
      <c r="B3219" s="2">
        <v>1578753.0</v>
      </c>
      <c r="C3219" s="2">
        <v>4407176.0</v>
      </c>
      <c r="D3219" s="2">
        <v>489.887</v>
      </c>
    </row>
    <row r="3220">
      <c r="A3220" s="4">
        <v>45038.0</v>
      </c>
      <c r="B3220" s="2">
        <v>1407333.0</v>
      </c>
      <c r="C3220" s="2">
        <v>4405338.0</v>
      </c>
      <c r="D3220" s="2">
        <v>216.9647</v>
      </c>
    </row>
    <row r="3221">
      <c r="A3221" s="4">
        <v>45038.0</v>
      </c>
      <c r="B3221" s="2">
        <v>1578423.0</v>
      </c>
      <c r="C3221" s="2">
        <v>4405954.0</v>
      </c>
      <c r="D3221" s="2">
        <v>122.713799999999</v>
      </c>
    </row>
    <row r="3222">
      <c r="A3222" s="4">
        <v>44783.0</v>
      </c>
      <c r="B3222" s="2">
        <v>1338723.0</v>
      </c>
      <c r="C3222" s="2">
        <v>3706108.0</v>
      </c>
      <c r="D3222" s="2">
        <v>66.2445</v>
      </c>
    </row>
    <row r="3223">
      <c r="A3223" s="4">
        <v>44783.0</v>
      </c>
      <c r="B3223" s="2">
        <v>1391883.0</v>
      </c>
      <c r="C3223" s="2">
        <v>3706454.0</v>
      </c>
      <c r="D3223" s="2">
        <v>38.25</v>
      </c>
    </row>
    <row r="3224">
      <c r="A3224" s="4">
        <v>44783.0</v>
      </c>
      <c r="B3224" s="2">
        <v>1391433.0</v>
      </c>
      <c r="C3224" s="2">
        <v>3706463.0</v>
      </c>
      <c r="D3224" s="2">
        <v>5.9925</v>
      </c>
    </row>
    <row r="3225">
      <c r="A3225" s="4">
        <v>44783.0</v>
      </c>
      <c r="B3225" s="2">
        <v>1392033.0</v>
      </c>
      <c r="C3225" s="2">
        <v>3707141.0</v>
      </c>
      <c r="D3225" s="2">
        <v>51.0</v>
      </c>
    </row>
    <row r="3226">
      <c r="A3226" s="4">
        <v>44783.0</v>
      </c>
      <c r="B3226" s="2">
        <v>1291233.0</v>
      </c>
      <c r="C3226" s="2">
        <v>3707157.0</v>
      </c>
      <c r="D3226" s="2">
        <v>103.392099999999</v>
      </c>
    </row>
    <row r="3227">
      <c r="A3227" s="4">
        <v>45039.0</v>
      </c>
      <c r="B3227" s="2">
        <v>1566813.0</v>
      </c>
      <c r="C3227" s="2">
        <v>4408380.0</v>
      </c>
      <c r="D3227" s="2">
        <v>29.7501</v>
      </c>
    </row>
    <row r="3228">
      <c r="A3228" s="4">
        <v>45039.0</v>
      </c>
      <c r="B3228" s="2">
        <v>1405893.0</v>
      </c>
      <c r="C3228" s="2">
        <v>4408252.0</v>
      </c>
      <c r="D3228" s="2">
        <v>74.9138</v>
      </c>
    </row>
    <row r="3229">
      <c r="A3229" s="4">
        <v>45039.0</v>
      </c>
      <c r="B3229" s="2">
        <v>1579563.0</v>
      </c>
      <c r="C3229" s="2">
        <v>4410313.0</v>
      </c>
      <c r="D3229" s="2">
        <v>18.6954</v>
      </c>
    </row>
    <row r="3230">
      <c r="A3230" s="4">
        <v>45039.0</v>
      </c>
      <c r="B3230" s="2">
        <v>143763.0</v>
      </c>
      <c r="C3230" s="2">
        <v>4408326.0</v>
      </c>
      <c r="D3230" s="2">
        <v>46.919</v>
      </c>
    </row>
    <row r="3231">
      <c r="A3231" s="4">
        <v>45039.0</v>
      </c>
      <c r="B3231" s="2">
        <v>345093.0</v>
      </c>
      <c r="C3231" s="2">
        <v>4410291.0</v>
      </c>
      <c r="D3231" s="2">
        <v>59.0833</v>
      </c>
    </row>
    <row r="3232">
      <c r="A3232" s="4">
        <v>45039.0</v>
      </c>
      <c r="B3232" s="2">
        <v>1543923.0</v>
      </c>
      <c r="C3232" s="2">
        <v>4409699.0</v>
      </c>
      <c r="D3232" s="2">
        <v>64.702</v>
      </c>
    </row>
    <row r="3233">
      <c r="A3233" s="4">
        <v>44784.0</v>
      </c>
      <c r="B3233" s="2">
        <v>1336473.0</v>
      </c>
      <c r="C3233" s="2">
        <v>3709590.0</v>
      </c>
      <c r="D3233" s="2">
        <v>180.540499999999</v>
      </c>
    </row>
    <row r="3234">
      <c r="A3234" s="4">
        <v>44784.0</v>
      </c>
      <c r="B3234" s="2">
        <v>1198923.0</v>
      </c>
      <c r="C3234" s="2">
        <v>3708510.0</v>
      </c>
      <c r="D3234" s="2">
        <v>128.8588</v>
      </c>
    </row>
    <row r="3235">
      <c r="A3235" s="4">
        <v>44784.0</v>
      </c>
      <c r="B3235" s="2">
        <v>1392573.0</v>
      </c>
      <c r="C3235" s="2">
        <v>3709442.0</v>
      </c>
      <c r="D3235" s="2">
        <v>84.8815</v>
      </c>
    </row>
    <row r="3236">
      <c r="A3236" s="4">
        <v>45040.0</v>
      </c>
      <c r="B3236" s="2">
        <v>1455873.0</v>
      </c>
      <c r="C3236" s="2">
        <v>4413244.0</v>
      </c>
      <c r="D3236" s="2">
        <v>101.356599999999</v>
      </c>
    </row>
    <row r="3237">
      <c r="A3237" s="4">
        <v>45040.0</v>
      </c>
      <c r="B3237" s="2">
        <v>1580253.0</v>
      </c>
      <c r="C3237" s="2">
        <v>4413111.0</v>
      </c>
      <c r="D3237" s="2">
        <v>24.91</v>
      </c>
    </row>
    <row r="3238">
      <c r="A3238" s="4">
        <v>45040.0</v>
      </c>
      <c r="B3238" s="2">
        <v>1549233.0</v>
      </c>
      <c r="C3238" s="2">
        <v>4413750.0</v>
      </c>
      <c r="D3238" s="2">
        <v>16.1544</v>
      </c>
    </row>
    <row r="3239">
      <c r="A3239" s="4">
        <v>45040.0</v>
      </c>
      <c r="B3239" s="2">
        <v>1535193.0</v>
      </c>
      <c r="C3239" s="2">
        <v>4411453.0</v>
      </c>
      <c r="D3239" s="2">
        <v>34.0984</v>
      </c>
    </row>
    <row r="3240">
      <c r="A3240" s="4">
        <v>45040.0</v>
      </c>
      <c r="B3240" s="2">
        <v>1579953.0</v>
      </c>
      <c r="C3240" s="2">
        <v>4411954.0</v>
      </c>
      <c r="D3240" s="2">
        <v>93.54</v>
      </c>
    </row>
    <row r="3241">
      <c r="A3241" s="4">
        <v>45040.0</v>
      </c>
      <c r="B3241" s="2">
        <v>1580073.0</v>
      </c>
      <c r="C3241" s="2">
        <v>4412472.0</v>
      </c>
      <c r="D3241" s="2">
        <v>51.014</v>
      </c>
    </row>
    <row r="3242">
      <c r="A3242" s="4">
        <v>45040.0</v>
      </c>
      <c r="B3242" s="2">
        <v>1580223.0</v>
      </c>
      <c r="C3242" s="2">
        <v>4413021.0</v>
      </c>
      <c r="D3242" s="2">
        <v>7.7631</v>
      </c>
    </row>
    <row r="3243">
      <c r="A3243" s="4">
        <v>44785.0</v>
      </c>
      <c r="B3243" s="2">
        <v>1194483.0</v>
      </c>
      <c r="C3243" s="2">
        <v>3710231.0</v>
      </c>
      <c r="D3243" s="2">
        <v>177.1541</v>
      </c>
    </row>
    <row r="3244">
      <c r="A3244" s="4">
        <v>44785.0</v>
      </c>
      <c r="B3244" s="2">
        <v>1190553.0</v>
      </c>
      <c r="C3244" s="2">
        <v>3710967.0</v>
      </c>
      <c r="D3244" s="2">
        <v>32.4167</v>
      </c>
    </row>
    <row r="3245">
      <c r="A3245" s="4">
        <v>44785.0</v>
      </c>
      <c r="B3245" s="2">
        <v>884403.0</v>
      </c>
      <c r="C3245" s="2">
        <v>3710499.0</v>
      </c>
      <c r="D3245" s="2">
        <v>71.38</v>
      </c>
    </row>
    <row r="3246">
      <c r="A3246" s="4">
        <v>45041.0</v>
      </c>
      <c r="B3246" s="2">
        <v>1274823.0</v>
      </c>
      <c r="C3246" s="2">
        <v>4414107.0</v>
      </c>
      <c r="D3246" s="2">
        <v>64.226</v>
      </c>
    </row>
    <row r="3247">
      <c r="A3247" s="4">
        <v>45041.0</v>
      </c>
      <c r="B3247" s="2">
        <v>1533183.0</v>
      </c>
      <c r="C3247" s="2">
        <v>4414219.0</v>
      </c>
      <c r="D3247" s="2">
        <v>79.2394999999999</v>
      </c>
    </row>
    <row r="3248">
      <c r="A3248" s="4">
        <v>45041.0</v>
      </c>
      <c r="B3248" s="2">
        <v>1216983.0</v>
      </c>
      <c r="C3248" s="2">
        <v>4415874.0</v>
      </c>
      <c r="D3248" s="2">
        <v>37.52</v>
      </c>
    </row>
    <row r="3249">
      <c r="A3249" s="4">
        <v>45041.0</v>
      </c>
      <c r="B3249" s="2">
        <v>1207683.0</v>
      </c>
      <c r="C3249" s="2">
        <v>4413944.0</v>
      </c>
      <c r="D3249" s="2">
        <v>85.6021</v>
      </c>
    </row>
    <row r="3250">
      <c r="A3250" s="4">
        <v>45041.0</v>
      </c>
      <c r="B3250" s="2">
        <v>1030023.0</v>
      </c>
      <c r="C3250" s="2">
        <v>4413867.0</v>
      </c>
      <c r="D3250" s="2">
        <v>88.1033</v>
      </c>
    </row>
    <row r="3251">
      <c r="A3251" s="4">
        <v>44786.0</v>
      </c>
      <c r="B3251" s="2">
        <v>1387113.0</v>
      </c>
      <c r="C3251" s="2">
        <v>3711545.0</v>
      </c>
      <c r="D3251" s="2">
        <v>183.116499999999</v>
      </c>
    </row>
    <row r="3252">
      <c r="A3252" s="4">
        <v>44786.0</v>
      </c>
      <c r="B3252" s="2">
        <v>1269453.0</v>
      </c>
      <c r="C3252" s="2">
        <v>3711750.0</v>
      </c>
      <c r="D3252" s="2">
        <v>68.4447999999999</v>
      </c>
    </row>
    <row r="3253">
      <c r="A3253" s="4">
        <v>44786.0</v>
      </c>
      <c r="B3253" s="2">
        <v>1271673.0</v>
      </c>
      <c r="C3253" s="2">
        <v>3713034.0</v>
      </c>
      <c r="D3253" s="2">
        <v>39.9084</v>
      </c>
    </row>
    <row r="3254">
      <c r="A3254" s="4">
        <v>44786.0</v>
      </c>
      <c r="B3254" s="2">
        <v>1185843.0</v>
      </c>
      <c r="C3254" s="2">
        <v>3712829.0</v>
      </c>
      <c r="D3254" s="2">
        <v>76.0367</v>
      </c>
    </row>
    <row r="3255">
      <c r="A3255" s="4">
        <v>45042.0</v>
      </c>
      <c r="B3255" s="2">
        <v>1441233.0</v>
      </c>
      <c r="C3255" s="2">
        <v>4417550.0</v>
      </c>
      <c r="D3255" s="2">
        <v>9.3758</v>
      </c>
    </row>
    <row r="3256">
      <c r="A3256" s="4">
        <v>45042.0</v>
      </c>
      <c r="B3256" s="2">
        <v>248073.0</v>
      </c>
      <c r="C3256" s="2">
        <v>4418841.0</v>
      </c>
      <c r="D3256" s="2">
        <v>76.8558999999999</v>
      </c>
    </row>
    <row r="3257">
      <c r="A3257" s="4">
        <v>45042.0</v>
      </c>
      <c r="B3257" s="2">
        <v>1478823.0</v>
      </c>
      <c r="C3257" s="2">
        <v>4418726.0</v>
      </c>
      <c r="D3257" s="2">
        <v>69.2749999999999</v>
      </c>
    </row>
    <row r="3258">
      <c r="A3258" s="4">
        <v>44787.0</v>
      </c>
      <c r="B3258" s="2">
        <v>1393743.0</v>
      </c>
      <c r="C3258" s="2">
        <v>3713976.0</v>
      </c>
      <c r="D3258" s="2">
        <v>37.8389</v>
      </c>
    </row>
    <row r="3259">
      <c r="A3259" s="4">
        <v>44787.0</v>
      </c>
      <c r="B3259" s="2">
        <v>1393683.0</v>
      </c>
      <c r="C3259" s="2">
        <v>3713673.0</v>
      </c>
      <c r="D3259" s="2">
        <v>51.6361</v>
      </c>
    </row>
    <row r="3260">
      <c r="A3260" s="4">
        <v>44787.0</v>
      </c>
      <c r="B3260" s="2">
        <v>234783.0</v>
      </c>
      <c r="C3260" s="2">
        <v>3714649.0</v>
      </c>
      <c r="D3260" s="2">
        <v>86.9888</v>
      </c>
    </row>
    <row r="3261">
      <c r="A3261" s="4">
        <v>44787.0</v>
      </c>
      <c r="B3261" s="2">
        <v>1393623.0</v>
      </c>
      <c r="C3261" s="2">
        <v>3713402.0</v>
      </c>
      <c r="D3261" s="2">
        <v>105.855299999999</v>
      </c>
    </row>
    <row r="3262">
      <c r="A3262" s="4">
        <v>44787.0</v>
      </c>
      <c r="B3262" s="2">
        <v>1046973.0</v>
      </c>
      <c r="C3262" s="2">
        <v>3714106.0</v>
      </c>
      <c r="D3262" s="2">
        <v>46.5782</v>
      </c>
    </row>
    <row r="3263">
      <c r="A3263" s="4">
        <v>45043.0</v>
      </c>
      <c r="B3263" s="2">
        <v>1341843.0</v>
      </c>
      <c r="C3263" s="2">
        <v>4419784.0</v>
      </c>
      <c r="D3263" s="2">
        <v>217.789</v>
      </c>
    </row>
    <row r="3264">
      <c r="A3264" s="4">
        <v>45043.0</v>
      </c>
      <c r="B3264" s="2">
        <v>1581843.0</v>
      </c>
      <c r="C3264" s="2">
        <v>4419715.0</v>
      </c>
      <c r="D3264" s="2">
        <v>14.0</v>
      </c>
    </row>
    <row r="3265">
      <c r="A3265" s="4">
        <v>45043.0</v>
      </c>
      <c r="B3265" s="2">
        <v>1515603.0</v>
      </c>
      <c r="C3265" s="2">
        <v>4419548.0</v>
      </c>
      <c r="D3265" s="2">
        <v>81.5606</v>
      </c>
    </row>
    <row r="3266">
      <c r="A3266" s="4">
        <v>45043.0</v>
      </c>
      <c r="B3266" s="2">
        <v>1077423.0</v>
      </c>
      <c r="C3266" s="2">
        <v>4419401.0</v>
      </c>
      <c r="D3266" s="2">
        <v>204.2578</v>
      </c>
    </row>
    <row r="3267">
      <c r="A3267" s="4">
        <v>45043.0</v>
      </c>
      <c r="B3267" s="2">
        <v>1582023.0</v>
      </c>
      <c r="C3267" s="2">
        <v>4420445.0</v>
      </c>
      <c r="D3267" s="2">
        <v>16.7169</v>
      </c>
    </row>
    <row r="3268">
      <c r="A3268" s="4">
        <v>44788.0</v>
      </c>
      <c r="B3268" s="2">
        <v>391113.0</v>
      </c>
      <c r="C3268" s="2">
        <v>3715795.0</v>
      </c>
      <c r="D3268" s="2">
        <v>45.6029</v>
      </c>
    </row>
    <row r="3269">
      <c r="A3269" s="4">
        <v>44788.0</v>
      </c>
      <c r="B3269" s="2">
        <v>231213.0</v>
      </c>
      <c r="C3269" s="2">
        <v>3716387.0</v>
      </c>
      <c r="D3269" s="2">
        <v>149.2514</v>
      </c>
    </row>
    <row r="3270">
      <c r="A3270" s="4">
        <v>44788.0</v>
      </c>
      <c r="B3270" s="2">
        <v>1106103.0</v>
      </c>
      <c r="C3270" s="2">
        <v>3717276.0</v>
      </c>
      <c r="D3270" s="2">
        <v>79.5325</v>
      </c>
    </row>
    <row r="3271">
      <c r="A3271" s="4">
        <v>44788.0</v>
      </c>
      <c r="B3271" s="2">
        <v>367683.0</v>
      </c>
      <c r="C3271" s="2">
        <v>3716029.0</v>
      </c>
      <c r="D3271" s="2">
        <v>43.9887</v>
      </c>
    </row>
    <row r="3272">
      <c r="A3272" s="4">
        <v>44788.0</v>
      </c>
      <c r="B3272" s="2">
        <v>1394373.0</v>
      </c>
      <c r="C3272" s="2">
        <v>3716656.0</v>
      </c>
      <c r="D3272" s="2">
        <v>149.1667</v>
      </c>
    </row>
    <row r="3273">
      <c r="A3273" s="4">
        <v>44788.0</v>
      </c>
      <c r="B3273" s="2">
        <v>289563.0</v>
      </c>
      <c r="C3273" s="2">
        <v>3716269.0</v>
      </c>
      <c r="D3273" s="2">
        <v>33.9083</v>
      </c>
    </row>
    <row r="3274">
      <c r="A3274" s="4">
        <v>45044.0</v>
      </c>
      <c r="B3274" s="2">
        <v>426423.0</v>
      </c>
      <c r="C3274" s="2">
        <v>4422046.0</v>
      </c>
      <c r="D3274" s="2">
        <v>86.1796</v>
      </c>
    </row>
    <row r="3275">
      <c r="A3275" s="4">
        <v>45044.0</v>
      </c>
      <c r="B3275" s="2">
        <v>146283.0</v>
      </c>
      <c r="C3275" s="2">
        <v>4422586.0</v>
      </c>
      <c r="D3275" s="2">
        <v>90.041</v>
      </c>
    </row>
    <row r="3276">
      <c r="A3276" s="4">
        <v>44789.0</v>
      </c>
      <c r="B3276" s="2">
        <v>1369953.0</v>
      </c>
      <c r="C3276" s="2">
        <v>3718596.0</v>
      </c>
      <c r="D3276" s="2">
        <v>104.7595</v>
      </c>
    </row>
    <row r="3277">
      <c r="A3277" s="4">
        <v>44789.0</v>
      </c>
      <c r="B3277" s="2">
        <v>1394643.0</v>
      </c>
      <c r="C3277" s="2">
        <v>3717820.0</v>
      </c>
      <c r="D3277" s="2">
        <v>23.0076</v>
      </c>
    </row>
    <row r="3278">
      <c r="A3278" s="4">
        <v>44789.0</v>
      </c>
      <c r="B3278" s="2">
        <v>1239183.0</v>
      </c>
      <c r="C3278" s="2">
        <v>3718777.0</v>
      </c>
      <c r="D3278" s="2">
        <v>62.6667</v>
      </c>
    </row>
    <row r="3279">
      <c r="A3279" s="4">
        <v>44789.0</v>
      </c>
      <c r="B3279" s="2">
        <v>1387113.0</v>
      </c>
      <c r="C3279" s="2">
        <v>3719518.0</v>
      </c>
      <c r="D3279" s="2">
        <v>8.25</v>
      </c>
    </row>
    <row r="3280">
      <c r="A3280" s="4">
        <v>45045.0</v>
      </c>
      <c r="B3280" s="2">
        <v>948573.0</v>
      </c>
      <c r="C3280" s="2">
        <v>4426744.0</v>
      </c>
      <c r="D3280" s="2">
        <v>47.6209</v>
      </c>
    </row>
    <row r="3281">
      <c r="A3281" s="4">
        <v>45045.0</v>
      </c>
      <c r="B3281" s="2">
        <v>1435473.0</v>
      </c>
      <c r="C3281" s="2">
        <v>4423718.0</v>
      </c>
      <c r="D3281" s="2">
        <v>81.5255</v>
      </c>
    </row>
    <row r="3282">
      <c r="A3282" s="4">
        <v>45045.0</v>
      </c>
      <c r="B3282" s="2">
        <v>392763.0</v>
      </c>
      <c r="C3282" s="2">
        <v>4424641.0</v>
      </c>
      <c r="D3282" s="2">
        <v>82.1181</v>
      </c>
    </row>
    <row r="3283">
      <c r="A3283" s="4">
        <v>45045.0</v>
      </c>
      <c r="B3283" s="2">
        <v>1527813.0</v>
      </c>
      <c r="C3283" s="2">
        <v>4425499.0</v>
      </c>
      <c r="D3283" s="2">
        <v>68.9808999999999</v>
      </c>
    </row>
    <row r="3284">
      <c r="A3284" s="4">
        <v>45045.0</v>
      </c>
      <c r="B3284" s="2">
        <v>1582983.0</v>
      </c>
      <c r="C3284" s="2">
        <v>4424045.0</v>
      </c>
      <c r="D3284" s="2">
        <v>16.1044</v>
      </c>
    </row>
    <row r="3285">
      <c r="A3285" s="4">
        <v>45045.0</v>
      </c>
      <c r="B3285" s="2">
        <v>1051953.0</v>
      </c>
      <c r="C3285" s="2">
        <v>4426406.0</v>
      </c>
      <c r="D3285" s="2">
        <v>62.678</v>
      </c>
    </row>
    <row r="3286">
      <c r="A3286" s="4">
        <v>45045.0</v>
      </c>
      <c r="B3286" s="2">
        <v>1165353.0</v>
      </c>
      <c r="C3286" s="2">
        <v>4425395.0</v>
      </c>
      <c r="D3286" s="2">
        <v>121.7364</v>
      </c>
    </row>
    <row r="3287">
      <c r="A3287" s="4">
        <v>44790.0</v>
      </c>
      <c r="B3287" s="2">
        <v>1395243.0</v>
      </c>
      <c r="C3287" s="2">
        <v>3720235.0</v>
      </c>
      <c r="D3287" s="2">
        <v>98.8721</v>
      </c>
    </row>
    <row r="3288">
      <c r="A3288" s="4">
        <v>44790.0</v>
      </c>
      <c r="B3288" s="2">
        <v>290643.0</v>
      </c>
      <c r="C3288" s="2">
        <v>3721032.0</v>
      </c>
      <c r="D3288" s="2">
        <v>111.274099999999</v>
      </c>
    </row>
    <row r="3289">
      <c r="A3289" s="4">
        <v>45046.0</v>
      </c>
      <c r="B3289" s="2">
        <v>1474593.0</v>
      </c>
      <c r="C3289" s="2">
        <v>4427322.0</v>
      </c>
      <c r="D3289" s="2">
        <v>38.7342</v>
      </c>
    </row>
    <row r="3290">
      <c r="A3290" s="4">
        <v>45046.0</v>
      </c>
      <c r="B3290" s="2">
        <v>1144893.0</v>
      </c>
      <c r="C3290" s="2">
        <v>4430232.0</v>
      </c>
      <c r="D3290" s="2">
        <v>71.9532</v>
      </c>
    </row>
    <row r="3291">
      <c r="A3291" s="4">
        <v>45046.0</v>
      </c>
      <c r="B3291" s="2">
        <v>1188093.0</v>
      </c>
      <c r="C3291" s="2">
        <v>4430040.0</v>
      </c>
      <c r="D3291" s="2">
        <v>28.6282</v>
      </c>
    </row>
    <row r="3292">
      <c r="A3292" s="4">
        <v>45046.0</v>
      </c>
      <c r="B3292" s="2">
        <v>1583163.0</v>
      </c>
      <c r="C3292" s="2">
        <v>4427359.0</v>
      </c>
      <c r="D3292" s="2">
        <v>23.7219999999999</v>
      </c>
    </row>
    <row r="3293">
      <c r="A3293" s="4">
        <v>45046.0</v>
      </c>
      <c r="B3293" s="2">
        <v>1584333.0</v>
      </c>
      <c r="C3293" s="2">
        <v>4429938.0</v>
      </c>
      <c r="D3293" s="2">
        <v>87.2667</v>
      </c>
    </row>
    <row r="3294">
      <c r="A3294" s="4">
        <v>45046.0</v>
      </c>
      <c r="B3294" s="2">
        <v>1561593.0</v>
      </c>
      <c r="C3294" s="2">
        <v>4428591.0</v>
      </c>
      <c r="D3294" s="2">
        <v>121.759</v>
      </c>
    </row>
    <row r="3295">
      <c r="A3295" s="4">
        <v>45046.0</v>
      </c>
      <c r="B3295" s="2">
        <v>1261383.0</v>
      </c>
      <c r="C3295" s="2">
        <v>4427450.0</v>
      </c>
      <c r="D3295" s="2">
        <v>92.4656</v>
      </c>
    </row>
    <row r="3296">
      <c r="A3296" s="4">
        <v>45046.0</v>
      </c>
      <c r="B3296" s="2">
        <v>1584213.0</v>
      </c>
      <c r="C3296" s="2">
        <v>4429843.0</v>
      </c>
      <c r="D3296" s="2">
        <v>71.8705</v>
      </c>
    </row>
    <row r="3297">
      <c r="A3297" s="4">
        <v>45046.0</v>
      </c>
      <c r="B3297" s="2">
        <v>1350603.0</v>
      </c>
      <c r="C3297" s="2">
        <v>4428677.0</v>
      </c>
      <c r="D3297" s="2">
        <v>27.5996</v>
      </c>
    </row>
    <row r="3298">
      <c r="A3298" s="4">
        <v>45046.0</v>
      </c>
      <c r="B3298" s="2">
        <v>1145583.0</v>
      </c>
      <c r="C3298" s="2">
        <v>4428317.0</v>
      </c>
      <c r="D3298" s="2">
        <v>43.824</v>
      </c>
    </row>
    <row r="3299">
      <c r="A3299" s="4">
        <v>45046.0</v>
      </c>
      <c r="B3299" s="2">
        <v>1089273.0</v>
      </c>
      <c r="C3299" s="2">
        <v>4427638.0</v>
      </c>
      <c r="D3299" s="2">
        <v>40.825</v>
      </c>
    </row>
    <row r="3300">
      <c r="A3300" s="4">
        <v>45046.0</v>
      </c>
      <c r="B3300" s="2">
        <v>1584123.0</v>
      </c>
      <c r="C3300" s="2">
        <v>4429109.0</v>
      </c>
      <c r="D3300" s="2">
        <v>44.9834</v>
      </c>
    </row>
    <row r="3301">
      <c r="A3301" s="4">
        <v>44791.0</v>
      </c>
      <c r="B3301" s="2">
        <v>1395993.0</v>
      </c>
      <c r="C3301" s="2">
        <v>3723217.0</v>
      </c>
      <c r="D3301" s="2">
        <v>67.4159</v>
      </c>
    </row>
    <row r="3302">
      <c r="A3302" s="4">
        <v>44791.0</v>
      </c>
      <c r="B3302" s="2">
        <v>1395873.0</v>
      </c>
      <c r="C3302" s="2">
        <v>3722731.0</v>
      </c>
      <c r="D3302" s="2">
        <v>25.2649</v>
      </c>
    </row>
    <row r="3303">
      <c r="A3303" s="4">
        <v>44791.0</v>
      </c>
      <c r="B3303" s="2">
        <v>1286103.0</v>
      </c>
      <c r="C3303" s="2">
        <v>3724269.0</v>
      </c>
      <c r="D3303" s="2">
        <v>285.4597</v>
      </c>
    </row>
    <row r="3304">
      <c r="A3304" s="4">
        <v>44791.0</v>
      </c>
      <c r="B3304" s="2">
        <v>1238253.0</v>
      </c>
      <c r="C3304" s="2">
        <v>3722973.0</v>
      </c>
      <c r="D3304" s="2">
        <v>9.3756</v>
      </c>
    </row>
    <row r="3305">
      <c r="A3305" s="4">
        <v>45047.0</v>
      </c>
      <c r="B3305" s="2">
        <v>1491033.0</v>
      </c>
      <c r="C3305" s="2">
        <v>4430872.0</v>
      </c>
      <c r="D3305" s="2">
        <v>48.994</v>
      </c>
    </row>
    <row r="3306">
      <c r="A3306" s="4">
        <v>45047.0</v>
      </c>
      <c r="B3306" s="2">
        <v>1179483.0</v>
      </c>
      <c r="C3306" s="2">
        <v>4432772.0</v>
      </c>
      <c r="D3306" s="2">
        <v>140.1079</v>
      </c>
    </row>
    <row r="3307">
      <c r="A3307" s="4">
        <v>45047.0</v>
      </c>
      <c r="B3307" s="2">
        <v>428643.0</v>
      </c>
      <c r="C3307" s="2">
        <v>4430682.0</v>
      </c>
      <c r="D3307" s="2">
        <v>13.948</v>
      </c>
    </row>
    <row r="3308">
      <c r="A3308" s="4">
        <v>45047.0</v>
      </c>
      <c r="B3308" s="2">
        <v>1110273.0</v>
      </c>
      <c r="C3308" s="2">
        <v>4430584.0</v>
      </c>
      <c r="D3308" s="2">
        <v>73.5948</v>
      </c>
    </row>
    <row r="3309">
      <c r="A3309" s="4">
        <v>44792.0</v>
      </c>
      <c r="B3309" s="2">
        <v>1396713.0</v>
      </c>
      <c r="C3309" s="2">
        <v>3725669.0</v>
      </c>
      <c r="D3309" s="2">
        <v>28.35</v>
      </c>
    </row>
    <row r="3310">
      <c r="A3310" s="4">
        <v>44792.0</v>
      </c>
      <c r="B3310" s="2">
        <v>1396503.0</v>
      </c>
      <c r="C3310" s="2">
        <v>3725023.0</v>
      </c>
      <c r="D3310" s="2">
        <v>58.6656</v>
      </c>
    </row>
    <row r="3311">
      <c r="A3311" s="4">
        <v>44792.0</v>
      </c>
      <c r="B3311" s="2">
        <v>1396473.0</v>
      </c>
      <c r="C3311" s="2">
        <v>3724905.0</v>
      </c>
      <c r="D3311" s="2">
        <v>95.625</v>
      </c>
    </row>
    <row r="3312">
      <c r="A3312" s="4">
        <v>44792.0</v>
      </c>
      <c r="B3312" s="2">
        <v>1396413.0</v>
      </c>
      <c r="C3312" s="2">
        <v>3724689.0</v>
      </c>
      <c r="D3312" s="2">
        <v>36.5833</v>
      </c>
    </row>
    <row r="3313">
      <c r="A3313" s="4">
        <v>44792.0</v>
      </c>
      <c r="B3313" s="2">
        <v>1274853.0</v>
      </c>
      <c r="C3313" s="2">
        <v>3725351.0</v>
      </c>
      <c r="D3313" s="2">
        <v>53.9813</v>
      </c>
    </row>
    <row r="3314">
      <c r="A3314" s="4">
        <v>45048.0</v>
      </c>
      <c r="B3314" s="2">
        <v>1585893.0</v>
      </c>
      <c r="C3314" s="2">
        <v>4436274.0</v>
      </c>
      <c r="D3314" s="2">
        <v>58.6583</v>
      </c>
    </row>
    <row r="3315">
      <c r="A3315" s="4">
        <v>45048.0</v>
      </c>
      <c r="B3315" s="2">
        <v>1585413.0</v>
      </c>
      <c r="C3315" s="2">
        <v>4435776.0</v>
      </c>
      <c r="D3315" s="2">
        <v>22.4917</v>
      </c>
    </row>
    <row r="3316">
      <c r="A3316" s="4">
        <v>45048.0</v>
      </c>
      <c r="B3316" s="2">
        <v>1011633.0</v>
      </c>
      <c r="C3316" s="2">
        <v>4433747.0</v>
      </c>
      <c r="D3316" s="2">
        <v>275.722699999999</v>
      </c>
    </row>
    <row r="3317">
      <c r="A3317" s="4">
        <v>44793.0</v>
      </c>
      <c r="B3317" s="2">
        <v>1084803.0</v>
      </c>
      <c r="C3317" s="2">
        <v>3726921.0</v>
      </c>
      <c r="D3317" s="2">
        <v>69.5662</v>
      </c>
    </row>
    <row r="3318">
      <c r="A3318" s="4">
        <v>45049.0</v>
      </c>
      <c r="B3318" s="2">
        <v>1381413.0</v>
      </c>
      <c r="C3318" s="2">
        <v>4437489.0</v>
      </c>
      <c r="D3318" s="2">
        <v>104.7655</v>
      </c>
    </row>
    <row r="3319">
      <c r="A3319" s="4">
        <v>45049.0</v>
      </c>
      <c r="B3319" s="2">
        <v>1428633.0</v>
      </c>
      <c r="C3319" s="2">
        <v>4437684.0</v>
      </c>
      <c r="D3319" s="2">
        <v>148.6133</v>
      </c>
    </row>
    <row r="3320">
      <c r="A3320" s="4">
        <v>45049.0</v>
      </c>
      <c r="B3320" s="2">
        <v>1383813.0</v>
      </c>
      <c r="C3320" s="2">
        <v>4437035.0</v>
      </c>
      <c r="D3320" s="2">
        <v>13.3806</v>
      </c>
    </row>
    <row r="3321">
      <c r="A3321" s="4">
        <v>45049.0</v>
      </c>
      <c r="B3321" s="2">
        <v>1195233.0</v>
      </c>
      <c r="C3321" s="2">
        <v>4438045.0</v>
      </c>
      <c r="D3321" s="2">
        <v>46.6632999999999</v>
      </c>
    </row>
    <row r="3322">
      <c r="A3322" s="4">
        <v>45049.0</v>
      </c>
      <c r="B3322" s="2">
        <v>1457763.0</v>
      </c>
      <c r="C3322" s="2">
        <v>4438615.0</v>
      </c>
      <c r="D3322" s="2">
        <v>80.6593</v>
      </c>
    </row>
    <row r="3323">
      <c r="A3323" s="4">
        <v>45049.0</v>
      </c>
      <c r="B3323" s="2">
        <v>1122033.0</v>
      </c>
      <c r="C3323" s="2">
        <v>4438820.0</v>
      </c>
      <c r="D3323" s="2">
        <v>71.1902</v>
      </c>
    </row>
    <row r="3324">
      <c r="A3324" s="4">
        <v>44794.0</v>
      </c>
      <c r="B3324" s="2">
        <v>1397703.0</v>
      </c>
      <c r="C3324" s="2">
        <v>3729621.0</v>
      </c>
      <c r="D3324" s="2">
        <v>45.3176</v>
      </c>
    </row>
    <row r="3325">
      <c r="A3325" s="4">
        <v>44794.0</v>
      </c>
      <c r="B3325" s="2">
        <v>267663.0</v>
      </c>
      <c r="C3325" s="2">
        <v>3730198.0</v>
      </c>
      <c r="D3325" s="2">
        <v>27.4758999999999</v>
      </c>
    </row>
    <row r="3326">
      <c r="A3326" s="4">
        <v>44794.0</v>
      </c>
      <c r="B3326" s="2">
        <v>1102863.0</v>
      </c>
      <c r="C3326" s="2">
        <v>3728985.0</v>
      </c>
      <c r="D3326" s="2">
        <v>75.9847999999999</v>
      </c>
    </row>
    <row r="3327">
      <c r="A3327" s="4">
        <v>44794.0</v>
      </c>
      <c r="B3327" s="2">
        <v>1274823.0</v>
      </c>
      <c r="C3327" s="2">
        <v>3731184.0</v>
      </c>
      <c r="D3327" s="2">
        <v>97.0377</v>
      </c>
    </row>
    <row r="3328">
      <c r="A3328" s="4">
        <v>44794.0</v>
      </c>
      <c r="B3328" s="2">
        <v>395523.0</v>
      </c>
      <c r="C3328" s="2">
        <v>3729815.0</v>
      </c>
      <c r="D3328" s="2">
        <v>72.1046</v>
      </c>
    </row>
    <row r="3329">
      <c r="A3329" s="4">
        <v>44794.0</v>
      </c>
      <c r="B3329" s="2">
        <v>1397853.0</v>
      </c>
      <c r="C3329" s="2">
        <v>3730236.0</v>
      </c>
      <c r="D3329" s="2">
        <v>43.225</v>
      </c>
    </row>
    <row r="3330">
      <c r="A3330" s="4">
        <v>45050.0</v>
      </c>
      <c r="B3330" s="2">
        <v>91623.0</v>
      </c>
      <c r="C3330" s="2">
        <v>4439028.0</v>
      </c>
      <c r="D3330" s="2">
        <v>23.2264</v>
      </c>
    </row>
    <row r="3331">
      <c r="A3331" s="4">
        <v>45050.0</v>
      </c>
      <c r="B3331" s="2">
        <v>1334643.0</v>
      </c>
      <c r="C3331" s="2">
        <v>4440121.0</v>
      </c>
      <c r="D3331" s="2">
        <v>87.1409</v>
      </c>
    </row>
    <row r="3332">
      <c r="A3332" s="4">
        <v>45050.0</v>
      </c>
      <c r="B3332" s="2">
        <v>1234173.0</v>
      </c>
      <c r="C3332" s="2">
        <v>4439974.0</v>
      </c>
      <c r="D3332" s="2">
        <v>68.75</v>
      </c>
    </row>
    <row r="3333">
      <c r="A3333" s="4">
        <v>45050.0</v>
      </c>
      <c r="B3333" s="2">
        <v>1587033.0</v>
      </c>
      <c r="C3333" s="2">
        <v>4440636.0</v>
      </c>
      <c r="D3333" s="2">
        <v>7.4904</v>
      </c>
    </row>
    <row r="3334">
      <c r="A3334" s="4">
        <v>45050.0</v>
      </c>
      <c r="B3334" s="2">
        <v>1477113.0</v>
      </c>
      <c r="C3334" s="2">
        <v>4439574.0</v>
      </c>
      <c r="D3334" s="2">
        <v>95.0734</v>
      </c>
    </row>
    <row r="3335">
      <c r="A3335" s="4">
        <v>45050.0</v>
      </c>
      <c r="B3335" s="2">
        <v>490203.0</v>
      </c>
      <c r="C3335" s="2">
        <v>4440606.0</v>
      </c>
      <c r="D3335" s="2">
        <v>96.1437</v>
      </c>
    </row>
    <row r="3336">
      <c r="A3336" s="4">
        <v>44795.0</v>
      </c>
      <c r="B3336" s="2">
        <v>1151013.0</v>
      </c>
      <c r="C3336" s="2">
        <v>3733160.0</v>
      </c>
      <c r="D3336" s="2">
        <v>103.8737</v>
      </c>
    </row>
    <row r="3337">
      <c r="A3337" s="4">
        <v>44795.0</v>
      </c>
      <c r="B3337" s="2">
        <v>186663.0</v>
      </c>
      <c r="C3337" s="2">
        <v>3732597.0</v>
      </c>
      <c r="D3337" s="2">
        <v>80.2267</v>
      </c>
    </row>
    <row r="3338">
      <c r="A3338" s="4">
        <v>44795.0</v>
      </c>
      <c r="B3338" s="2">
        <v>1061973.0</v>
      </c>
      <c r="C3338" s="2">
        <v>3732571.0</v>
      </c>
      <c r="D3338" s="2">
        <v>36.4579</v>
      </c>
    </row>
    <row r="3339">
      <c r="A3339" s="4">
        <v>44795.0</v>
      </c>
      <c r="B3339" s="2">
        <v>1398123.0</v>
      </c>
      <c r="C3339" s="2">
        <v>3731404.0</v>
      </c>
      <c r="D3339" s="2">
        <v>14.1472</v>
      </c>
    </row>
    <row r="3340">
      <c r="A3340" s="4">
        <v>44795.0</v>
      </c>
      <c r="B3340" s="2">
        <v>1398303.0</v>
      </c>
      <c r="C3340" s="2">
        <v>3732101.0</v>
      </c>
      <c r="D3340" s="2">
        <v>88.72</v>
      </c>
    </row>
    <row r="3341">
      <c r="A3341" s="4">
        <v>44795.0</v>
      </c>
      <c r="B3341" s="2">
        <v>1222383.0</v>
      </c>
      <c r="C3341" s="2">
        <v>3731323.0</v>
      </c>
      <c r="D3341" s="2">
        <v>8.2425</v>
      </c>
    </row>
    <row r="3342">
      <c r="A3342" s="4">
        <v>44795.0</v>
      </c>
      <c r="B3342" s="2">
        <v>1398153.0</v>
      </c>
      <c r="C3342" s="2">
        <v>3731504.0</v>
      </c>
      <c r="D3342" s="2">
        <v>12.2544</v>
      </c>
    </row>
    <row r="3343">
      <c r="A3343" s="4">
        <v>44795.0</v>
      </c>
      <c r="B3343" s="2">
        <v>184683.0</v>
      </c>
      <c r="C3343" s="2">
        <v>3733100.0</v>
      </c>
      <c r="D3343" s="2">
        <v>63.4228</v>
      </c>
    </row>
    <row r="3344">
      <c r="A3344" s="4">
        <v>44795.0</v>
      </c>
      <c r="B3344" s="2">
        <v>1101993.0</v>
      </c>
      <c r="C3344" s="2">
        <v>3732438.0</v>
      </c>
      <c r="D3344" s="2">
        <v>31.5833</v>
      </c>
    </row>
    <row r="3345">
      <c r="A3345" s="4">
        <v>45051.0</v>
      </c>
      <c r="B3345" s="2">
        <v>1040313.0</v>
      </c>
      <c r="C3345" s="2">
        <v>4441766.0</v>
      </c>
      <c r="D3345" s="2">
        <v>223.2779</v>
      </c>
    </row>
    <row r="3346">
      <c r="A3346" s="4">
        <v>45051.0</v>
      </c>
      <c r="B3346" s="2">
        <v>1128333.0</v>
      </c>
      <c r="C3346" s="2">
        <v>4441213.0</v>
      </c>
      <c r="D3346" s="2">
        <v>46.1999</v>
      </c>
    </row>
    <row r="3347">
      <c r="A3347" s="4">
        <v>44796.0</v>
      </c>
      <c r="B3347" s="2">
        <v>1348683.0</v>
      </c>
      <c r="C3347" s="2">
        <v>3735654.0</v>
      </c>
      <c r="D3347" s="2">
        <v>50.6407</v>
      </c>
    </row>
    <row r="3348">
      <c r="A3348" s="4">
        <v>44796.0</v>
      </c>
      <c r="B3348" s="2">
        <v>1350873.0</v>
      </c>
      <c r="C3348" s="2">
        <v>3734056.0</v>
      </c>
      <c r="D3348" s="2">
        <v>99.9380999999999</v>
      </c>
    </row>
    <row r="3349">
      <c r="A3349" s="4">
        <v>44796.0</v>
      </c>
      <c r="B3349" s="2">
        <v>1339623.0</v>
      </c>
      <c r="C3349" s="2">
        <v>3735181.0</v>
      </c>
      <c r="D3349" s="2">
        <v>51.057</v>
      </c>
    </row>
    <row r="3350">
      <c r="A3350" s="4">
        <v>44796.0</v>
      </c>
      <c r="B3350" s="2">
        <v>1398273.0</v>
      </c>
      <c r="C3350" s="2">
        <v>3735562.0</v>
      </c>
      <c r="D3350" s="2">
        <v>68.4778999999999</v>
      </c>
    </row>
    <row r="3351">
      <c r="A3351" s="4">
        <v>45052.0</v>
      </c>
      <c r="B3351" s="2">
        <v>1587693.0</v>
      </c>
      <c r="C3351" s="2">
        <v>4443097.0</v>
      </c>
      <c r="D3351" s="2">
        <v>73.699</v>
      </c>
    </row>
    <row r="3352">
      <c r="A3352" s="4">
        <v>45052.0</v>
      </c>
      <c r="B3352" s="2">
        <v>1209573.0</v>
      </c>
      <c r="C3352" s="2">
        <v>4442991.0</v>
      </c>
      <c r="D3352" s="2">
        <v>50.256</v>
      </c>
    </row>
    <row r="3353">
      <c r="A3353" s="4">
        <v>44797.0</v>
      </c>
      <c r="B3353" s="2">
        <v>1261383.0</v>
      </c>
      <c r="C3353" s="2">
        <v>3737613.0</v>
      </c>
      <c r="D3353" s="2">
        <v>128.161</v>
      </c>
    </row>
    <row r="3354">
      <c r="A3354" s="4">
        <v>44797.0</v>
      </c>
      <c r="B3354" s="2">
        <v>1333263.0</v>
      </c>
      <c r="C3354" s="2">
        <v>3737483.0</v>
      </c>
      <c r="D3354" s="2">
        <v>133.4088</v>
      </c>
    </row>
    <row r="3355">
      <c r="A3355" s="4">
        <v>44797.0</v>
      </c>
      <c r="B3355" s="2">
        <v>1370283.0</v>
      </c>
      <c r="C3355" s="2">
        <v>3737687.0</v>
      </c>
      <c r="D3355" s="2">
        <v>85.4440999999999</v>
      </c>
    </row>
    <row r="3356">
      <c r="A3356" s="4">
        <v>44797.0</v>
      </c>
      <c r="B3356" s="2">
        <v>486093.0</v>
      </c>
      <c r="C3356" s="2">
        <v>3737015.0</v>
      </c>
      <c r="D3356" s="2">
        <v>56.7423</v>
      </c>
    </row>
    <row r="3357">
      <c r="A3357" s="4">
        <v>44797.0</v>
      </c>
      <c r="B3357" s="2">
        <v>1399533.0</v>
      </c>
      <c r="C3357" s="2">
        <v>3737101.0</v>
      </c>
      <c r="D3357" s="2">
        <v>41.6389</v>
      </c>
    </row>
    <row r="3358">
      <c r="A3358" s="4">
        <v>44797.0</v>
      </c>
      <c r="B3358" s="2">
        <v>1393623.0</v>
      </c>
      <c r="C3358" s="2">
        <v>3736520.0</v>
      </c>
      <c r="D3358" s="2">
        <v>146.2901</v>
      </c>
    </row>
    <row r="3359">
      <c r="A3359" s="4">
        <v>45053.0</v>
      </c>
      <c r="B3359" s="2">
        <v>473733.0</v>
      </c>
      <c r="C3359" s="2">
        <v>4445455.0</v>
      </c>
      <c r="D3359" s="2">
        <v>33.0</v>
      </c>
    </row>
    <row r="3360">
      <c r="A3360" s="4">
        <v>45053.0</v>
      </c>
      <c r="B3360" s="2">
        <v>1451553.0</v>
      </c>
      <c r="C3360" s="2">
        <v>4446799.0</v>
      </c>
      <c r="D3360" s="2">
        <v>106.0655</v>
      </c>
    </row>
    <row r="3361">
      <c r="A3361" s="4">
        <v>45053.0</v>
      </c>
      <c r="B3361" s="2">
        <v>1556523.0</v>
      </c>
      <c r="C3361" s="2">
        <v>4447035.0</v>
      </c>
      <c r="D3361" s="2">
        <v>44.4172</v>
      </c>
    </row>
    <row r="3362">
      <c r="A3362" s="4">
        <v>45053.0</v>
      </c>
      <c r="B3362" s="2">
        <v>1350873.0</v>
      </c>
      <c r="C3362" s="2">
        <v>4446255.0</v>
      </c>
      <c r="D3362" s="2">
        <v>57.8054</v>
      </c>
    </row>
    <row r="3363">
      <c r="A3363" s="4">
        <v>45053.0</v>
      </c>
      <c r="B3363" s="2">
        <v>1588233.0</v>
      </c>
      <c r="C3363" s="2">
        <v>4445297.0</v>
      </c>
      <c r="D3363" s="2">
        <v>184.6788</v>
      </c>
    </row>
    <row r="3364">
      <c r="A3364" s="4">
        <v>45053.0</v>
      </c>
      <c r="B3364" s="2">
        <v>1096713.0</v>
      </c>
      <c r="C3364" s="2">
        <v>4445824.0</v>
      </c>
      <c r="D3364" s="2">
        <v>74.761</v>
      </c>
    </row>
    <row r="3365">
      <c r="A3365" s="4">
        <v>45053.0</v>
      </c>
      <c r="B3365" s="2">
        <v>1474893.0</v>
      </c>
      <c r="C3365" s="2">
        <v>4447597.0</v>
      </c>
      <c r="D3365" s="2">
        <v>68.4</v>
      </c>
    </row>
    <row r="3366">
      <c r="A3366" s="4">
        <v>45053.0</v>
      </c>
      <c r="B3366" s="2">
        <v>423153.0</v>
      </c>
      <c r="C3366" s="2">
        <v>4445978.0</v>
      </c>
      <c r="D3366" s="2">
        <v>84.4195</v>
      </c>
    </row>
    <row r="3367">
      <c r="A3367" s="4">
        <v>44798.0</v>
      </c>
      <c r="B3367" s="2">
        <v>1184643.0</v>
      </c>
      <c r="C3367" s="2">
        <v>3739537.0</v>
      </c>
      <c r="D3367" s="2">
        <v>92.9177999999999</v>
      </c>
    </row>
    <row r="3368">
      <c r="A3368" s="4">
        <v>44798.0</v>
      </c>
      <c r="B3368" s="2">
        <v>1080153.0</v>
      </c>
      <c r="C3368" s="2">
        <v>3738832.0</v>
      </c>
      <c r="D3368" s="2">
        <v>123.2987</v>
      </c>
    </row>
    <row r="3369">
      <c r="A3369" s="4">
        <v>44798.0</v>
      </c>
      <c r="B3369" s="2">
        <v>63963.0</v>
      </c>
      <c r="C3369" s="2">
        <v>3738665.0</v>
      </c>
      <c r="D3369" s="2">
        <v>39.423</v>
      </c>
    </row>
    <row r="3370">
      <c r="A3370" s="4">
        <v>44798.0</v>
      </c>
      <c r="B3370" s="2">
        <v>1220073.0</v>
      </c>
      <c r="C3370" s="2">
        <v>3739520.0</v>
      </c>
      <c r="D3370" s="2">
        <v>88.234</v>
      </c>
    </row>
    <row r="3371">
      <c r="A3371" s="4">
        <v>44798.0</v>
      </c>
      <c r="B3371" s="2">
        <v>1259703.0</v>
      </c>
      <c r="C3371" s="2">
        <v>3739891.0</v>
      </c>
      <c r="D3371" s="2">
        <v>72.682</v>
      </c>
    </row>
    <row r="3372">
      <c r="A3372" s="4">
        <v>45054.0</v>
      </c>
      <c r="B3372" s="2">
        <v>1491033.0</v>
      </c>
      <c r="C3372" s="2">
        <v>4450594.0</v>
      </c>
      <c r="D3372" s="2">
        <v>37.2797999999999</v>
      </c>
    </row>
    <row r="3373">
      <c r="A3373" s="4">
        <v>45054.0</v>
      </c>
      <c r="B3373" s="2">
        <v>1236333.0</v>
      </c>
      <c r="C3373" s="2">
        <v>4449882.0</v>
      </c>
      <c r="D3373" s="2">
        <v>128.1963</v>
      </c>
    </row>
    <row r="3374">
      <c r="A3374" s="4">
        <v>45054.0</v>
      </c>
      <c r="B3374" s="2">
        <v>1528623.0</v>
      </c>
      <c r="C3374" s="2">
        <v>4449483.0</v>
      </c>
      <c r="D3374" s="2">
        <v>311.395199999999</v>
      </c>
    </row>
    <row r="3375">
      <c r="A3375" s="4">
        <v>45054.0</v>
      </c>
      <c r="B3375" s="2">
        <v>1409553.0</v>
      </c>
      <c r="C3375" s="2">
        <v>4449755.0</v>
      </c>
      <c r="D3375" s="2">
        <v>43.1268999999999</v>
      </c>
    </row>
    <row r="3376">
      <c r="A3376" s="4">
        <v>45054.0</v>
      </c>
      <c r="B3376" s="2">
        <v>1433613.0</v>
      </c>
      <c r="C3376" s="2">
        <v>4449853.0</v>
      </c>
      <c r="D3376" s="2">
        <v>69.5364999999999</v>
      </c>
    </row>
    <row r="3377">
      <c r="A3377" s="4">
        <v>45054.0</v>
      </c>
      <c r="B3377" s="2">
        <v>1546173.0</v>
      </c>
      <c r="C3377" s="2">
        <v>4449917.0</v>
      </c>
      <c r="D3377" s="2">
        <v>72.6888</v>
      </c>
    </row>
    <row r="3378">
      <c r="A3378" s="4">
        <v>45054.0</v>
      </c>
      <c r="B3378" s="2">
        <v>1589253.0</v>
      </c>
      <c r="C3378" s="2">
        <v>4449851.0</v>
      </c>
      <c r="D3378" s="2">
        <v>45.263</v>
      </c>
    </row>
    <row r="3379">
      <c r="A3379" s="4">
        <v>45054.0</v>
      </c>
      <c r="B3379" s="2">
        <v>1510953.0</v>
      </c>
      <c r="C3379" s="2">
        <v>4448316.0</v>
      </c>
      <c r="D3379" s="2">
        <v>55.8213</v>
      </c>
    </row>
    <row r="3380">
      <c r="A3380" s="4">
        <v>45054.0</v>
      </c>
      <c r="B3380" s="2">
        <v>1019493.0</v>
      </c>
      <c r="C3380" s="2">
        <v>4448241.0</v>
      </c>
      <c r="D3380" s="2">
        <v>88.273</v>
      </c>
    </row>
    <row r="3381">
      <c r="A3381" s="4">
        <v>45054.0</v>
      </c>
      <c r="B3381" s="2">
        <v>1589163.0</v>
      </c>
      <c r="C3381" s="2">
        <v>4449536.0</v>
      </c>
      <c r="D3381" s="2">
        <v>65.3813</v>
      </c>
    </row>
    <row r="3382">
      <c r="A3382" s="4">
        <v>45054.0</v>
      </c>
      <c r="B3382" s="2">
        <v>1239183.0</v>
      </c>
      <c r="C3382" s="2">
        <v>4449423.0</v>
      </c>
      <c r="D3382" s="2">
        <v>81.1458</v>
      </c>
    </row>
    <row r="3383">
      <c r="A3383" s="4">
        <v>45054.0</v>
      </c>
      <c r="B3383" s="2">
        <v>1589013.0</v>
      </c>
      <c r="C3383" s="2">
        <v>4448751.0</v>
      </c>
      <c r="D3383" s="2">
        <v>23.7948</v>
      </c>
    </row>
    <row r="3384">
      <c r="A3384" s="4">
        <v>44799.0</v>
      </c>
      <c r="B3384" s="2">
        <v>1165353.0</v>
      </c>
      <c r="C3384" s="2">
        <v>3741416.0</v>
      </c>
      <c r="D3384" s="2">
        <v>65.9281</v>
      </c>
    </row>
    <row r="3385">
      <c r="A3385" s="4">
        <v>45055.0</v>
      </c>
      <c r="B3385" s="2">
        <v>848373.0</v>
      </c>
      <c r="C3385" s="2">
        <v>4453208.0</v>
      </c>
      <c r="D3385" s="2">
        <v>74.0666</v>
      </c>
    </row>
    <row r="3386">
      <c r="A3386" s="4">
        <v>45055.0</v>
      </c>
      <c r="B3386" s="2">
        <v>146733.0</v>
      </c>
      <c r="C3386" s="2">
        <v>4452959.0</v>
      </c>
      <c r="D3386" s="2">
        <v>78.2227</v>
      </c>
    </row>
    <row r="3387">
      <c r="A3387" s="4">
        <v>44800.0</v>
      </c>
      <c r="B3387" s="2">
        <v>1212753.0</v>
      </c>
      <c r="C3387" s="2">
        <v>3742656.0</v>
      </c>
      <c r="D3387" s="2">
        <v>39.9258</v>
      </c>
    </row>
    <row r="3388">
      <c r="A3388" s="4">
        <v>44800.0</v>
      </c>
      <c r="B3388" s="2">
        <v>1401573.0</v>
      </c>
      <c r="C3388" s="2">
        <v>3745002.0</v>
      </c>
      <c r="D3388" s="2">
        <v>103.454</v>
      </c>
    </row>
    <row r="3389">
      <c r="A3389" s="4">
        <v>44800.0</v>
      </c>
      <c r="B3389" s="2">
        <v>1401483.0</v>
      </c>
      <c r="C3389" s="2">
        <v>3744570.0</v>
      </c>
      <c r="D3389" s="2">
        <v>40.7772</v>
      </c>
    </row>
    <row r="3390">
      <c r="A3390" s="4">
        <v>44800.0</v>
      </c>
      <c r="B3390" s="2">
        <v>1156233.0</v>
      </c>
      <c r="C3390" s="2">
        <v>3742495.0</v>
      </c>
      <c r="D3390" s="2">
        <v>50.6163</v>
      </c>
    </row>
    <row r="3391">
      <c r="A3391" s="4">
        <v>44800.0</v>
      </c>
      <c r="B3391" s="2">
        <v>1110273.0</v>
      </c>
      <c r="C3391" s="2">
        <v>3744803.0</v>
      </c>
      <c r="D3391" s="2">
        <v>112.1439</v>
      </c>
    </row>
    <row r="3392">
      <c r="A3392" s="4">
        <v>44800.0</v>
      </c>
      <c r="B3392" s="2">
        <v>358443.0</v>
      </c>
      <c r="C3392" s="2">
        <v>3744678.0</v>
      </c>
      <c r="D3392" s="2">
        <v>63.5459</v>
      </c>
    </row>
    <row r="3393">
      <c r="A3393" s="4">
        <v>44800.0</v>
      </c>
      <c r="B3393" s="2">
        <v>1128693.0</v>
      </c>
      <c r="C3393" s="2">
        <v>3744633.0</v>
      </c>
      <c r="D3393" s="2">
        <v>43.8565</v>
      </c>
    </row>
    <row r="3394">
      <c r="A3394" s="4">
        <v>44800.0</v>
      </c>
      <c r="B3394" s="2">
        <v>1273263.0</v>
      </c>
      <c r="C3394" s="2">
        <v>3743425.0</v>
      </c>
      <c r="D3394" s="2">
        <v>14.7822</v>
      </c>
    </row>
    <row r="3395">
      <c r="A3395" s="4">
        <v>44800.0</v>
      </c>
      <c r="B3395" s="2">
        <v>1307673.0</v>
      </c>
      <c r="C3395" s="2">
        <v>3744622.0</v>
      </c>
      <c r="D3395" s="2">
        <v>41.67</v>
      </c>
    </row>
    <row r="3396">
      <c r="A3396" s="4">
        <v>45056.0</v>
      </c>
      <c r="B3396" s="2">
        <v>1328943.0</v>
      </c>
      <c r="C3396" s="2">
        <v>4454831.0</v>
      </c>
      <c r="D3396" s="2">
        <v>66.7342999999999</v>
      </c>
    </row>
    <row r="3397">
      <c r="A3397" s="4">
        <v>45056.0</v>
      </c>
      <c r="B3397" s="2">
        <v>367683.0</v>
      </c>
      <c r="C3397" s="2">
        <v>4454697.0</v>
      </c>
      <c r="D3397" s="2">
        <v>75.7323</v>
      </c>
    </row>
    <row r="3398">
      <c r="A3398" s="4">
        <v>45056.0</v>
      </c>
      <c r="B3398" s="2">
        <v>1590693.0</v>
      </c>
      <c r="C3398" s="2">
        <v>4455772.0</v>
      </c>
      <c r="D3398" s="2">
        <v>78.7933999999999</v>
      </c>
    </row>
    <row r="3399">
      <c r="A3399" s="4">
        <v>44801.0</v>
      </c>
      <c r="B3399" s="2">
        <v>186663.0</v>
      </c>
      <c r="C3399" s="2">
        <v>3746518.0</v>
      </c>
      <c r="D3399" s="2">
        <v>171.0676</v>
      </c>
    </row>
    <row r="3400">
      <c r="A3400" s="4">
        <v>44801.0</v>
      </c>
      <c r="B3400" s="2">
        <v>1341843.0</v>
      </c>
      <c r="C3400" s="2">
        <v>3745480.0</v>
      </c>
      <c r="D3400" s="2">
        <v>175.5266</v>
      </c>
    </row>
    <row r="3401">
      <c r="A3401" s="4">
        <v>44801.0</v>
      </c>
      <c r="B3401" s="2">
        <v>235143.0</v>
      </c>
      <c r="C3401" s="2">
        <v>3747755.0</v>
      </c>
      <c r="D3401" s="2">
        <v>38.4737</v>
      </c>
    </row>
    <row r="3402">
      <c r="A3402" s="4">
        <v>44801.0</v>
      </c>
      <c r="B3402" s="2">
        <v>1318413.0</v>
      </c>
      <c r="C3402" s="2">
        <v>3748102.0</v>
      </c>
      <c r="D3402" s="2">
        <v>66.9055</v>
      </c>
    </row>
    <row r="3403">
      <c r="A3403" s="4">
        <v>44801.0</v>
      </c>
      <c r="B3403" s="2">
        <v>1401903.0</v>
      </c>
      <c r="C3403" s="2">
        <v>3746606.0</v>
      </c>
      <c r="D3403" s="2">
        <v>35.7583</v>
      </c>
    </row>
    <row r="3404">
      <c r="A3404" s="4">
        <v>44801.0</v>
      </c>
      <c r="B3404" s="2">
        <v>415473.0</v>
      </c>
      <c r="C3404" s="2">
        <v>3748302.0</v>
      </c>
      <c r="D3404" s="2">
        <v>81.2581</v>
      </c>
    </row>
    <row r="3405">
      <c r="A3405" s="4">
        <v>45057.0</v>
      </c>
      <c r="B3405" s="2">
        <v>1344573.0</v>
      </c>
      <c r="C3405" s="2">
        <v>4457951.0</v>
      </c>
      <c r="D3405" s="2">
        <v>76.4555</v>
      </c>
    </row>
    <row r="3406">
      <c r="A3406" s="4">
        <v>45057.0</v>
      </c>
      <c r="B3406" s="2">
        <v>1544253.0</v>
      </c>
      <c r="C3406" s="2">
        <v>4458788.0</v>
      </c>
      <c r="D3406" s="2">
        <v>55.2492</v>
      </c>
    </row>
    <row r="3407">
      <c r="A3407" s="4">
        <v>44802.0</v>
      </c>
      <c r="B3407" s="2">
        <v>1402323.0</v>
      </c>
      <c r="C3407" s="2">
        <v>3748434.0</v>
      </c>
      <c r="D3407" s="2">
        <v>16.9104</v>
      </c>
    </row>
    <row r="3408">
      <c r="A3408" s="4">
        <v>44802.0</v>
      </c>
      <c r="B3408" s="2">
        <v>1223523.0</v>
      </c>
      <c r="C3408" s="2">
        <v>3749878.0</v>
      </c>
      <c r="D3408" s="2">
        <v>129.3408</v>
      </c>
    </row>
    <row r="3409">
      <c r="A3409" s="4">
        <v>44802.0</v>
      </c>
      <c r="B3409" s="2">
        <v>217743.0</v>
      </c>
      <c r="C3409" s="2">
        <v>3749354.0</v>
      </c>
      <c r="D3409" s="2">
        <v>71.7835999999999</v>
      </c>
    </row>
    <row r="3410">
      <c r="A3410" s="4">
        <v>44802.0</v>
      </c>
      <c r="B3410" s="2">
        <v>312783.0</v>
      </c>
      <c r="C3410" s="2">
        <v>3750813.0</v>
      </c>
      <c r="D3410" s="2">
        <v>47.4471999999999</v>
      </c>
    </row>
    <row r="3411">
      <c r="A3411" s="4">
        <v>45058.0</v>
      </c>
      <c r="B3411" s="2">
        <v>1334313.0</v>
      </c>
      <c r="C3411" s="2">
        <v>4461012.0</v>
      </c>
      <c r="D3411" s="2">
        <v>36.671</v>
      </c>
    </row>
    <row r="3412">
      <c r="A3412" s="4">
        <v>45058.0</v>
      </c>
      <c r="B3412" s="2">
        <v>1578753.0</v>
      </c>
      <c r="C3412" s="2">
        <v>4460636.0</v>
      </c>
      <c r="D3412" s="2">
        <v>285.3634</v>
      </c>
    </row>
    <row r="3413">
      <c r="A3413" s="4">
        <v>45058.0</v>
      </c>
      <c r="B3413" s="2">
        <v>1168623.0</v>
      </c>
      <c r="C3413" s="2">
        <v>4460170.0</v>
      </c>
      <c r="D3413" s="2">
        <v>66.3667</v>
      </c>
    </row>
    <row r="3414">
      <c r="A3414" s="4">
        <v>44817.0</v>
      </c>
      <c r="B3414" s="2">
        <v>215313.0</v>
      </c>
      <c r="C3414" s="2">
        <v>3791115.0</v>
      </c>
      <c r="D3414" s="2">
        <v>70.2867</v>
      </c>
    </row>
    <row r="3415">
      <c r="A3415" s="4">
        <v>44817.0</v>
      </c>
      <c r="B3415" s="2">
        <v>215313.0</v>
      </c>
      <c r="C3415" s="2">
        <v>3791059.0</v>
      </c>
      <c r="D3415" s="2">
        <v>8.25</v>
      </c>
    </row>
    <row r="3416">
      <c r="A3416" s="4">
        <v>45085.0</v>
      </c>
      <c r="B3416" s="2">
        <v>215313.0</v>
      </c>
      <c r="C3416" s="2">
        <v>4528625.0</v>
      </c>
      <c r="D3416" s="2">
        <v>94.4457</v>
      </c>
    </row>
    <row r="3417">
      <c r="A3417" s="4">
        <v>44851.0</v>
      </c>
      <c r="B3417" s="2">
        <v>215313.0</v>
      </c>
      <c r="C3417" s="2">
        <v>3872251.0</v>
      </c>
      <c r="D3417" s="2">
        <v>111.810099999999</v>
      </c>
    </row>
    <row r="3418">
      <c r="A3418" s="4">
        <v>45132.0</v>
      </c>
      <c r="B3418" s="2">
        <v>215313.0</v>
      </c>
      <c r="C3418" s="2">
        <v>4634589.0</v>
      </c>
      <c r="D3418" s="2">
        <v>83.15</v>
      </c>
    </row>
    <row r="3419">
      <c r="A3419" s="4">
        <v>44888.0</v>
      </c>
      <c r="B3419" s="2">
        <v>215313.0</v>
      </c>
      <c r="C3419" s="2">
        <v>3969252.0</v>
      </c>
      <c r="D3419" s="2">
        <v>66.1693</v>
      </c>
    </row>
    <row r="3420">
      <c r="A3420" s="4">
        <v>44891.0</v>
      </c>
      <c r="B3420" s="2">
        <v>215313.0</v>
      </c>
      <c r="C3420" s="2">
        <v>3980299.0</v>
      </c>
      <c r="D3420" s="2">
        <v>71.5217</v>
      </c>
    </row>
    <row r="3421">
      <c r="A3421" s="4">
        <v>44915.0</v>
      </c>
      <c r="B3421" s="2">
        <v>215313.0</v>
      </c>
      <c r="C3421" s="2">
        <v>4060158.0</v>
      </c>
      <c r="D3421" s="2">
        <v>110.758099999999</v>
      </c>
    </row>
    <row r="3422">
      <c r="A3422" s="4">
        <v>44944.0</v>
      </c>
      <c r="B3422" s="2">
        <v>215313.0</v>
      </c>
      <c r="C3422" s="2">
        <v>4141462.0</v>
      </c>
      <c r="D3422" s="2">
        <v>107.850599999999</v>
      </c>
    </row>
    <row r="3423">
      <c r="A3423" s="4">
        <v>45204.0</v>
      </c>
      <c r="B3423" s="2">
        <v>215313.0</v>
      </c>
      <c r="C3423" s="2">
        <v>4819579.0</v>
      </c>
      <c r="D3423" s="2">
        <v>14.0833</v>
      </c>
    </row>
    <row r="3424">
      <c r="A3424" s="4">
        <v>45204.0</v>
      </c>
      <c r="B3424" s="2">
        <v>215313.0</v>
      </c>
      <c r="C3424" s="2">
        <v>4819621.0</v>
      </c>
      <c r="D3424" s="2">
        <v>87.2058</v>
      </c>
    </row>
    <row r="3425">
      <c r="A3425" s="4">
        <v>44969.0</v>
      </c>
      <c r="B3425" s="2">
        <v>215313.0</v>
      </c>
      <c r="C3425" s="2">
        <v>4212193.0</v>
      </c>
      <c r="D3425" s="2">
        <v>75.3638999999999</v>
      </c>
    </row>
    <row r="3426">
      <c r="A3426" s="4">
        <v>44986.0</v>
      </c>
      <c r="B3426" s="2">
        <v>215313.0</v>
      </c>
      <c r="C3426" s="2">
        <v>4258496.0</v>
      </c>
      <c r="D3426" s="2">
        <v>105.644</v>
      </c>
    </row>
    <row r="3427">
      <c r="A3427" s="4">
        <v>44758.0</v>
      </c>
      <c r="B3427" s="2">
        <v>215313.0</v>
      </c>
      <c r="C3427" s="2">
        <v>3649497.0</v>
      </c>
      <c r="D3427" s="2">
        <v>129.918499999999</v>
      </c>
    </row>
    <row r="3428">
      <c r="A3428" s="4">
        <v>45027.0</v>
      </c>
      <c r="B3428" s="2">
        <v>215313.0</v>
      </c>
      <c r="C3428" s="2">
        <v>4379518.0</v>
      </c>
      <c r="D3428" s="2">
        <v>70.7641</v>
      </c>
    </row>
    <row r="3429">
      <c r="A3429" s="4">
        <v>44781.0</v>
      </c>
      <c r="B3429" s="2">
        <v>215313.0</v>
      </c>
      <c r="C3429" s="2">
        <v>3702840.0</v>
      </c>
      <c r="D3429" s="2">
        <v>123.9767</v>
      </c>
    </row>
    <row r="3430">
      <c r="A3430" s="4">
        <v>45049.0</v>
      </c>
      <c r="B3430" s="2">
        <v>215313.0</v>
      </c>
      <c r="C3430" s="2">
        <v>4437650.0</v>
      </c>
      <c r="D3430" s="2">
        <v>73.4557</v>
      </c>
    </row>
    <row r="3431">
      <c r="A3431" s="4">
        <v>45055.0</v>
      </c>
      <c r="B3431" s="2">
        <v>215313.0</v>
      </c>
      <c r="C3431" s="2">
        <v>4452701.0</v>
      </c>
      <c r="D3431" s="2">
        <v>70.3701</v>
      </c>
    </row>
    <row r="3432">
      <c r="A3432" s="4">
        <v>44807.0</v>
      </c>
      <c r="B3432" s="2">
        <v>61983.0</v>
      </c>
      <c r="C3432" s="2">
        <v>3761879.0</v>
      </c>
      <c r="D3432" s="2">
        <v>73.6699</v>
      </c>
    </row>
    <row r="3433">
      <c r="A3433" s="4">
        <v>45077.0</v>
      </c>
      <c r="B3433" s="2">
        <v>61983.0</v>
      </c>
      <c r="C3433" s="2">
        <v>4508811.0</v>
      </c>
      <c r="D3433" s="2">
        <v>73.3579</v>
      </c>
    </row>
    <row r="3434">
      <c r="A3434" s="4">
        <v>44830.0</v>
      </c>
      <c r="B3434" s="2">
        <v>61983.0</v>
      </c>
      <c r="C3434" s="2">
        <v>3819265.0</v>
      </c>
      <c r="D3434" s="2">
        <v>89.7862</v>
      </c>
    </row>
    <row r="3435">
      <c r="A3435" s="4">
        <v>45108.0</v>
      </c>
      <c r="B3435" s="2">
        <v>61983.0</v>
      </c>
      <c r="C3435" s="2">
        <v>4580801.0</v>
      </c>
      <c r="D3435" s="2">
        <v>88.6087</v>
      </c>
    </row>
    <row r="3436">
      <c r="A3436" s="4">
        <v>44853.0</v>
      </c>
      <c r="B3436" s="2">
        <v>61983.0</v>
      </c>
      <c r="C3436" s="2">
        <v>3878560.0</v>
      </c>
      <c r="D3436" s="2">
        <v>97.1699</v>
      </c>
    </row>
    <row r="3437">
      <c r="A3437" s="4">
        <v>45115.0</v>
      </c>
      <c r="B3437" s="2">
        <v>61983.0</v>
      </c>
      <c r="C3437" s="2">
        <v>4598908.0</v>
      </c>
      <c r="D3437" s="2">
        <v>87.9301</v>
      </c>
    </row>
    <row r="3438">
      <c r="A3438" s="4">
        <v>44876.0</v>
      </c>
      <c r="B3438" s="2">
        <v>61983.0</v>
      </c>
      <c r="C3438" s="2">
        <v>3934374.0</v>
      </c>
      <c r="D3438" s="2">
        <v>68.6394</v>
      </c>
    </row>
    <row r="3439">
      <c r="A3439" s="4">
        <v>45143.0</v>
      </c>
      <c r="B3439" s="2">
        <v>61983.0</v>
      </c>
      <c r="C3439" s="2">
        <v>4663389.0</v>
      </c>
      <c r="D3439" s="2">
        <v>65.7317</v>
      </c>
    </row>
    <row r="3440">
      <c r="A3440" s="4">
        <v>44899.0</v>
      </c>
      <c r="B3440" s="2">
        <v>61983.0</v>
      </c>
      <c r="C3440" s="2">
        <v>4008664.0</v>
      </c>
      <c r="D3440" s="2">
        <v>72.8647</v>
      </c>
    </row>
    <row r="3441">
      <c r="A3441" s="4">
        <v>44913.0</v>
      </c>
      <c r="B3441" s="2">
        <v>61983.0</v>
      </c>
      <c r="C3441" s="2">
        <v>4056543.0</v>
      </c>
      <c r="D3441" s="2">
        <v>84.3206</v>
      </c>
    </row>
    <row r="3442">
      <c r="A3442" s="4">
        <v>45193.0</v>
      </c>
      <c r="B3442" s="2">
        <v>61983.0</v>
      </c>
      <c r="C3442" s="2">
        <v>4788319.0</v>
      </c>
      <c r="D3442" s="2">
        <v>90.3105999999999</v>
      </c>
    </row>
    <row r="3443">
      <c r="A3443" s="4">
        <v>44953.0</v>
      </c>
      <c r="B3443" s="2">
        <v>61983.0</v>
      </c>
      <c r="C3443" s="2">
        <v>4167535.0</v>
      </c>
      <c r="D3443" s="2">
        <v>71.5069999999999</v>
      </c>
    </row>
    <row r="3444">
      <c r="A3444" s="4">
        <v>45227.0</v>
      </c>
      <c r="B3444" s="2">
        <v>61983.0</v>
      </c>
      <c r="C3444" s="2">
        <v>4912153.0</v>
      </c>
      <c r="D3444" s="2">
        <v>88.2979</v>
      </c>
    </row>
    <row r="3445">
      <c r="A3445" s="4">
        <v>44984.0</v>
      </c>
      <c r="B3445" s="2">
        <v>61983.0</v>
      </c>
      <c r="C3445" s="2">
        <v>4253258.0</v>
      </c>
      <c r="D3445" s="2">
        <v>75.7196</v>
      </c>
    </row>
    <row r="3446">
      <c r="A3446" s="4">
        <v>45267.0</v>
      </c>
      <c r="B3446" s="2">
        <v>61983.0</v>
      </c>
      <c r="C3446" s="2">
        <v>5286956.0</v>
      </c>
      <c r="D3446" s="2">
        <v>92.0937999999999</v>
      </c>
    </row>
    <row r="3447">
      <c r="A3447" s="4">
        <v>45012.0</v>
      </c>
      <c r="B3447" s="2">
        <v>61983.0</v>
      </c>
      <c r="C3447" s="2">
        <v>4333506.0</v>
      </c>
      <c r="D3447" s="2">
        <v>68.6782</v>
      </c>
    </row>
    <row r="3448">
      <c r="A3448" s="4">
        <v>44767.0</v>
      </c>
      <c r="B3448" s="2">
        <v>61983.0</v>
      </c>
      <c r="C3448" s="2">
        <v>3672487.0</v>
      </c>
      <c r="D3448" s="2">
        <v>83.3479</v>
      </c>
    </row>
    <row r="3449">
      <c r="A3449" s="4">
        <v>45039.0</v>
      </c>
      <c r="B3449" s="2">
        <v>61983.0</v>
      </c>
      <c r="C3449" s="2">
        <v>4408621.0</v>
      </c>
      <c r="D3449" s="2">
        <v>69.5745</v>
      </c>
    </row>
    <row r="3450">
      <c r="A3450" s="4">
        <v>44804.0</v>
      </c>
      <c r="B3450" s="2">
        <v>420663.0</v>
      </c>
      <c r="C3450" s="2">
        <v>3754215.0</v>
      </c>
      <c r="D3450" s="2">
        <v>82.4988999999999</v>
      </c>
    </row>
    <row r="3451">
      <c r="A3451" s="4">
        <v>44830.0</v>
      </c>
      <c r="B3451" s="2">
        <v>420663.0</v>
      </c>
      <c r="C3451" s="2">
        <v>3820330.0</v>
      </c>
      <c r="D3451" s="2">
        <v>113.7578</v>
      </c>
    </row>
    <row r="3452">
      <c r="A3452" s="4">
        <v>44830.0</v>
      </c>
      <c r="B3452" s="2">
        <v>420663.0</v>
      </c>
      <c r="C3452" s="2">
        <v>3820289.0</v>
      </c>
      <c r="D3452" s="2">
        <v>8.25</v>
      </c>
    </row>
    <row r="3453">
      <c r="A3453" s="4">
        <v>45095.0</v>
      </c>
      <c r="B3453" s="2">
        <v>420663.0</v>
      </c>
      <c r="C3453" s="2">
        <v>4547203.0</v>
      </c>
      <c r="D3453" s="2">
        <v>72.3205</v>
      </c>
    </row>
    <row r="3454">
      <c r="A3454" s="4">
        <v>45112.0</v>
      </c>
      <c r="B3454" s="2">
        <v>420663.0</v>
      </c>
      <c r="C3454" s="2">
        <v>4592512.0</v>
      </c>
      <c r="D3454" s="2">
        <v>80.4085</v>
      </c>
    </row>
    <row r="3455">
      <c r="A3455" s="4">
        <v>44865.0</v>
      </c>
      <c r="B3455" s="2">
        <v>420663.0</v>
      </c>
      <c r="C3455" s="2">
        <v>3906399.0</v>
      </c>
      <c r="D3455" s="2">
        <v>167.7271</v>
      </c>
    </row>
    <row r="3456">
      <c r="A3456" s="4">
        <v>45143.0</v>
      </c>
      <c r="B3456" s="2">
        <v>420663.0</v>
      </c>
      <c r="C3456" s="2">
        <v>4661259.0</v>
      </c>
      <c r="D3456" s="2">
        <v>72.8950999999999</v>
      </c>
    </row>
    <row r="3457">
      <c r="A3457" s="4">
        <v>44899.0</v>
      </c>
      <c r="B3457" s="2">
        <v>420663.0</v>
      </c>
      <c r="C3457" s="2">
        <v>4007467.0</v>
      </c>
      <c r="D3457" s="2">
        <v>181.3616</v>
      </c>
    </row>
    <row r="3458">
      <c r="A3458" s="4">
        <v>44916.0</v>
      </c>
      <c r="B3458" s="2">
        <v>420663.0</v>
      </c>
      <c r="C3458" s="2">
        <v>4062317.0</v>
      </c>
      <c r="D3458" s="2">
        <v>46.4172</v>
      </c>
    </row>
    <row r="3459">
      <c r="A3459" s="4">
        <v>44925.0</v>
      </c>
      <c r="B3459" s="2">
        <v>420663.0</v>
      </c>
      <c r="C3459" s="2">
        <v>4080003.0</v>
      </c>
      <c r="D3459" s="2">
        <v>69.6383</v>
      </c>
    </row>
    <row r="3460">
      <c r="A3460" s="4">
        <v>44946.0</v>
      </c>
      <c r="B3460" s="2">
        <v>420663.0</v>
      </c>
      <c r="C3460" s="2">
        <v>4146081.0</v>
      </c>
      <c r="D3460" s="2">
        <v>66.4686</v>
      </c>
    </row>
    <row r="3461">
      <c r="A3461" s="4">
        <v>44946.0</v>
      </c>
      <c r="B3461" s="2">
        <v>420663.0</v>
      </c>
      <c r="C3461" s="2">
        <v>4146149.0</v>
      </c>
      <c r="D3461" s="2">
        <v>43.3797999999999</v>
      </c>
    </row>
    <row r="3462">
      <c r="A3462" s="4">
        <v>44964.0</v>
      </c>
      <c r="B3462" s="2">
        <v>420663.0</v>
      </c>
      <c r="C3462" s="2">
        <v>4198283.0</v>
      </c>
      <c r="D3462" s="2">
        <v>75.0904999999999</v>
      </c>
    </row>
    <row r="3463">
      <c r="A3463" s="4">
        <v>45224.0</v>
      </c>
      <c r="B3463" s="2">
        <v>420663.0</v>
      </c>
      <c r="C3463" s="2">
        <v>4891170.0</v>
      </c>
      <c r="D3463" s="2">
        <v>56.972</v>
      </c>
    </row>
    <row r="3464">
      <c r="A3464" s="4">
        <v>44979.0</v>
      </c>
      <c r="B3464" s="2">
        <v>420663.0</v>
      </c>
      <c r="C3464" s="2">
        <v>4236657.0</v>
      </c>
      <c r="D3464" s="2">
        <v>100.1934</v>
      </c>
    </row>
    <row r="3465">
      <c r="A3465" s="4">
        <v>44999.0</v>
      </c>
      <c r="B3465" s="2">
        <v>420663.0</v>
      </c>
      <c r="C3465" s="2">
        <v>4299904.0</v>
      </c>
      <c r="D3465" s="2">
        <v>92.5793999999999</v>
      </c>
    </row>
    <row r="3466">
      <c r="A3466" s="4">
        <v>45019.0</v>
      </c>
      <c r="B3466" s="2">
        <v>420663.0</v>
      </c>
      <c r="C3466" s="2">
        <v>4356049.0</v>
      </c>
      <c r="D3466" s="2">
        <v>154.521399999999</v>
      </c>
    </row>
    <row r="3467">
      <c r="A3467" s="4">
        <v>44769.0</v>
      </c>
      <c r="B3467" s="2">
        <v>420663.0</v>
      </c>
      <c r="C3467" s="2">
        <v>3676825.0</v>
      </c>
      <c r="D3467" s="2">
        <v>198.742899999999</v>
      </c>
    </row>
    <row r="3468">
      <c r="A3468" s="4">
        <v>45058.0</v>
      </c>
      <c r="B3468" s="2">
        <v>420663.0</v>
      </c>
      <c r="C3468" s="2">
        <v>4459813.0</v>
      </c>
      <c r="D3468" s="2">
        <v>196.9888</v>
      </c>
    </row>
    <row r="3469">
      <c r="A3469" s="4">
        <v>44810.0</v>
      </c>
      <c r="B3469" s="2">
        <v>1175373.0</v>
      </c>
      <c r="C3469" s="2">
        <v>3772241.0</v>
      </c>
      <c r="D3469" s="2">
        <v>115.4754</v>
      </c>
    </row>
    <row r="3470">
      <c r="A3470" s="4">
        <v>44824.0</v>
      </c>
      <c r="B3470" s="2">
        <v>1175373.0</v>
      </c>
      <c r="C3470" s="2">
        <v>3805520.0</v>
      </c>
      <c r="D3470" s="2">
        <v>147.552399999999</v>
      </c>
    </row>
    <row r="3471">
      <c r="A3471" s="4">
        <v>44843.0</v>
      </c>
      <c r="B3471" s="2">
        <v>1175373.0</v>
      </c>
      <c r="C3471" s="2">
        <v>3854198.0</v>
      </c>
      <c r="D3471" s="2">
        <v>151.512599999999</v>
      </c>
    </row>
    <row r="3472">
      <c r="A3472" s="4">
        <v>44851.0</v>
      </c>
      <c r="B3472" s="2">
        <v>1175373.0</v>
      </c>
      <c r="C3472" s="2">
        <v>3872862.0</v>
      </c>
      <c r="D3472" s="2">
        <v>111.1253</v>
      </c>
    </row>
    <row r="3473">
      <c r="A3473" s="4">
        <v>44854.0</v>
      </c>
      <c r="B3473" s="2">
        <v>1175373.0</v>
      </c>
      <c r="C3473" s="2">
        <v>3879224.0</v>
      </c>
      <c r="D3473" s="2">
        <v>109.4778</v>
      </c>
    </row>
    <row r="3474">
      <c r="A3474" s="4">
        <v>44858.0</v>
      </c>
      <c r="B3474" s="2">
        <v>1175373.0</v>
      </c>
      <c r="C3474" s="2">
        <v>3887992.0</v>
      </c>
      <c r="D3474" s="2">
        <v>80.17</v>
      </c>
    </row>
    <row r="3475">
      <c r="A3475" s="4">
        <v>44861.0</v>
      </c>
      <c r="B3475" s="2">
        <v>1175373.0</v>
      </c>
      <c r="C3475" s="2">
        <v>3895976.0</v>
      </c>
      <c r="D3475" s="2">
        <v>83.2350999999999</v>
      </c>
    </row>
    <row r="3476">
      <c r="A3476" s="4">
        <v>44872.0</v>
      </c>
      <c r="B3476" s="2">
        <v>1175373.0</v>
      </c>
      <c r="C3476" s="2">
        <v>3924803.0</v>
      </c>
      <c r="D3476" s="2">
        <v>119.2607</v>
      </c>
    </row>
    <row r="3477">
      <c r="A3477" s="4">
        <v>44879.0</v>
      </c>
      <c r="B3477" s="2">
        <v>1175373.0</v>
      </c>
      <c r="C3477" s="2">
        <v>3944236.0</v>
      </c>
      <c r="D3477" s="2">
        <v>100.7936</v>
      </c>
    </row>
    <row r="3478">
      <c r="A3478" s="4">
        <v>44881.0</v>
      </c>
      <c r="B3478" s="2">
        <v>1175373.0</v>
      </c>
      <c r="C3478" s="2">
        <v>3950017.0</v>
      </c>
      <c r="D3478" s="2">
        <v>82.727</v>
      </c>
    </row>
    <row r="3479">
      <c r="A3479" s="4">
        <v>44892.0</v>
      </c>
      <c r="B3479" s="2">
        <v>1175373.0</v>
      </c>
      <c r="C3479" s="2">
        <v>3985402.0</v>
      </c>
      <c r="D3479" s="2">
        <v>173.7796</v>
      </c>
    </row>
    <row r="3480">
      <c r="A3480" s="4">
        <v>44901.0</v>
      </c>
      <c r="B3480" s="2">
        <v>1175373.0</v>
      </c>
      <c r="C3480" s="2">
        <v>4016138.0</v>
      </c>
      <c r="D3480" s="2">
        <v>99.4999</v>
      </c>
    </row>
    <row r="3481">
      <c r="A3481" s="4">
        <v>44903.0</v>
      </c>
      <c r="B3481" s="2">
        <v>1175373.0</v>
      </c>
      <c r="C3481" s="2">
        <v>4021571.0</v>
      </c>
      <c r="D3481" s="2">
        <v>71.486</v>
      </c>
    </row>
    <row r="3482">
      <c r="A3482" s="4">
        <v>44909.0</v>
      </c>
      <c r="B3482" s="2">
        <v>1175373.0</v>
      </c>
      <c r="C3482" s="2">
        <v>4040917.0</v>
      </c>
      <c r="D3482" s="2">
        <v>167.8524</v>
      </c>
    </row>
    <row r="3483">
      <c r="A3483" s="4">
        <v>44913.0</v>
      </c>
      <c r="B3483" s="2">
        <v>1175373.0</v>
      </c>
      <c r="C3483" s="2">
        <v>4054631.0</v>
      </c>
      <c r="D3483" s="2">
        <v>87.1691</v>
      </c>
    </row>
    <row r="3484">
      <c r="A3484" s="4">
        <v>44933.0</v>
      </c>
      <c r="B3484" s="2">
        <v>1175373.0</v>
      </c>
      <c r="C3484" s="2">
        <v>4103014.0</v>
      </c>
      <c r="D3484" s="2">
        <v>96.2587999999999</v>
      </c>
    </row>
    <row r="3485">
      <c r="A3485" s="4">
        <v>44943.0</v>
      </c>
      <c r="B3485" s="2">
        <v>1175373.0</v>
      </c>
      <c r="C3485" s="2">
        <v>4138052.0</v>
      </c>
      <c r="D3485" s="2">
        <v>80.1515</v>
      </c>
    </row>
    <row r="3486">
      <c r="A3486" s="4">
        <v>44765.0</v>
      </c>
      <c r="B3486" s="2">
        <v>1175373.0</v>
      </c>
      <c r="C3486" s="2">
        <v>3665430.0</v>
      </c>
      <c r="D3486" s="2">
        <v>173.446599999999</v>
      </c>
    </row>
    <row r="3487">
      <c r="A3487" s="4">
        <v>44768.0</v>
      </c>
      <c r="B3487" s="2">
        <v>1175373.0</v>
      </c>
      <c r="C3487" s="2">
        <v>3673217.0</v>
      </c>
      <c r="D3487" s="2">
        <v>143.683299999999</v>
      </c>
    </row>
    <row r="3488">
      <c r="A3488" s="4">
        <v>44775.0</v>
      </c>
      <c r="B3488" s="2">
        <v>1175373.0</v>
      </c>
      <c r="C3488" s="2">
        <v>3689369.0</v>
      </c>
      <c r="D3488" s="2">
        <v>83.861</v>
      </c>
    </row>
    <row r="3489">
      <c r="A3489" s="4">
        <v>44811.0</v>
      </c>
      <c r="B3489" s="2">
        <v>417363.0</v>
      </c>
      <c r="C3489" s="2">
        <v>3774745.0</v>
      </c>
      <c r="D3489" s="2">
        <v>70.7465</v>
      </c>
    </row>
    <row r="3490">
      <c r="A3490" s="4">
        <v>45067.0</v>
      </c>
      <c r="B3490" s="2">
        <v>417363.0</v>
      </c>
      <c r="C3490" s="2">
        <v>4484403.0</v>
      </c>
      <c r="D3490" s="2">
        <v>69.1297</v>
      </c>
    </row>
    <row r="3491">
      <c r="A3491" s="4">
        <v>45073.0</v>
      </c>
      <c r="B3491" s="2">
        <v>417363.0</v>
      </c>
      <c r="C3491" s="2">
        <v>4497369.0</v>
      </c>
      <c r="D3491" s="2">
        <v>71.296</v>
      </c>
    </row>
    <row r="3492">
      <c r="A3492" s="4">
        <v>44820.0</v>
      </c>
      <c r="B3492" s="2">
        <v>417363.0</v>
      </c>
      <c r="C3492" s="2">
        <v>3796257.0</v>
      </c>
      <c r="D3492" s="2">
        <v>72.5172999999999</v>
      </c>
    </row>
    <row r="3493">
      <c r="A3493" s="4">
        <v>44832.0</v>
      </c>
      <c r="B3493" s="2">
        <v>417363.0</v>
      </c>
      <c r="C3493" s="2">
        <v>3824969.0</v>
      </c>
      <c r="D3493" s="2">
        <v>57.0291</v>
      </c>
    </row>
    <row r="3494">
      <c r="A3494" s="4">
        <v>44834.0</v>
      </c>
      <c r="B3494" s="2">
        <v>417363.0</v>
      </c>
      <c r="C3494" s="2">
        <v>3828355.0</v>
      </c>
      <c r="D3494" s="2">
        <v>71.2307999999999</v>
      </c>
    </row>
    <row r="3495">
      <c r="A3495" s="4">
        <v>45095.0</v>
      </c>
      <c r="B3495" s="2">
        <v>417363.0</v>
      </c>
      <c r="C3495" s="2">
        <v>4547619.0</v>
      </c>
      <c r="D3495" s="2">
        <v>94.4086</v>
      </c>
    </row>
    <row r="3496">
      <c r="A3496" s="4">
        <v>45097.0</v>
      </c>
      <c r="B3496" s="2">
        <v>417363.0</v>
      </c>
      <c r="C3496" s="2">
        <v>4552203.0</v>
      </c>
      <c r="D3496" s="2">
        <v>63.8643999999999</v>
      </c>
    </row>
    <row r="3497">
      <c r="A3497" s="4">
        <v>44842.0</v>
      </c>
      <c r="B3497" s="2">
        <v>417363.0</v>
      </c>
      <c r="C3497" s="2">
        <v>3851144.0</v>
      </c>
      <c r="D3497" s="2">
        <v>73.9998999999999</v>
      </c>
    </row>
    <row r="3498">
      <c r="A3498" s="4">
        <v>44854.0</v>
      </c>
      <c r="B3498" s="2">
        <v>417363.0</v>
      </c>
      <c r="C3498" s="2">
        <v>3879235.0</v>
      </c>
      <c r="D3498" s="2">
        <v>69.94</v>
      </c>
    </row>
    <row r="3499">
      <c r="A3499" s="4">
        <v>44862.0</v>
      </c>
      <c r="B3499" s="2">
        <v>417363.0</v>
      </c>
      <c r="C3499" s="2">
        <v>3898680.0</v>
      </c>
      <c r="D3499" s="2">
        <v>73.126</v>
      </c>
    </row>
    <row r="3500">
      <c r="A3500" s="4">
        <v>45118.0</v>
      </c>
      <c r="B3500" s="2">
        <v>417363.0</v>
      </c>
      <c r="C3500" s="2">
        <v>4604703.0</v>
      </c>
      <c r="D3500" s="2">
        <v>67.581</v>
      </c>
    </row>
    <row r="3501">
      <c r="A3501" s="4">
        <v>45128.0</v>
      </c>
      <c r="B3501" s="2">
        <v>417363.0</v>
      </c>
      <c r="C3501" s="2">
        <v>4624210.0</v>
      </c>
      <c r="D3501" s="2">
        <v>65.3117</v>
      </c>
    </row>
    <row r="3502">
      <c r="A3502" s="4">
        <v>45131.0</v>
      </c>
      <c r="B3502" s="2">
        <v>417363.0</v>
      </c>
      <c r="C3502" s="2">
        <v>4632685.0</v>
      </c>
      <c r="D3502" s="2">
        <v>71.9111</v>
      </c>
    </row>
    <row r="3503">
      <c r="A3503" s="4">
        <v>44877.0</v>
      </c>
      <c r="B3503" s="2">
        <v>417363.0</v>
      </c>
      <c r="C3503" s="2">
        <v>3936874.0</v>
      </c>
      <c r="D3503" s="2">
        <v>68.8265</v>
      </c>
    </row>
    <row r="3504">
      <c r="A3504" s="4">
        <v>44878.0</v>
      </c>
      <c r="B3504" s="2">
        <v>417363.0</v>
      </c>
      <c r="C3504" s="2">
        <v>3939910.0</v>
      </c>
      <c r="D3504" s="2">
        <v>50.8135999999999</v>
      </c>
    </row>
    <row r="3505">
      <c r="A3505" s="4">
        <v>44884.0</v>
      </c>
      <c r="B3505" s="2">
        <v>417363.0</v>
      </c>
      <c r="C3505" s="2">
        <v>3956029.0</v>
      </c>
      <c r="D3505" s="2">
        <v>71.3318</v>
      </c>
    </row>
    <row r="3506">
      <c r="A3506" s="4">
        <v>45146.0</v>
      </c>
      <c r="B3506" s="2">
        <v>417363.0</v>
      </c>
      <c r="C3506" s="2">
        <v>4670665.0</v>
      </c>
      <c r="D3506" s="2">
        <v>67.6104999999999</v>
      </c>
    </row>
    <row r="3507">
      <c r="A3507" s="4">
        <v>44912.0</v>
      </c>
      <c r="B3507" s="2">
        <v>417363.0</v>
      </c>
      <c r="C3507" s="2">
        <v>4051694.0</v>
      </c>
      <c r="D3507" s="2">
        <v>72.9901</v>
      </c>
    </row>
    <row r="3508">
      <c r="A3508" s="4">
        <v>45175.0</v>
      </c>
      <c r="B3508" s="2">
        <v>417363.0</v>
      </c>
      <c r="C3508" s="2">
        <v>4738832.0</v>
      </c>
      <c r="D3508" s="2">
        <v>70.7565999999999</v>
      </c>
    </row>
    <row r="3509">
      <c r="A3509" s="4">
        <v>45179.0</v>
      </c>
      <c r="B3509" s="2">
        <v>417363.0</v>
      </c>
      <c r="C3509" s="2">
        <v>4748500.0</v>
      </c>
      <c r="D3509" s="2">
        <v>70.4609</v>
      </c>
    </row>
    <row r="3510">
      <c r="A3510" s="4">
        <v>44931.0</v>
      </c>
      <c r="B3510" s="2">
        <v>417363.0</v>
      </c>
      <c r="C3510" s="2">
        <v>4097192.0</v>
      </c>
      <c r="D3510" s="2">
        <v>73.0399</v>
      </c>
    </row>
    <row r="3511">
      <c r="A3511" s="4">
        <v>44944.0</v>
      </c>
      <c r="B3511" s="2">
        <v>417363.0</v>
      </c>
      <c r="C3511" s="2">
        <v>4140565.0</v>
      </c>
      <c r="D3511" s="2">
        <v>121.275999999999</v>
      </c>
    </row>
    <row r="3512">
      <c r="A3512" s="4">
        <v>45208.0</v>
      </c>
      <c r="B3512" s="2">
        <v>417363.0</v>
      </c>
      <c r="C3512" s="2">
        <v>4831213.0</v>
      </c>
      <c r="D3512" s="2">
        <v>65.938</v>
      </c>
    </row>
    <row r="3513">
      <c r="A3513" s="4">
        <v>44963.0</v>
      </c>
      <c r="B3513" s="2">
        <v>417363.0</v>
      </c>
      <c r="C3513" s="2">
        <v>4196582.0</v>
      </c>
      <c r="D3513" s="2">
        <v>67.7359</v>
      </c>
    </row>
    <row r="3514">
      <c r="A3514" s="4">
        <v>45220.0</v>
      </c>
      <c r="B3514" s="2">
        <v>417363.0</v>
      </c>
      <c r="C3514" s="2">
        <v>4864437.0</v>
      </c>
      <c r="D3514" s="2">
        <v>69.3319999999999</v>
      </c>
    </row>
    <row r="3515">
      <c r="A3515" s="4">
        <v>45233.0</v>
      </c>
      <c r="B3515" s="2">
        <v>417363.0</v>
      </c>
      <c r="C3515" s="2">
        <v>4972833.0</v>
      </c>
      <c r="D3515" s="2">
        <v>65.7184</v>
      </c>
    </row>
    <row r="3516">
      <c r="A3516" s="4">
        <v>45235.0</v>
      </c>
      <c r="B3516" s="2">
        <v>417363.0</v>
      </c>
      <c r="C3516" s="2">
        <v>5006517.0</v>
      </c>
      <c r="D3516" s="2">
        <v>64.2804</v>
      </c>
    </row>
    <row r="3517">
      <c r="A3517" s="4">
        <v>44980.0</v>
      </c>
      <c r="B3517" s="2">
        <v>417363.0</v>
      </c>
      <c r="C3517" s="2">
        <v>4240277.0</v>
      </c>
      <c r="D3517" s="2">
        <v>66.9947</v>
      </c>
    </row>
    <row r="3518">
      <c r="A3518" s="4">
        <v>44981.0</v>
      </c>
      <c r="B3518" s="2">
        <v>417363.0</v>
      </c>
      <c r="C3518" s="2">
        <v>4243265.0</v>
      </c>
      <c r="D3518" s="2">
        <v>74.9134</v>
      </c>
    </row>
    <row r="3519">
      <c r="A3519" s="4">
        <v>45237.0</v>
      </c>
      <c r="B3519" s="2">
        <v>417363.0</v>
      </c>
      <c r="C3519" s="2">
        <v>5024655.0</v>
      </c>
      <c r="D3519" s="2">
        <v>73.1394</v>
      </c>
    </row>
    <row r="3520">
      <c r="A3520" s="4">
        <v>45245.0</v>
      </c>
      <c r="B3520" s="2">
        <v>417363.0</v>
      </c>
      <c r="C3520" s="2">
        <v>5104788.0</v>
      </c>
      <c r="D3520" s="2">
        <v>69.3839</v>
      </c>
    </row>
    <row r="3521">
      <c r="A3521" s="4">
        <v>45251.0</v>
      </c>
      <c r="B3521" s="2">
        <v>417363.0</v>
      </c>
      <c r="C3521" s="2">
        <v>5170956.0</v>
      </c>
      <c r="D3521" s="2">
        <v>70.2244</v>
      </c>
    </row>
    <row r="3522">
      <c r="A3522" s="4">
        <v>45252.0</v>
      </c>
      <c r="B3522" s="2">
        <v>417363.0</v>
      </c>
      <c r="C3522" s="2">
        <v>5180319.0</v>
      </c>
      <c r="D3522" s="2">
        <v>67.8438</v>
      </c>
    </row>
    <row r="3523">
      <c r="A3523" s="4">
        <v>45000.0</v>
      </c>
      <c r="B3523" s="2">
        <v>417363.0</v>
      </c>
      <c r="C3523" s="2">
        <v>4301393.0</v>
      </c>
      <c r="D3523" s="2">
        <v>103.89</v>
      </c>
    </row>
    <row r="3524">
      <c r="A3524" s="4">
        <v>45004.0</v>
      </c>
      <c r="B3524" s="2">
        <v>417363.0</v>
      </c>
      <c r="C3524" s="2">
        <v>4313694.0</v>
      </c>
      <c r="D3524" s="2">
        <v>76.5332999999999</v>
      </c>
    </row>
    <row r="3525">
      <c r="A3525" s="4">
        <v>45267.0</v>
      </c>
      <c r="B3525" s="2">
        <v>417363.0</v>
      </c>
      <c r="C3525" s="2">
        <v>5288973.0</v>
      </c>
      <c r="D3525" s="2">
        <v>71.8682</v>
      </c>
    </row>
    <row r="3526">
      <c r="A3526" s="4">
        <v>45268.0</v>
      </c>
      <c r="B3526" s="2">
        <v>417363.0</v>
      </c>
      <c r="C3526" s="2">
        <v>5291885.0</v>
      </c>
      <c r="D3526" s="2">
        <v>67.8769</v>
      </c>
    </row>
    <row r="3527">
      <c r="A3527" s="4">
        <v>45269.0</v>
      </c>
      <c r="B3527" s="2">
        <v>417363.0</v>
      </c>
      <c r="C3527" s="2">
        <v>5294840.0</v>
      </c>
      <c r="D3527" s="2">
        <v>67.2851</v>
      </c>
    </row>
    <row r="3528">
      <c r="A3528" s="4">
        <v>45015.0</v>
      </c>
      <c r="B3528" s="2">
        <v>417363.0</v>
      </c>
      <c r="C3528" s="2">
        <v>4342660.0</v>
      </c>
      <c r="D3528" s="2">
        <v>75.8679999999999</v>
      </c>
    </row>
    <row r="3529">
      <c r="A3529" s="4">
        <v>44763.0</v>
      </c>
      <c r="B3529" s="2">
        <v>417363.0</v>
      </c>
      <c r="C3529" s="2">
        <v>3661709.0</v>
      </c>
      <c r="D3529" s="2">
        <v>69.2727999999999</v>
      </c>
    </row>
    <row r="3530">
      <c r="A3530" s="4">
        <v>45276.0</v>
      </c>
      <c r="B3530" s="2">
        <v>417363.0</v>
      </c>
      <c r="C3530" s="2">
        <v>5324312.0</v>
      </c>
      <c r="D3530" s="2">
        <v>65.6477</v>
      </c>
    </row>
    <row r="3531">
      <c r="A3531" s="4">
        <v>45027.0</v>
      </c>
      <c r="B3531" s="2">
        <v>417363.0</v>
      </c>
      <c r="C3531" s="2">
        <v>4379532.0</v>
      </c>
      <c r="D3531" s="2">
        <v>72.4387</v>
      </c>
    </row>
    <row r="3532">
      <c r="A3532" s="4">
        <v>45037.0</v>
      </c>
      <c r="B3532" s="2">
        <v>417363.0</v>
      </c>
      <c r="C3532" s="2">
        <v>4404400.0</v>
      </c>
      <c r="D3532" s="2">
        <v>63.6502</v>
      </c>
    </row>
    <row r="3533">
      <c r="A3533" s="4">
        <v>45037.0</v>
      </c>
      <c r="B3533" s="2">
        <v>417363.0</v>
      </c>
      <c r="C3533" s="2">
        <v>4404707.0</v>
      </c>
      <c r="D3533" s="2">
        <v>67.6328999999999</v>
      </c>
    </row>
    <row r="3534">
      <c r="A3534" s="4">
        <v>44785.0</v>
      </c>
      <c r="B3534" s="2">
        <v>417363.0</v>
      </c>
      <c r="C3534" s="2">
        <v>3710906.0</v>
      </c>
      <c r="D3534" s="2">
        <v>73.7431</v>
      </c>
    </row>
    <row r="3535">
      <c r="A3535" s="4">
        <v>45043.0</v>
      </c>
      <c r="B3535" s="2">
        <v>417363.0</v>
      </c>
      <c r="C3535" s="2">
        <v>4419805.0</v>
      </c>
      <c r="D3535" s="2">
        <v>72.9523999999999</v>
      </c>
    </row>
    <row r="3536">
      <c r="A3536" s="4">
        <v>44790.0</v>
      </c>
      <c r="B3536" s="2">
        <v>417363.0</v>
      </c>
      <c r="C3536" s="2">
        <v>3720817.0</v>
      </c>
      <c r="D3536" s="2">
        <v>68.3326</v>
      </c>
    </row>
    <row r="3537">
      <c r="A3537" s="4">
        <v>44795.0</v>
      </c>
      <c r="B3537" s="2">
        <v>417363.0</v>
      </c>
      <c r="C3537" s="2">
        <v>3731471.0</v>
      </c>
      <c r="D3537" s="2">
        <v>71.2641</v>
      </c>
    </row>
    <row r="3538">
      <c r="A3538" s="4">
        <v>44797.0</v>
      </c>
      <c r="B3538" s="2">
        <v>417363.0</v>
      </c>
      <c r="C3538" s="2">
        <v>3736468.0</v>
      </c>
      <c r="D3538" s="2">
        <v>70.1422999999999</v>
      </c>
    </row>
    <row r="3539">
      <c r="A3539" s="4">
        <v>44799.0</v>
      </c>
      <c r="B3539" s="2">
        <v>417363.0</v>
      </c>
      <c r="C3539" s="2">
        <v>3741089.0</v>
      </c>
      <c r="D3539" s="2">
        <v>236.6944</v>
      </c>
    </row>
    <row r="3540">
      <c r="A3540" s="4">
        <v>45056.0</v>
      </c>
      <c r="B3540" s="2">
        <v>417363.0</v>
      </c>
      <c r="C3540" s="2">
        <v>4455910.0</v>
      </c>
      <c r="D3540" s="2">
        <v>79.5905999999999</v>
      </c>
    </row>
    <row r="3541">
      <c r="A3541" s="4">
        <v>45056.0</v>
      </c>
      <c r="B3541" s="2">
        <v>417363.0</v>
      </c>
      <c r="C3541" s="2">
        <v>4456550.0</v>
      </c>
      <c r="D3541" s="2">
        <v>74.6467</v>
      </c>
    </row>
    <row r="3542">
      <c r="A3542" s="4">
        <v>44807.0</v>
      </c>
      <c r="B3542" s="2">
        <v>1186413.0</v>
      </c>
      <c r="C3542" s="2">
        <v>3762313.0</v>
      </c>
      <c r="D3542" s="2">
        <v>91.2766999999999</v>
      </c>
    </row>
    <row r="3543">
      <c r="A3543" s="4">
        <v>45068.0</v>
      </c>
      <c r="B3543" s="2">
        <v>1186413.0</v>
      </c>
      <c r="C3543" s="2">
        <v>4486739.0</v>
      </c>
      <c r="D3543" s="2">
        <v>82.5162</v>
      </c>
    </row>
    <row r="3544">
      <c r="A3544" s="4">
        <v>44828.0</v>
      </c>
      <c r="B3544" s="2">
        <v>1186413.0</v>
      </c>
      <c r="C3544" s="2">
        <v>3814672.0</v>
      </c>
      <c r="D3544" s="2">
        <v>68.9217</v>
      </c>
    </row>
    <row r="3545">
      <c r="A3545" s="4">
        <v>44844.0</v>
      </c>
      <c r="B3545" s="2">
        <v>1186413.0</v>
      </c>
      <c r="C3545" s="2">
        <v>3856838.0</v>
      </c>
      <c r="D3545" s="2">
        <v>216.6261</v>
      </c>
    </row>
    <row r="3546">
      <c r="A3546" s="4">
        <v>44867.0</v>
      </c>
      <c r="B3546" s="2">
        <v>1186413.0</v>
      </c>
      <c r="C3546" s="2">
        <v>3911326.0</v>
      </c>
      <c r="D3546" s="2">
        <v>106.8102</v>
      </c>
    </row>
    <row r="3547">
      <c r="A3547" s="4">
        <v>44877.0</v>
      </c>
      <c r="B3547" s="2">
        <v>1186413.0</v>
      </c>
      <c r="C3547" s="2">
        <v>3937283.0</v>
      </c>
      <c r="D3547" s="2">
        <v>87.6198</v>
      </c>
    </row>
    <row r="3548">
      <c r="A3548" s="4">
        <v>44893.0</v>
      </c>
      <c r="B3548" s="2">
        <v>1186413.0</v>
      </c>
      <c r="C3548" s="2">
        <v>3988853.0</v>
      </c>
      <c r="D3548" s="2">
        <v>82.5588</v>
      </c>
    </row>
    <row r="3549">
      <c r="A3549" s="4">
        <v>44908.0</v>
      </c>
      <c r="B3549" s="2">
        <v>1186413.0</v>
      </c>
      <c r="C3549" s="2">
        <v>4040350.0</v>
      </c>
      <c r="D3549" s="2">
        <v>103.8015</v>
      </c>
    </row>
    <row r="3550">
      <c r="A3550" s="4">
        <v>44909.0</v>
      </c>
      <c r="B3550" s="2">
        <v>1186413.0</v>
      </c>
      <c r="C3550" s="2">
        <v>4042556.0</v>
      </c>
      <c r="D3550" s="2">
        <v>75.8300999999999</v>
      </c>
    </row>
    <row r="3551">
      <c r="A3551" s="4">
        <v>44938.0</v>
      </c>
      <c r="B3551" s="2">
        <v>1186413.0</v>
      </c>
      <c r="C3551" s="2">
        <v>4120155.0</v>
      </c>
      <c r="D3551" s="2">
        <v>67.9087</v>
      </c>
    </row>
    <row r="3552">
      <c r="A3552" s="4">
        <v>45215.0</v>
      </c>
      <c r="B3552" s="2">
        <v>1186413.0</v>
      </c>
      <c r="C3552" s="2">
        <v>4852458.0</v>
      </c>
      <c r="D3552" s="2">
        <v>159.8816</v>
      </c>
    </row>
    <row r="3553">
      <c r="A3553" s="4">
        <v>44963.0</v>
      </c>
      <c r="B3553" s="2">
        <v>1186413.0</v>
      </c>
      <c r="C3553" s="2">
        <v>4197675.0</v>
      </c>
      <c r="D3553" s="2">
        <v>99.0256</v>
      </c>
    </row>
    <row r="3554">
      <c r="A3554" s="4">
        <v>44976.0</v>
      </c>
      <c r="B3554" s="2">
        <v>1186413.0</v>
      </c>
      <c r="C3554" s="2">
        <v>4229473.0</v>
      </c>
      <c r="D3554" s="2">
        <v>81.8066</v>
      </c>
    </row>
    <row r="3555">
      <c r="A3555" s="4">
        <v>45237.0</v>
      </c>
      <c r="B3555" s="2">
        <v>1186413.0</v>
      </c>
      <c r="C3555" s="2">
        <v>5023650.0</v>
      </c>
      <c r="D3555" s="2">
        <v>98.3179</v>
      </c>
    </row>
    <row r="3556">
      <c r="A3556" s="4">
        <v>45256.0</v>
      </c>
      <c r="B3556" s="2">
        <v>1186413.0</v>
      </c>
      <c r="C3556" s="2">
        <v>5238183.0</v>
      </c>
      <c r="D3556" s="2">
        <v>124.94</v>
      </c>
    </row>
    <row r="3557">
      <c r="A3557" s="4">
        <v>45001.0</v>
      </c>
      <c r="B3557" s="2">
        <v>1186413.0</v>
      </c>
      <c r="C3557" s="2">
        <v>4303321.0</v>
      </c>
      <c r="D3557" s="2">
        <v>111.7981</v>
      </c>
    </row>
    <row r="3558">
      <c r="A3558" s="4">
        <v>45011.0</v>
      </c>
      <c r="B3558" s="2">
        <v>1186413.0</v>
      </c>
      <c r="C3558" s="2">
        <v>4332007.0</v>
      </c>
      <c r="D3558" s="2">
        <v>78.7249</v>
      </c>
    </row>
    <row r="3559">
      <c r="A3559" s="4">
        <v>45045.0</v>
      </c>
      <c r="B3559" s="2">
        <v>1186413.0</v>
      </c>
      <c r="C3559" s="2">
        <v>4423373.0</v>
      </c>
      <c r="D3559" s="2">
        <v>66.9784</v>
      </c>
    </row>
    <row r="3560">
      <c r="A3560" s="4">
        <v>45045.0</v>
      </c>
      <c r="B3560" s="2">
        <v>1186413.0</v>
      </c>
      <c r="C3560" s="2">
        <v>4423972.0</v>
      </c>
      <c r="D3560" s="2">
        <v>76.4621</v>
      </c>
    </row>
    <row r="3561">
      <c r="A3561" s="4">
        <v>44795.0</v>
      </c>
      <c r="B3561" s="2">
        <v>1186413.0</v>
      </c>
      <c r="C3561" s="2">
        <v>3731728.0</v>
      </c>
      <c r="D3561" s="2">
        <v>92.5286</v>
      </c>
    </row>
    <row r="3562">
      <c r="A3562" s="4">
        <v>45071.0</v>
      </c>
      <c r="B3562" s="2">
        <v>422523.0</v>
      </c>
      <c r="C3562" s="2">
        <v>4492918.0</v>
      </c>
      <c r="D3562" s="2">
        <v>87.1445</v>
      </c>
    </row>
    <row r="3563">
      <c r="A3563" s="4">
        <v>45089.0</v>
      </c>
      <c r="B3563" s="2">
        <v>422523.0</v>
      </c>
      <c r="C3563" s="2">
        <v>4537311.0</v>
      </c>
      <c r="D3563" s="2">
        <v>75.1868</v>
      </c>
    </row>
    <row r="3564">
      <c r="A3564" s="4">
        <v>45096.0</v>
      </c>
      <c r="B3564" s="2">
        <v>422523.0</v>
      </c>
      <c r="C3564" s="2">
        <v>4550697.0</v>
      </c>
      <c r="D3564" s="2">
        <v>98.1221</v>
      </c>
    </row>
    <row r="3565">
      <c r="A3565" s="4">
        <v>45102.0</v>
      </c>
      <c r="B3565" s="2">
        <v>422523.0</v>
      </c>
      <c r="C3565" s="2">
        <v>4562518.0</v>
      </c>
      <c r="D3565" s="2">
        <v>93.289</v>
      </c>
    </row>
    <row r="3566">
      <c r="A3566" s="4">
        <v>45117.0</v>
      </c>
      <c r="B3566" s="2">
        <v>422523.0</v>
      </c>
      <c r="C3566" s="2">
        <v>4603651.0</v>
      </c>
      <c r="D3566" s="2">
        <v>95.6868</v>
      </c>
    </row>
    <row r="3567">
      <c r="A3567" s="4">
        <v>45137.0</v>
      </c>
      <c r="B3567" s="2">
        <v>422523.0</v>
      </c>
      <c r="C3567" s="2">
        <v>4647629.0</v>
      </c>
      <c r="D3567" s="2">
        <v>120.5072</v>
      </c>
    </row>
    <row r="3568">
      <c r="A3568" s="4">
        <v>45150.0</v>
      </c>
      <c r="B3568" s="2">
        <v>422523.0</v>
      </c>
      <c r="C3568" s="2">
        <v>4679246.0</v>
      </c>
      <c r="D3568" s="2">
        <v>72.6238</v>
      </c>
    </row>
    <row r="3569">
      <c r="A3569" s="4">
        <v>45183.0</v>
      </c>
      <c r="B3569" s="2">
        <v>422523.0</v>
      </c>
      <c r="C3569" s="2">
        <v>4760895.0</v>
      </c>
      <c r="D3569" s="2">
        <v>180.6167</v>
      </c>
    </row>
    <row r="3570">
      <c r="A3570" s="4">
        <v>45196.0</v>
      </c>
      <c r="B3570" s="2">
        <v>422523.0</v>
      </c>
      <c r="C3570" s="2">
        <v>4795300.0</v>
      </c>
      <c r="D3570" s="2">
        <v>114.824099999999</v>
      </c>
    </row>
    <row r="3571">
      <c r="A3571" s="4">
        <v>45221.0</v>
      </c>
      <c r="B3571" s="2">
        <v>422523.0</v>
      </c>
      <c r="C3571" s="2">
        <v>4869610.0</v>
      </c>
      <c r="D3571" s="2">
        <v>74.1725</v>
      </c>
    </row>
    <row r="3572">
      <c r="A3572" s="4">
        <v>44975.0</v>
      </c>
      <c r="B3572" s="2">
        <v>422523.0</v>
      </c>
      <c r="C3572" s="2">
        <v>4225848.0</v>
      </c>
      <c r="D3572" s="2">
        <v>66.8938</v>
      </c>
    </row>
    <row r="3573">
      <c r="A3573" s="4">
        <v>44990.0</v>
      </c>
      <c r="B3573" s="2">
        <v>422523.0</v>
      </c>
      <c r="C3573" s="2">
        <v>4271257.0</v>
      </c>
      <c r="D3573" s="2">
        <v>71.4564</v>
      </c>
    </row>
    <row r="3574">
      <c r="A3574" s="4">
        <v>44996.0</v>
      </c>
      <c r="B3574" s="2">
        <v>422523.0</v>
      </c>
      <c r="C3574" s="2">
        <v>4288231.0</v>
      </c>
      <c r="D3574" s="2">
        <v>78.9009999999999</v>
      </c>
    </row>
    <row r="3575">
      <c r="A3575" s="4">
        <v>45000.0</v>
      </c>
      <c r="B3575" s="2">
        <v>422523.0</v>
      </c>
      <c r="C3575" s="2">
        <v>4301065.0</v>
      </c>
      <c r="D3575" s="2">
        <v>80.4897</v>
      </c>
    </row>
    <row r="3576">
      <c r="A3576" s="4">
        <v>45264.0</v>
      </c>
      <c r="B3576" s="2">
        <v>422523.0</v>
      </c>
      <c r="C3576" s="2">
        <v>5277691.0</v>
      </c>
      <c r="D3576" s="2">
        <v>133.705</v>
      </c>
    </row>
    <row r="3577">
      <c r="A3577" s="4">
        <v>45009.0</v>
      </c>
      <c r="B3577" s="2">
        <v>422523.0</v>
      </c>
      <c r="C3577" s="2">
        <v>4326041.0</v>
      </c>
      <c r="D3577" s="2">
        <v>68.5836</v>
      </c>
    </row>
    <row r="3578">
      <c r="A3578" s="4">
        <v>45013.0</v>
      </c>
      <c r="B3578" s="2">
        <v>422523.0</v>
      </c>
      <c r="C3578" s="2">
        <v>4337072.0</v>
      </c>
      <c r="D3578" s="2">
        <v>88.7779999999999</v>
      </c>
    </row>
    <row r="3579">
      <c r="A3579" s="4">
        <v>45013.0</v>
      </c>
      <c r="B3579" s="2">
        <v>422523.0</v>
      </c>
      <c r="C3579" s="2">
        <v>4337175.0</v>
      </c>
      <c r="D3579" s="2">
        <v>75.4316</v>
      </c>
    </row>
    <row r="3580">
      <c r="A3580" s="4">
        <v>45026.0</v>
      </c>
      <c r="B3580" s="2">
        <v>422523.0</v>
      </c>
      <c r="C3580" s="2">
        <v>4376418.0</v>
      </c>
      <c r="D3580" s="2">
        <v>12.4167</v>
      </c>
    </row>
    <row r="3581">
      <c r="A3581" s="4">
        <v>45026.0</v>
      </c>
      <c r="B3581" s="2">
        <v>422523.0</v>
      </c>
      <c r="C3581" s="2">
        <v>4376557.0</v>
      </c>
      <c r="D3581" s="2">
        <v>72.6839</v>
      </c>
    </row>
    <row r="3582">
      <c r="A3582" s="4">
        <v>45036.0</v>
      </c>
      <c r="B3582" s="2">
        <v>422523.0</v>
      </c>
      <c r="C3582" s="2">
        <v>4402867.0</v>
      </c>
      <c r="D3582" s="2">
        <v>74.1203</v>
      </c>
    </row>
    <row r="3583">
      <c r="A3583" s="4">
        <v>45048.0</v>
      </c>
      <c r="B3583" s="2">
        <v>422523.0</v>
      </c>
      <c r="C3583" s="2">
        <v>4434950.0</v>
      </c>
      <c r="D3583" s="2">
        <v>78.588</v>
      </c>
    </row>
    <row r="3584">
      <c r="A3584" s="4">
        <v>45055.0</v>
      </c>
      <c r="B3584" s="2">
        <v>422523.0</v>
      </c>
      <c r="C3584" s="2">
        <v>4451577.0</v>
      </c>
      <c r="D3584" s="2">
        <v>138.5412</v>
      </c>
    </row>
    <row r="3585">
      <c r="A3585" s="4">
        <v>44804.0</v>
      </c>
      <c r="B3585" s="2">
        <v>1230213.0</v>
      </c>
      <c r="C3585" s="2">
        <v>3755840.0</v>
      </c>
      <c r="D3585" s="2">
        <v>104.4945</v>
      </c>
    </row>
    <row r="3586">
      <c r="A3586" s="4">
        <v>45096.0</v>
      </c>
      <c r="B3586" s="2">
        <v>1230213.0</v>
      </c>
      <c r="C3586" s="2">
        <v>4550465.0</v>
      </c>
      <c r="D3586" s="2">
        <v>117.975499999999</v>
      </c>
    </row>
    <row r="3587">
      <c r="A3587" s="4">
        <v>44842.0</v>
      </c>
      <c r="B3587" s="2">
        <v>1230213.0</v>
      </c>
      <c r="C3587" s="2">
        <v>3852461.0</v>
      </c>
      <c r="D3587" s="2">
        <v>92.4136</v>
      </c>
    </row>
    <row r="3588">
      <c r="A3588" s="4">
        <v>44863.0</v>
      </c>
      <c r="B3588" s="2">
        <v>1230213.0</v>
      </c>
      <c r="C3588" s="2">
        <v>3899779.0</v>
      </c>
      <c r="D3588" s="2">
        <v>87.2911</v>
      </c>
    </row>
    <row r="3589">
      <c r="A3589" s="4">
        <v>44880.0</v>
      </c>
      <c r="B3589" s="2">
        <v>1230213.0</v>
      </c>
      <c r="C3589" s="2">
        <v>3947992.0</v>
      </c>
      <c r="D3589" s="2">
        <v>110.798599999999</v>
      </c>
    </row>
    <row r="3590">
      <c r="A3590" s="4">
        <v>45144.0</v>
      </c>
      <c r="B3590" s="2">
        <v>1230213.0</v>
      </c>
      <c r="C3590" s="2">
        <v>4665690.0</v>
      </c>
      <c r="D3590" s="2">
        <v>130.201599999999</v>
      </c>
    </row>
    <row r="3591">
      <c r="A3591" s="4">
        <v>44904.0</v>
      </c>
      <c r="B3591" s="2">
        <v>1230213.0</v>
      </c>
      <c r="C3591" s="2">
        <v>4023589.0</v>
      </c>
      <c r="D3591" s="2">
        <v>67.2038</v>
      </c>
    </row>
    <row r="3592">
      <c r="A3592" s="4">
        <v>44904.0</v>
      </c>
      <c r="B3592" s="2">
        <v>1230213.0</v>
      </c>
      <c r="C3592" s="2">
        <v>4023640.0</v>
      </c>
      <c r="D3592" s="2">
        <v>83.1109999999999</v>
      </c>
    </row>
    <row r="3593">
      <c r="A3593" s="4">
        <v>45188.0</v>
      </c>
      <c r="B3593" s="2">
        <v>1230213.0</v>
      </c>
      <c r="C3593" s="2">
        <v>4773995.0</v>
      </c>
      <c r="D3593" s="2">
        <v>136.041399999999</v>
      </c>
    </row>
    <row r="3594">
      <c r="A3594" s="4">
        <v>44934.0</v>
      </c>
      <c r="B3594" s="2">
        <v>1230213.0</v>
      </c>
      <c r="C3594" s="2">
        <v>4104689.0</v>
      </c>
      <c r="D3594" s="2">
        <v>78.6478</v>
      </c>
    </row>
    <row r="3595">
      <c r="A3595" s="4">
        <v>44953.0</v>
      </c>
      <c r="B3595" s="2">
        <v>1230213.0</v>
      </c>
      <c r="C3595" s="2">
        <v>4167462.0</v>
      </c>
      <c r="D3595" s="2">
        <v>118.2752</v>
      </c>
    </row>
    <row r="3596">
      <c r="A3596" s="4">
        <v>44969.0</v>
      </c>
      <c r="B3596" s="2">
        <v>1230213.0</v>
      </c>
      <c r="C3596" s="2">
        <v>4211667.0</v>
      </c>
      <c r="D3596" s="2">
        <v>87.6329</v>
      </c>
    </row>
    <row r="3597">
      <c r="A3597" s="4">
        <v>45249.0</v>
      </c>
      <c r="B3597" s="2">
        <v>1230213.0</v>
      </c>
      <c r="C3597" s="2">
        <v>5137482.0</v>
      </c>
      <c r="D3597" s="2">
        <v>115.06</v>
      </c>
    </row>
    <row r="3598">
      <c r="A3598" s="4">
        <v>44994.0</v>
      </c>
      <c r="B3598" s="2">
        <v>1230213.0</v>
      </c>
      <c r="C3598" s="2">
        <v>4284442.0</v>
      </c>
      <c r="D3598" s="2">
        <v>118.285699999999</v>
      </c>
    </row>
    <row r="3599">
      <c r="A3599" s="4">
        <v>45010.0</v>
      </c>
      <c r="B3599" s="2">
        <v>1230213.0</v>
      </c>
      <c r="C3599" s="2">
        <v>4328235.0</v>
      </c>
      <c r="D3599" s="2">
        <v>81.6628999999999</v>
      </c>
    </row>
    <row r="3600">
      <c r="A3600" s="4">
        <v>44762.0</v>
      </c>
      <c r="B3600" s="2">
        <v>1230213.0</v>
      </c>
      <c r="C3600" s="2">
        <v>3660377.0</v>
      </c>
      <c r="D3600" s="2">
        <v>109.0637</v>
      </c>
    </row>
    <row r="3601">
      <c r="A3601" s="4">
        <v>45290.0</v>
      </c>
      <c r="B3601" s="2">
        <v>1230213.0</v>
      </c>
      <c r="C3601" s="2">
        <v>5357056.0</v>
      </c>
      <c r="D3601" s="2">
        <v>94.6825999999999</v>
      </c>
    </row>
    <row r="3602">
      <c r="A3602" s="4">
        <v>44786.0</v>
      </c>
      <c r="B3602" s="2">
        <v>1230213.0</v>
      </c>
      <c r="C3602" s="2">
        <v>3711626.0</v>
      </c>
      <c r="D3602" s="2">
        <v>106.061199999999</v>
      </c>
    </row>
    <row r="3603">
      <c r="A3603" s="4">
        <v>45054.0</v>
      </c>
      <c r="B3603" s="2">
        <v>1230213.0</v>
      </c>
      <c r="C3603" s="2">
        <v>4449646.0</v>
      </c>
      <c r="D3603" s="2">
        <v>123.0343</v>
      </c>
    </row>
    <row r="3604">
      <c r="A3604" s="4">
        <v>44806.0</v>
      </c>
      <c r="B3604" s="2">
        <v>428433.0</v>
      </c>
      <c r="C3604" s="2">
        <v>3759341.0</v>
      </c>
      <c r="D3604" s="2">
        <v>66.0</v>
      </c>
    </row>
    <row r="3605">
      <c r="A3605" s="4">
        <v>44815.0</v>
      </c>
      <c r="B3605" s="2">
        <v>428433.0</v>
      </c>
      <c r="C3605" s="2">
        <v>3784086.0</v>
      </c>
      <c r="D3605" s="2">
        <v>88.7140999999999</v>
      </c>
    </row>
    <row r="3606">
      <c r="A3606" s="4">
        <v>44815.0</v>
      </c>
      <c r="B3606" s="2">
        <v>428433.0</v>
      </c>
      <c r="C3606" s="2">
        <v>3784100.0</v>
      </c>
      <c r="D3606" s="2">
        <v>66.0</v>
      </c>
    </row>
    <row r="3607">
      <c r="A3607" s="4">
        <v>44844.0</v>
      </c>
      <c r="B3607" s="2">
        <v>428433.0</v>
      </c>
      <c r="C3607" s="2">
        <v>3856829.0</v>
      </c>
      <c r="D3607" s="2">
        <v>77.3304</v>
      </c>
    </row>
    <row r="3608">
      <c r="A3608" s="4">
        <v>44844.0</v>
      </c>
      <c r="B3608" s="2">
        <v>428433.0</v>
      </c>
      <c r="C3608" s="2">
        <v>3856822.0</v>
      </c>
      <c r="D3608" s="2">
        <v>79.1364</v>
      </c>
    </row>
    <row r="3609">
      <c r="A3609" s="4">
        <v>44844.0</v>
      </c>
      <c r="B3609" s="2">
        <v>428433.0</v>
      </c>
      <c r="C3609" s="2">
        <v>3856803.0</v>
      </c>
      <c r="D3609" s="2">
        <v>96.2868</v>
      </c>
    </row>
    <row r="3610">
      <c r="A3610" s="4">
        <v>45120.0</v>
      </c>
      <c r="B3610" s="2">
        <v>428433.0</v>
      </c>
      <c r="C3610" s="2">
        <v>4609251.0</v>
      </c>
      <c r="D3610" s="2">
        <v>115.231</v>
      </c>
    </row>
    <row r="3611">
      <c r="A3611" s="4">
        <v>45142.0</v>
      </c>
      <c r="B3611" s="2">
        <v>428433.0</v>
      </c>
      <c r="C3611" s="2">
        <v>4660088.0</v>
      </c>
      <c r="D3611" s="2">
        <v>66.8125</v>
      </c>
    </row>
    <row r="3612">
      <c r="A3612" s="4">
        <v>45143.0</v>
      </c>
      <c r="B3612" s="2">
        <v>428433.0</v>
      </c>
      <c r="C3612" s="2">
        <v>4663248.0</v>
      </c>
      <c r="D3612" s="2">
        <v>73.9321</v>
      </c>
    </row>
    <row r="3613">
      <c r="A3613" s="4">
        <v>44902.0</v>
      </c>
      <c r="B3613" s="2">
        <v>428433.0</v>
      </c>
      <c r="C3613" s="2">
        <v>4019158.0</v>
      </c>
      <c r="D3613" s="2">
        <v>68.0416999999999</v>
      </c>
    </row>
    <row r="3614">
      <c r="A3614" s="4">
        <v>45172.0</v>
      </c>
      <c r="B3614" s="2">
        <v>428433.0</v>
      </c>
      <c r="C3614" s="2">
        <v>4731528.0</v>
      </c>
      <c r="D3614" s="2">
        <v>85.6193</v>
      </c>
    </row>
    <row r="3615">
      <c r="A3615" s="4">
        <v>45193.0</v>
      </c>
      <c r="B3615" s="2">
        <v>428433.0</v>
      </c>
      <c r="C3615" s="2">
        <v>4787281.0</v>
      </c>
      <c r="D3615" s="2">
        <v>76.2913</v>
      </c>
    </row>
    <row r="3616">
      <c r="A3616" s="4">
        <v>44949.0</v>
      </c>
      <c r="B3616" s="2">
        <v>428433.0</v>
      </c>
      <c r="C3616" s="2">
        <v>4156798.0</v>
      </c>
      <c r="D3616" s="2">
        <v>80.3331</v>
      </c>
    </row>
    <row r="3617">
      <c r="A3617" s="4">
        <v>44977.0</v>
      </c>
      <c r="B3617" s="2">
        <v>428433.0</v>
      </c>
      <c r="C3617" s="2">
        <v>4232294.0</v>
      </c>
      <c r="D3617" s="2">
        <v>73.8692</v>
      </c>
    </row>
    <row r="3618">
      <c r="A3618" s="4">
        <v>45242.0</v>
      </c>
      <c r="B3618" s="2">
        <v>428433.0</v>
      </c>
      <c r="C3618" s="2">
        <v>5078517.0</v>
      </c>
      <c r="D3618" s="2">
        <v>104.2734</v>
      </c>
    </row>
    <row r="3619">
      <c r="A3619" s="4">
        <v>45242.0</v>
      </c>
      <c r="B3619" s="2">
        <v>428433.0</v>
      </c>
      <c r="C3619" s="2">
        <v>5074194.0</v>
      </c>
      <c r="D3619" s="2">
        <v>185.7621</v>
      </c>
    </row>
    <row r="3620">
      <c r="A3620" s="4">
        <v>44772.0</v>
      </c>
      <c r="B3620" s="2">
        <v>428433.0</v>
      </c>
      <c r="C3620" s="2">
        <v>3682228.0</v>
      </c>
      <c r="D3620" s="2">
        <v>90.3296</v>
      </c>
    </row>
    <row r="3621">
      <c r="A3621" s="4">
        <v>45045.0</v>
      </c>
      <c r="B3621" s="2">
        <v>428433.0</v>
      </c>
      <c r="C3621" s="2">
        <v>4425110.0</v>
      </c>
      <c r="D3621" s="2">
        <v>172.0226</v>
      </c>
    </row>
    <row r="3622">
      <c r="A3622" s="4">
        <v>45045.0</v>
      </c>
      <c r="B3622" s="2">
        <v>428433.0</v>
      </c>
      <c r="C3622" s="2">
        <v>4426558.0</v>
      </c>
      <c r="D3622" s="2">
        <v>193.9461</v>
      </c>
    </row>
    <row r="3623">
      <c r="A3623" s="4">
        <v>45046.0</v>
      </c>
      <c r="B3623" s="2">
        <v>428433.0</v>
      </c>
      <c r="C3623" s="2">
        <v>4429805.0</v>
      </c>
      <c r="D3623" s="2">
        <v>166.3069</v>
      </c>
    </row>
    <row r="3624">
      <c r="A3624" s="4">
        <v>44791.0</v>
      </c>
      <c r="B3624" s="2">
        <v>428433.0</v>
      </c>
      <c r="C3624" s="2">
        <v>3723735.0</v>
      </c>
      <c r="D3624" s="2">
        <v>141.4602</v>
      </c>
    </row>
    <row r="3625">
      <c r="A3625" s="4">
        <v>45063.0</v>
      </c>
      <c r="B3625" s="2">
        <v>1185753.0</v>
      </c>
      <c r="C3625" s="2">
        <v>4476031.0</v>
      </c>
      <c r="D3625" s="2">
        <v>222.0253</v>
      </c>
    </row>
    <row r="3626">
      <c r="A3626" s="4">
        <v>44812.0</v>
      </c>
      <c r="B3626" s="2">
        <v>1185753.0</v>
      </c>
      <c r="C3626" s="2">
        <v>3777238.0</v>
      </c>
      <c r="D3626" s="2">
        <v>8.25</v>
      </c>
    </row>
    <row r="3627">
      <c r="A3627" s="4">
        <v>44812.0</v>
      </c>
      <c r="B3627" s="2">
        <v>1185753.0</v>
      </c>
      <c r="C3627" s="2">
        <v>3777246.0</v>
      </c>
      <c r="D3627" s="2">
        <v>195.066</v>
      </c>
    </row>
    <row r="3628">
      <c r="A3628" s="4">
        <v>44823.0</v>
      </c>
      <c r="B3628" s="2">
        <v>1185753.0</v>
      </c>
      <c r="C3628" s="2">
        <v>3803070.0</v>
      </c>
      <c r="D3628" s="2">
        <v>122.8284</v>
      </c>
    </row>
    <row r="3629">
      <c r="A3629" s="4">
        <v>45093.0</v>
      </c>
      <c r="B3629" s="2">
        <v>1185753.0</v>
      </c>
      <c r="C3629" s="2">
        <v>4544688.0</v>
      </c>
      <c r="D3629" s="2">
        <v>169.1095</v>
      </c>
    </row>
    <row r="3630">
      <c r="A3630" s="4">
        <v>44844.0</v>
      </c>
      <c r="B3630" s="2">
        <v>1185753.0</v>
      </c>
      <c r="C3630" s="2">
        <v>3856334.0</v>
      </c>
      <c r="D3630" s="2">
        <v>186.884699999999</v>
      </c>
    </row>
    <row r="3631">
      <c r="A3631" s="4">
        <v>45114.0</v>
      </c>
      <c r="B3631" s="2">
        <v>1185753.0</v>
      </c>
      <c r="C3631" s="2">
        <v>4595997.0</v>
      </c>
      <c r="D3631" s="2">
        <v>232.184</v>
      </c>
    </row>
    <row r="3632">
      <c r="A3632" s="4">
        <v>44864.0</v>
      </c>
      <c r="B3632" s="2">
        <v>1185753.0</v>
      </c>
      <c r="C3632" s="2">
        <v>3902076.0</v>
      </c>
      <c r="D3632" s="2">
        <v>117.6805</v>
      </c>
    </row>
    <row r="3633">
      <c r="A3633" s="4">
        <v>44921.0</v>
      </c>
      <c r="B3633" s="2">
        <v>1185753.0</v>
      </c>
      <c r="C3633" s="2">
        <v>4069658.0</v>
      </c>
      <c r="D3633" s="2">
        <v>264.0438</v>
      </c>
    </row>
    <row r="3634">
      <c r="A3634" s="4">
        <v>44935.0</v>
      </c>
      <c r="B3634" s="2">
        <v>1185753.0</v>
      </c>
      <c r="C3634" s="2">
        <v>4107516.0</v>
      </c>
      <c r="D3634" s="2">
        <v>104.1443</v>
      </c>
    </row>
    <row r="3635">
      <c r="A3635" s="4">
        <v>44949.0</v>
      </c>
      <c r="B3635" s="2">
        <v>1185753.0</v>
      </c>
      <c r="C3635" s="2">
        <v>4156921.0</v>
      </c>
      <c r="D3635" s="2">
        <v>143.364999999999</v>
      </c>
    </row>
    <row r="3636">
      <c r="A3636" s="4">
        <v>45206.0</v>
      </c>
      <c r="B3636" s="2">
        <v>1185753.0</v>
      </c>
      <c r="C3636" s="2">
        <v>4825520.0</v>
      </c>
      <c r="D3636" s="2">
        <v>148.8087</v>
      </c>
    </row>
    <row r="3637">
      <c r="A3637" s="4">
        <v>45244.0</v>
      </c>
      <c r="B3637" s="2">
        <v>1185753.0</v>
      </c>
      <c r="C3637" s="2">
        <v>5091774.0</v>
      </c>
      <c r="D3637" s="2">
        <v>162.206699999999</v>
      </c>
    </row>
    <row r="3638">
      <c r="A3638" s="4">
        <v>44993.0</v>
      </c>
      <c r="B3638" s="2">
        <v>1185753.0</v>
      </c>
      <c r="C3638" s="2">
        <v>4279638.0</v>
      </c>
      <c r="D3638" s="2">
        <v>118.6708</v>
      </c>
    </row>
    <row r="3639">
      <c r="A3639" s="4">
        <v>44752.0</v>
      </c>
      <c r="B3639" s="2">
        <v>1185753.0</v>
      </c>
      <c r="C3639" s="2">
        <v>3637196.0</v>
      </c>
      <c r="D3639" s="2">
        <v>182.8978</v>
      </c>
    </row>
    <row r="3640">
      <c r="A3640" s="4">
        <v>45017.0</v>
      </c>
      <c r="B3640" s="2">
        <v>1185753.0</v>
      </c>
      <c r="C3640" s="2">
        <v>4348135.0</v>
      </c>
      <c r="D3640" s="2">
        <v>187.407699999999</v>
      </c>
    </row>
    <row r="3641">
      <c r="A3641" s="4">
        <v>44769.0</v>
      </c>
      <c r="B3641" s="2">
        <v>1185753.0</v>
      </c>
      <c r="C3641" s="2">
        <v>3676731.0</v>
      </c>
      <c r="D3641" s="2">
        <v>97.7932999999999</v>
      </c>
    </row>
    <row r="3642">
      <c r="A3642" s="4">
        <v>44784.0</v>
      </c>
      <c r="B3642" s="2">
        <v>1185753.0</v>
      </c>
      <c r="C3642" s="2">
        <v>3709723.0</v>
      </c>
      <c r="D3642" s="2">
        <v>146.210499999999</v>
      </c>
    </row>
    <row r="3643">
      <c r="A3643" s="4">
        <v>45060.0</v>
      </c>
      <c r="B3643" s="2">
        <v>218073.0</v>
      </c>
      <c r="C3643" s="2">
        <v>4468075.0</v>
      </c>
      <c r="D3643" s="2">
        <v>78.0964</v>
      </c>
    </row>
    <row r="3644">
      <c r="A3644" s="4">
        <v>45060.0</v>
      </c>
      <c r="B3644" s="2">
        <v>218073.0</v>
      </c>
      <c r="C3644" s="2">
        <v>4468179.0</v>
      </c>
      <c r="D3644" s="2">
        <v>70.9694</v>
      </c>
    </row>
    <row r="3645">
      <c r="A3645" s="4">
        <v>45068.0</v>
      </c>
      <c r="B3645" s="2">
        <v>218073.0</v>
      </c>
      <c r="C3645" s="2">
        <v>4487770.0</v>
      </c>
      <c r="D3645" s="2">
        <v>82.5857999999999</v>
      </c>
    </row>
    <row r="3646">
      <c r="A3646" s="4">
        <v>44844.0</v>
      </c>
      <c r="B3646" s="2">
        <v>218073.0</v>
      </c>
      <c r="C3646" s="2">
        <v>3857257.0</v>
      </c>
      <c r="D3646" s="2">
        <v>86.6959</v>
      </c>
    </row>
    <row r="3647">
      <c r="A3647" s="4">
        <v>44855.0</v>
      </c>
      <c r="B3647" s="2">
        <v>218073.0</v>
      </c>
      <c r="C3647" s="2">
        <v>3881094.0</v>
      </c>
      <c r="D3647" s="2">
        <v>91.3967</v>
      </c>
    </row>
    <row r="3648">
      <c r="A3648" s="4">
        <v>45113.0</v>
      </c>
      <c r="B3648" s="2">
        <v>218073.0</v>
      </c>
      <c r="C3648" s="2">
        <v>4593831.0</v>
      </c>
      <c r="D3648" s="2">
        <v>105.9413</v>
      </c>
    </row>
    <row r="3649">
      <c r="A3649" s="4">
        <v>45125.0</v>
      </c>
      <c r="B3649" s="2">
        <v>218073.0</v>
      </c>
      <c r="C3649" s="2">
        <v>4617527.0</v>
      </c>
      <c r="D3649" s="2">
        <v>82.8948</v>
      </c>
    </row>
    <row r="3650">
      <c r="A3650" s="4">
        <v>44875.0</v>
      </c>
      <c r="B3650" s="2">
        <v>218073.0</v>
      </c>
      <c r="C3650" s="2">
        <v>3932494.0</v>
      </c>
      <c r="D3650" s="2">
        <v>16.5833</v>
      </c>
    </row>
    <row r="3651">
      <c r="A3651" s="4">
        <v>44875.0</v>
      </c>
      <c r="B3651" s="2">
        <v>218073.0</v>
      </c>
      <c r="C3651" s="2">
        <v>3932518.0</v>
      </c>
      <c r="D3651" s="2">
        <v>110.072099999999</v>
      </c>
    </row>
    <row r="3652">
      <c r="A3652" s="4">
        <v>44886.0</v>
      </c>
      <c r="B3652" s="2">
        <v>218073.0</v>
      </c>
      <c r="C3652" s="2">
        <v>3965042.0</v>
      </c>
      <c r="D3652" s="2">
        <v>115.8741</v>
      </c>
    </row>
    <row r="3653">
      <c r="A3653" s="4">
        <v>44888.0</v>
      </c>
      <c r="B3653" s="2">
        <v>218073.0</v>
      </c>
      <c r="C3653" s="2">
        <v>3971645.0</v>
      </c>
      <c r="D3653" s="2">
        <v>69.0042</v>
      </c>
    </row>
    <row r="3654">
      <c r="A3654" s="4">
        <v>45177.0</v>
      </c>
      <c r="B3654" s="2">
        <v>218073.0</v>
      </c>
      <c r="C3654" s="2">
        <v>4745475.0</v>
      </c>
      <c r="D3654" s="2">
        <v>64.7329</v>
      </c>
    </row>
    <row r="3655">
      <c r="A3655" s="4">
        <v>45177.0</v>
      </c>
      <c r="B3655" s="2">
        <v>218073.0</v>
      </c>
      <c r="C3655" s="2">
        <v>4745439.0</v>
      </c>
      <c r="D3655" s="2">
        <v>73.0232</v>
      </c>
    </row>
    <row r="3656">
      <c r="A3656" s="4">
        <v>44925.0</v>
      </c>
      <c r="B3656" s="2">
        <v>218073.0</v>
      </c>
      <c r="C3656" s="2">
        <v>4078809.0</v>
      </c>
      <c r="D3656" s="2">
        <v>73.7237</v>
      </c>
    </row>
    <row r="3657">
      <c r="A3657" s="4">
        <v>44925.0</v>
      </c>
      <c r="B3657" s="2">
        <v>218073.0</v>
      </c>
      <c r="C3657" s="2">
        <v>4078903.0</v>
      </c>
      <c r="D3657" s="2">
        <v>124.9174</v>
      </c>
    </row>
    <row r="3658">
      <c r="A3658" s="4">
        <v>44960.0</v>
      </c>
      <c r="B3658" s="2">
        <v>218073.0</v>
      </c>
      <c r="C3658" s="2">
        <v>4186937.0</v>
      </c>
      <c r="D3658" s="2">
        <v>91.5496</v>
      </c>
    </row>
    <row r="3659">
      <c r="A3659" s="4">
        <v>45232.0</v>
      </c>
      <c r="B3659" s="2">
        <v>218073.0</v>
      </c>
      <c r="C3659" s="2">
        <v>4965157.0</v>
      </c>
      <c r="D3659" s="2">
        <v>100.1852</v>
      </c>
    </row>
    <row r="3660">
      <c r="A3660" s="4">
        <v>45003.0</v>
      </c>
      <c r="B3660" s="2">
        <v>218073.0</v>
      </c>
      <c r="C3660" s="2">
        <v>4308302.0</v>
      </c>
      <c r="D3660" s="2">
        <v>82.7644</v>
      </c>
    </row>
    <row r="3661">
      <c r="A3661" s="4">
        <v>44752.0</v>
      </c>
      <c r="B3661" s="2">
        <v>218073.0</v>
      </c>
      <c r="C3661" s="2">
        <v>3635755.0</v>
      </c>
      <c r="D3661" s="2">
        <v>79.8585</v>
      </c>
    </row>
    <row r="3662">
      <c r="A3662" s="4">
        <v>45024.0</v>
      </c>
      <c r="B3662" s="2">
        <v>218073.0</v>
      </c>
      <c r="C3662" s="2">
        <v>4370916.0</v>
      </c>
      <c r="D3662" s="2">
        <v>86.3926</v>
      </c>
    </row>
  </sheetData>
  <drawing r:id="rId1"/>
</worksheet>
</file>