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baiyya\Documents\ImportTrades\ImportTrades\"/>
    </mc:Choice>
  </mc:AlternateContent>
  <bookViews>
    <workbookView xWindow="0" yWindow="0" windowWidth="17970" windowHeight="741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2" l="1"/>
  <c r="R45" i="2"/>
  <c r="X45" i="2" s="1"/>
  <c r="T44" i="2"/>
  <c r="S44" i="2"/>
  <c r="R44" i="2"/>
  <c r="Y44" i="2" s="1"/>
  <c r="T43" i="2"/>
  <c r="S43" i="2"/>
  <c r="R43" i="2"/>
  <c r="Y43" i="2" s="1"/>
  <c r="X42" i="2"/>
  <c r="T42" i="2"/>
  <c r="R42" i="2"/>
  <c r="S42" i="2" s="1"/>
  <c r="T41" i="2"/>
  <c r="R41" i="2"/>
  <c r="X41" i="2" s="1"/>
  <c r="T40" i="2"/>
  <c r="S40" i="2"/>
  <c r="R40" i="2"/>
  <c r="Y40" i="2" s="1"/>
  <c r="T39" i="2"/>
  <c r="Q39" i="2"/>
  <c r="R39" i="2" s="1"/>
  <c r="P39" i="2"/>
  <c r="T38" i="2"/>
  <c r="S38" i="2"/>
  <c r="R38" i="2"/>
  <c r="Y38" i="2" s="1"/>
  <c r="T37" i="2"/>
  <c r="Q37" i="2"/>
  <c r="R37" i="2" s="1"/>
  <c r="T36" i="2"/>
  <c r="R36" i="2"/>
  <c r="X36" i="2" s="1"/>
  <c r="T35" i="2"/>
  <c r="S35" i="2"/>
  <c r="R35" i="2"/>
  <c r="Y35" i="2" s="1"/>
  <c r="Q35" i="2"/>
  <c r="X34" i="2"/>
  <c r="T34" i="2"/>
  <c r="R34" i="2"/>
  <c r="S34" i="2" s="1"/>
  <c r="T33" i="2"/>
  <c r="R33" i="2"/>
  <c r="X33" i="2" s="1"/>
  <c r="Q33" i="2"/>
  <c r="T32" i="2"/>
  <c r="Q32" i="2"/>
  <c r="R32" i="2" s="1"/>
  <c r="P32" i="2"/>
  <c r="T31" i="2"/>
  <c r="S31" i="2"/>
  <c r="R31" i="2"/>
  <c r="Y31" i="2" s="1"/>
  <c r="T30" i="2"/>
  <c r="S30" i="2"/>
  <c r="R30" i="2"/>
  <c r="Y30" i="2" s="1"/>
  <c r="T29" i="2"/>
  <c r="Q29" i="2"/>
  <c r="R29" i="2" s="1"/>
  <c r="P29" i="2"/>
  <c r="T28" i="2"/>
  <c r="R28" i="2"/>
  <c r="S28" i="2" s="1"/>
  <c r="T27" i="2"/>
  <c r="Q27" i="2"/>
  <c r="R27" i="2" s="1"/>
  <c r="T26" i="2"/>
  <c r="Q26" i="2"/>
  <c r="R26" i="2" s="1"/>
  <c r="X25" i="2"/>
  <c r="T25" i="2"/>
  <c r="R25" i="2"/>
  <c r="S25" i="2" s="1"/>
  <c r="T24" i="2"/>
  <c r="R24" i="2"/>
  <c r="X24" i="2" s="1"/>
  <c r="Q24" i="2"/>
  <c r="T23" i="2"/>
  <c r="Q23" i="2"/>
  <c r="R23" i="2" s="1"/>
  <c r="T22" i="2"/>
  <c r="R22" i="2"/>
  <c r="X22" i="2" s="1"/>
  <c r="Q22" i="2"/>
  <c r="T21" i="2"/>
  <c r="R21" i="2"/>
  <c r="S21" i="2" s="1"/>
  <c r="X20" i="2"/>
  <c r="T20" i="2"/>
  <c r="R20" i="2"/>
  <c r="S20" i="2" s="1"/>
  <c r="T19" i="2"/>
  <c r="R19" i="2"/>
  <c r="X19" i="2" s="1"/>
  <c r="T18" i="2"/>
  <c r="Q18" i="2"/>
  <c r="R18" i="2" s="1"/>
  <c r="T17" i="2"/>
  <c r="Q17" i="2"/>
  <c r="R17" i="2" s="1"/>
  <c r="X16" i="2"/>
  <c r="T16" i="2"/>
  <c r="S16" i="2"/>
  <c r="R16" i="2"/>
  <c r="Y16" i="2" s="1"/>
  <c r="T15" i="2"/>
  <c r="R15" i="2"/>
  <c r="S15" i="2" s="1"/>
  <c r="X14" i="2"/>
  <c r="T14" i="2"/>
  <c r="S14" i="2"/>
  <c r="R14" i="2"/>
  <c r="Y14" i="2" s="1"/>
  <c r="T13" i="2"/>
  <c r="R13" i="2"/>
  <c r="X13" i="2" s="1"/>
  <c r="X12" i="2"/>
  <c r="T12" i="2"/>
  <c r="S12" i="2"/>
  <c r="R12" i="2"/>
  <c r="Y12" i="2" s="1"/>
  <c r="T11" i="2"/>
  <c r="R11" i="2"/>
  <c r="S11" i="2" s="1"/>
  <c r="X10" i="2"/>
  <c r="T10" i="2"/>
  <c r="S10" i="2"/>
  <c r="R10" i="2"/>
  <c r="Y10" i="2" s="1"/>
  <c r="T9" i="2"/>
  <c r="R9" i="2"/>
  <c r="X9" i="2" s="1"/>
  <c r="X8" i="2"/>
  <c r="T8" i="2"/>
  <c r="S8" i="2"/>
  <c r="R8" i="2"/>
  <c r="Y8" i="2" s="1"/>
  <c r="T7" i="2"/>
  <c r="R7" i="2"/>
  <c r="S7" i="2" s="1"/>
  <c r="X6" i="2"/>
  <c r="T6" i="2"/>
  <c r="S6" i="2"/>
  <c r="R6" i="2"/>
  <c r="Y6" i="2" s="1"/>
  <c r="T5" i="2"/>
  <c r="R5" i="2"/>
  <c r="X5" i="2" s="1"/>
  <c r="X4" i="2"/>
  <c r="T4" i="2"/>
  <c r="S4" i="2"/>
  <c r="R4" i="2"/>
  <c r="Y4" i="2" s="1"/>
  <c r="T3" i="2"/>
  <c r="R3" i="2"/>
  <c r="S3" i="2" s="1"/>
  <c r="T2" i="2"/>
  <c r="P2" i="2"/>
  <c r="R2" i="2" s="1"/>
  <c r="O2" i="2"/>
  <c r="S27" i="2" l="1"/>
  <c r="Y27" i="2"/>
  <c r="X27" i="2"/>
  <c r="S37" i="2"/>
  <c r="Y37" i="2"/>
  <c r="X37" i="2"/>
  <c r="S29" i="2"/>
  <c r="Y29" i="2"/>
  <c r="X29" i="2"/>
  <c r="Y18" i="2"/>
  <c r="X18" i="2"/>
  <c r="S18" i="2"/>
  <c r="S23" i="2"/>
  <c r="Y23" i="2"/>
  <c r="X23" i="2"/>
  <c r="Y26" i="2"/>
  <c r="S26" i="2"/>
  <c r="X26" i="2"/>
  <c r="S32" i="2"/>
  <c r="Y32" i="2"/>
  <c r="X32" i="2"/>
  <c r="S39" i="2"/>
  <c r="Y39" i="2"/>
  <c r="X39" i="2"/>
  <c r="S2" i="2"/>
  <c r="X2" i="2"/>
  <c r="Y2" i="2"/>
  <c r="X17" i="2"/>
  <c r="S17" i="2"/>
  <c r="Y17" i="2"/>
  <c r="Y5" i="2"/>
  <c r="Y24" i="2"/>
  <c r="Y33" i="2"/>
  <c r="Y45" i="2"/>
  <c r="X3" i="2"/>
  <c r="S5" i="2"/>
  <c r="X7" i="2"/>
  <c r="S9" i="2"/>
  <c r="X11" i="2"/>
  <c r="S13" i="2"/>
  <c r="X15" i="2"/>
  <c r="S19" i="2"/>
  <c r="Y20" i="2"/>
  <c r="X21" i="2"/>
  <c r="S22" i="2"/>
  <c r="S24" i="2"/>
  <c r="Y25" i="2"/>
  <c r="X28" i="2"/>
  <c r="X30" i="2"/>
  <c r="S33" i="2"/>
  <c r="Y34" i="2"/>
  <c r="S36" i="2"/>
  <c r="S41" i="2"/>
  <c r="Y42" i="2"/>
  <c r="X43" i="2"/>
  <c r="S45" i="2"/>
  <c r="Y19" i="2"/>
  <c r="Y22" i="2"/>
  <c r="Y36" i="2"/>
  <c r="Y3" i="2"/>
  <c r="Y7" i="2"/>
  <c r="Y11" i="2"/>
  <c r="Y15" i="2"/>
  <c r="Y21" i="2"/>
  <c r="Y28" i="2"/>
  <c r="X31" i="2"/>
  <c r="X35" i="2"/>
  <c r="X38" i="2"/>
  <c r="X40" i="2"/>
  <c r="X44" i="2"/>
  <c r="Y9" i="2"/>
  <c r="Y13" i="2"/>
  <c r="Y41" i="2"/>
</calcChain>
</file>

<file path=xl/sharedStrings.xml><?xml version="1.0" encoding="utf-8"?>
<sst xmlns="http://schemas.openxmlformats.org/spreadsheetml/2006/main" count="219" uniqueCount="81">
  <si>
    <t>EEP</t>
  </si>
  <si>
    <t>GERN</t>
  </si>
  <si>
    <t>NVAX</t>
  </si>
  <si>
    <t>QCOM</t>
  </si>
  <si>
    <t>QIHU</t>
  </si>
  <si>
    <t>RTI</t>
  </si>
  <si>
    <t>URBN</t>
  </si>
  <si>
    <t>Number of Shares</t>
  </si>
  <si>
    <t>Commissions</t>
  </si>
  <si>
    <t>VRNT</t>
  </si>
  <si>
    <t>SLD</t>
  </si>
  <si>
    <t>IEX</t>
  </si>
  <si>
    <t>BOT</t>
  </si>
  <si>
    <t>BYX</t>
  </si>
  <si>
    <t>ISLAND</t>
  </si>
  <si>
    <t>ARCA</t>
  </si>
  <si>
    <t>DPLO</t>
  </si>
  <si>
    <t>RHT</t>
  </si>
  <si>
    <t>BEX</t>
  </si>
  <si>
    <t>PSX</t>
  </si>
  <si>
    <t>NYSE</t>
  </si>
  <si>
    <t>+</t>
  </si>
  <si>
    <t>NYSE + 1</t>
  </si>
  <si>
    <t>BEX + 1</t>
  </si>
  <si>
    <t>FIVE</t>
  </si>
  <si>
    <t>ARCA + 1</t>
  </si>
  <si>
    <t>IEX + 1</t>
  </si>
  <si>
    <t>DateTime</t>
  </si>
  <si>
    <t>Symbol</t>
  </si>
  <si>
    <t>Action</t>
  </si>
  <si>
    <t>Excg</t>
  </si>
  <si>
    <t>Price</t>
  </si>
  <si>
    <t>Date</t>
  </si>
  <si>
    <t>Morning Gapper</t>
  </si>
  <si>
    <t>PreMarket High b/o</t>
  </si>
  <si>
    <t>Openrange b/o</t>
  </si>
  <si>
    <t>1st Flag</t>
  </si>
  <si>
    <t>2nd Flag</t>
  </si>
  <si>
    <t>3rd Flag</t>
  </si>
  <si>
    <t>4th Flag</t>
  </si>
  <si>
    <t>HOD Breakout</t>
  </si>
  <si>
    <t>Flat Top Breakout</t>
  </si>
  <si>
    <t>Momentum</t>
  </si>
  <si>
    <t>Ascending Triangle</t>
  </si>
  <si>
    <t>Freakout</t>
  </si>
  <si>
    <t>Num Shares</t>
  </si>
  <si>
    <t>Buy price/share</t>
  </si>
  <si>
    <t>Sell price/share</t>
  </si>
  <si>
    <t>Return/share</t>
  </si>
  <si>
    <t>Net</t>
  </si>
  <si>
    <t>Commisoins</t>
  </si>
  <si>
    <t>Daily</t>
  </si>
  <si>
    <t>Weekly</t>
  </si>
  <si>
    <t>Monthly</t>
  </si>
  <si>
    <t>Win</t>
  </si>
  <si>
    <t>Loss</t>
  </si>
  <si>
    <t>Was stratergy correct?</t>
  </si>
  <si>
    <t>Comments</t>
  </si>
  <si>
    <t>Yes</t>
  </si>
  <si>
    <t>No</t>
  </si>
  <si>
    <t>Went in early without actual breakout confirmation</t>
  </si>
  <si>
    <t>CAPN</t>
  </si>
  <si>
    <t>IMGN</t>
  </si>
  <si>
    <t>COH</t>
  </si>
  <si>
    <t>RADA</t>
  </si>
  <si>
    <t>YELP</t>
  </si>
  <si>
    <t>DGLY</t>
  </si>
  <si>
    <t>ORMP</t>
  </si>
  <si>
    <t>Did not pay attention to volume and level 2.</t>
  </si>
  <si>
    <t>GPRO</t>
  </si>
  <si>
    <t>LL</t>
  </si>
  <si>
    <t>Bad exit. Should have been little more patient</t>
  </si>
  <si>
    <t>PURE LUCK</t>
  </si>
  <si>
    <t>VBLT</t>
  </si>
  <si>
    <t>Had to exit fast to go to work</t>
  </si>
  <si>
    <t>PURE LUCK. Bought at peek and then freaked out</t>
  </si>
  <si>
    <t>Gave away all the profits</t>
  </si>
  <si>
    <t>GLOB</t>
  </si>
  <si>
    <t>BBRY</t>
  </si>
  <si>
    <t>Accidental short. Sent order in the wrong window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</si>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</sst>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h:mm:ss"/>
    <numFmt numFmtId="165" formatCode="0.0000"/>
    <numFmt numFmtId="166" formatCode="#,##0.00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Lucida Sans Unicode"/>
      <family val="2"/>
    </font>
    <font>
      <b/>
      <sz val="8"/>
      <color rgb="FF000000"/>
      <name val="Lucida Sans Unicode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/>
      <right/>
      <top/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/>
      <diagonal/>
    </border>
    <border>
      <left/>
      <right/>
      <top style="dotted">
        <color rgb="FFCCCCCC"/>
      </top>
      <bottom/>
      <diagonal/>
    </border>
    <border>
      <left style="dotted">
        <color rgb="FFCCCCCC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0" fillId="0" borderId="0" xfId="0" applyAlignment="1">
      <alignment vertical="center" wrapText="1"/>
    </xf>
    <xf numFmtId="164" fontId="1" fillId="2" borderId="2" xfId="0" applyNumberFormat="1" applyFont="1" applyFill="1" applyBorder="1" applyAlignment="1"/>
    <xf numFmtId="16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>
      <alignment wrapText="1"/>
    </xf>
    <xf numFmtId="166" fontId="0" fillId="0" borderId="0" xfId="0" applyNumberFormat="1" applyAlignment="1"/>
    <xf numFmtId="2" fontId="0" fillId="0" borderId="0" xfId="0" applyNumberFormat="1" applyAlignment="1"/>
    <xf numFmtId="0" fontId="0" fillId="0" borderId="0" xfId="0" applyNumberFormat="1" applyAlignment="1"/>
    <xf numFmtId="2" fontId="3" fillId="0" borderId="0" xfId="0" applyNumberFormat="1" applyFont="1" applyAlignment="1"/>
    <xf numFmtId="0" fontId="0" fillId="0" borderId="0" xfId="0" quotePrefix="1"/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9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m/d/yyyy\ hh:mm:ss"/>
      <alignment horizontal="general" vertical="center" textRotation="0" wrapText="1" indent="0" justifyLastLine="0" shrinkToFit="0" readingOrder="0"/>
    </dxf>
    <dxf>
      <border outline="0">
        <bottom style="dotted">
          <color rgb="FFCCCCCC"/>
        </bottom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Lucida Sans Unicode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2" formatCode="0.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numFmt numFmtId="166" formatCode="#,##0.0000"/>
      <alignment vertical="bottom" textRotation="0" wrapText="0" indent="0" justifyLastLine="0" shrinkToFit="0" readingOrder="0"/>
    </dxf>
    <dxf>
      <numFmt numFmtId="166" formatCode="#,##0.0000"/>
      <alignment horizontal="general" vertical="bottom" textRotation="0" wrapText="1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165" formatCode="0.0000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yy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AA45" totalsRowShown="0" headerRowDxfId="96" dataDxfId="95">
  <autoFilter ref="A1:AA45"/>
  <tableColumns count="27">
    <tableColumn id="1" name="Date" dataDxfId="94"/>
    <tableColumn id="19" name="Morning Gapper" dataDxfId="93"/>
    <tableColumn id="24" name="PreMarket High b/o" dataDxfId="92"/>
    <tableColumn id="23" name="Openrange b/o" dataDxfId="91"/>
    <tableColumn id="2" name="1st Flag" dataDxfId="90"/>
    <tableColumn id="16" name="2nd Flag" dataDxfId="89"/>
    <tableColumn id="20" name="3rd Flag" dataDxfId="88"/>
    <tableColumn id="21" name="4th Flag" dataDxfId="87"/>
    <tableColumn id="17" name="HOD Breakout" dataDxfId="86"/>
    <tableColumn id="18" name="Flat Top Breakout" dataDxfId="85"/>
    <tableColumn id="22" name="Momentum" dataDxfId="84"/>
    <tableColumn id="25" name="Ascending Triangle" dataDxfId="83"/>
    <tableColumn id="15" name="Freakout" dataDxfId="82"/>
    <tableColumn id="3" name="Symbol" dataDxfId="81"/>
    <tableColumn id="4" name="Num Shares" dataDxfId="80">
      <calculatedColumnFormula>400+400</calculatedColumnFormula>
    </tableColumn>
    <tableColumn id="5" name="Buy price/share" dataDxfId="79">
      <calculatedColumnFormula>(38.76+38.438)/2</calculatedColumnFormula>
    </tableColumn>
    <tableColumn id="6" name="Sell price/share" dataDxfId="78"/>
    <tableColumn id="7" name="Return/share" dataDxfId="77">
      <calculatedColumnFormula>Table2[[#This Row],[Sell price/share]]-Table2[[#This Row],[Buy price/share]]</calculatedColumnFormula>
    </tableColumn>
    <tableColumn id="8" name="Net" dataDxfId="76">
      <calculatedColumnFormula>Table2[[#This Row],[Return/share]]*Table2[[#This Row],[Num Shares]]</calculatedColumnFormula>
    </tableColumn>
    <tableColumn id="12" name="Commisoins" dataDxfId="75">
      <calculatedColumnFormula>4.56+2+2</calculatedColumnFormula>
    </tableColumn>
    <tableColumn id="9" name="Daily" dataDxfId="74">
      <calculatedColumnFormula>Table2[[#This Row],[Net]]-Table2[[#This Row],[Commisoins]]</calculatedColumnFormula>
    </tableColumn>
    <tableColumn id="10" name="Weekly" dataDxfId="73"/>
    <tableColumn id="11" name="Monthly" dataDxfId="72"/>
    <tableColumn id="26" name="Win" dataDxfId="71">
      <calculatedColumnFormula>IF(Table2[[#This Row],[Return/share]]&gt;0, 1, 0)</calculatedColumnFormula>
    </tableColumn>
    <tableColumn id="27" name="Loss" dataDxfId="70">
      <calculatedColumnFormula>IF(Table2[[#This Row],[Return/share]]&lt;=0,1,0)</calculatedColumnFormula>
    </tableColumn>
    <tableColumn id="13" name="Was stratergy correct?" dataDxfId="69"/>
    <tableColumn id="14" name="Comments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33" totalsRowShown="0" headerRowDxfId="67" dataDxfId="66" headerRowBorderDxfId="65">
  <autoFilter ref="A1:G33"/>
  <sortState ref="A2:G32">
    <sortCondition ref="A2:A33"/>
  </sortState>
  <tableColumns count="7">
    <tableColumn id="1" name="DateTime" dataDxfId="64"/>
    <tableColumn id="2" name="Symbol" dataDxfId="63"/>
    <tableColumn id="3" name="Action" dataDxfId="62"/>
    <tableColumn id="4" name="Number of Shares" dataDxfId="61"/>
    <tableColumn id="5" name="Price" dataDxfId="60"/>
    <tableColumn id="6" name="Excg" dataDxfId="59"/>
    <tableColumn id="7" name="Commissions" dataDxfId="5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85"/>
  <sheetViews>
    <sheetView workbookViewId="0">
      <selection activeCell="C2" sqref="C2:I33"/>
    </sheetView>
  </sheetViews>
  <sheetFormatPr defaultRowHeight="15" x14ac:dyDescent="0.25"/>
  <cols>
    <col min="2" max="2" width="9.5703125" customWidth="1"/>
    <col min="3" max="3" width="20.7109375" customWidth="1"/>
    <col min="4" max="4" width="12.5703125" customWidth="1"/>
    <col min="5" max="5" width="11.28515625" customWidth="1"/>
    <col min="6" max="6" width="17" customWidth="1"/>
    <col min="7" max="7" width="12" customWidth="1"/>
    <col min="8" max="8" width="14" customWidth="1"/>
  </cols>
  <sheetData>
    <row r="2" spans="2:2" x14ac:dyDescent="0.25">
      <c r="B2" s="1"/>
    </row>
    <row r="3" spans="2:2" x14ac:dyDescent="0.25">
      <c r="B3" s="14"/>
    </row>
    <row r="4" spans="2:2" x14ac:dyDescent="0.25">
      <c r="B4" s="14"/>
    </row>
    <row r="5" spans="2:2" x14ac:dyDescent="0.25">
      <c r="B5" s="14"/>
    </row>
    <row r="6" spans="2:2" x14ac:dyDescent="0.25">
      <c r="B6" s="14"/>
    </row>
    <row r="7" spans="2:2" x14ac:dyDescent="0.25">
      <c r="B7" s="14"/>
    </row>
    <row r="8" spans="2:2" x14ac:dyDescent="0.25">
      <c r="B8" s="14"/>
    </row>
    <row r="9" spans="2:2" x14ac:dyDescent="0.25">
      <c r="B9" s="14"/>
    </row>
    <row r="10" spans="2:2" x14ac:dyDescent="0.25">
      <c r="B10" s="14"/>
    </row>
    <row r="11" spans="2:2" x14ac:dyDescent="0.25">
      <c r="B11" s="14"/>
    </row>
    <row r="12" spans="2:2" x14ac:dyDescent="0.25">
      <c r="B12" s="14"/>
    </row>
    <row r="13" spans="2:2" x14ac:dyDescent="0.25">
      <c r="B13" s="14"/>
    </row>
    <row r="14" spans="2:2" x14ac:dyDescent="0.25">
      <c r="B14" s="14"/>
    </row>
    <row r="15" spans="2:2" x14ac:dyDescent="0.25">
      <c r="B15" s="14"/>
    </row>
    <row r="16" spans="2:2" x14ac:dyDescent="0.25">
      <c r="B16" s="14" t="s">
        <v>21</v>
      </c>
    </row>
    <row r="17" spans="2:2" x14ac:dyDescent="0.25">
      <c r="B17" s="14" t="s">
        <v>21</v>
      </c>
    </row>
    <row r="18" spans="2:2" x14ac:dyDescent="0.25">
      <c r="B18" s="14"/>
    </row>
    <row r="19" spans="2:2" x14ac:dyDescent="0.25">
      <c r="B19" s="14"/>
    </row>
    <row r="20" spans="2:2" x14ac:dyDescent="0.25">
      <c r="B20" s="14"/>
    </row>
    <row r="21" spans="2:2" x14ac:dyDescent="0.25">
      <c r="B21" s="14" t="s">
        <v>21</v>
      </c>
    </row>
    <row r="22" spans="2:2" x14ac:dyDescent="0.25">
      <c r="B22" s="14" t="s">
        <v>21</v>
      </c>
    </row>
    <row r="23" spans="2:2" x14ac:dyDescent="0.25">
      <c r="B23" s="14"/>
    </row>
    <row r="24" spans="2:2" x14ac:dyDescent="0.25">
      <c r="B24" s="14"/>
    </row>
    <row r="25" spans="2:2" x14ac:dyDescent="0.25">
      <c r="B25" s="14"/>
    </row>
    <row r="26" spans="2:2" x14ac:dyDescent="0.25">
      <c r="B26" s="14"/>
    </row>
    <row r="27" spans="2:2" x14ac:dyDescent="0.25">
      <c r="B27" s="14"/>
    </row>
    <row r="28" spans="2:2" x14ac:dyDescent="0.25">
      <c r="B28" s="14" t="s">
        <v>21</v>
      </c>
    </row>
    <row r="29" spans="2:2" x14ac:dyDescent="0.25">
      <c r="B29" s="14" t="s">
        <v>21</v>
      </c>
    </row>
    <row r="30" spans="2:2" x14ac:dyDescent="0.25">
      <c r="B30" s="14" t="s">
        <v>21</v>
      </c>
    </row>
    <row r="31" spans="2:2" x14ac:dyDescent="0.25">
      <c r="B31" s="14" t="s">
        <v>21</v>
      </c>
    </row>
    <row r="32" spans="2:2" x14ac:dyDescent="0.25">
      <c r="B32" s="14" t="s">
        <v>21</v>
      </c>
    </row>
    <row r="33" spans="2:9" x14ac:dyDescent="0.25">
      <c r="B33" s="14"/>
    </row>
    <row r="34" spans="2:9" x14ac:dyDescent="0.25">
      <c r="B34" s="1"/>
      <c r="C34" s="1"/>
      <c r="D34" s="7"/>
      <c r="E34" s="7"/>
      <c r="F34" s="7"/>
      <c r="G34" s="8"/>
      <c r="H34" s="7"/>
      <c r="I34" s="8"/>
    </row>
    <row r="35" spans="2:9" x14ac:dyDescent="0.25">
      <c r="B35" s="2"/>
      <c r="C35" s="1"/>
      <c r="D35" s="7"/>
      <c r="E35" s="7"/>
      <c r="F35" s="7"/>
      <c r="G35" s="8"/>
      <c r="H35" s="7"/>
      <c r="I35" s="8"/>
    </row>
    <row r="36" spans="2:9" x14ac:dyDescent="0.25">
      <c r="B36" s="1"/>
      <c r="C36" s="1"/>
      <c r="D36" s="7"/>
      <c r="E36" s="7"/>
      <c r="F36" s="7"/>
      <c r="G36" s="8"/>
      <c r="H36" s="7"/>
      <c r="I36" s="8"/>
    </row>
    <row r="37" spans="2:9" x14ac:dyDescent="0.25">
      <c r="B37" s="5"/>
      <c r="C37" s="6"/>
      <c r="D37" s="7"/>
      <c r="E37" s="7"/>
      <c r="F37" s="7"/>
      <c r="G37" s="8"/>
      <c r="H37" s="7"/>
      <c r="I37" s="8"/>
    </row>
    <row r="38" spans="2:9" x14ac:dyDescent="0.25">
      <c r="B38" s="2"/>
      <c r="C38" s="1"/>
      <c r="D38" s="7"/>
      <c r="E38" s="7"/>
      <c r="F38" s="7"/>
      <c r="G38" s="8"/>
      <c r="H38" s="7"/>
      <c r="I38" s="8"/>
    </row>
    <row r="39" spans="2:9" x14ac:dyDescent="0.25">
      <c r="B39" s="1"/>
      <c r="C39" s="1"/>
      <c r="D39" s="7"/>
      <c r="E39" s="7"/>
      <c r="F39" s="7"/>
      <c r="G39" s="8"/>
      <c r="H39" s="7"/>
      <c r="I39" s="8"/>
    </row>
    <row r="40" spans="2:9" x14ac:dyDescent="0.25">
      <c r="B40" s="1"/>
      <c r="C40" s="1"/>
      <c r="D40" s="7"/>
      <c r="E40" s="7"/>
      <c r="F40" s="7"/>
      <c r="G40" s="8"/>
      <c r="H40" s="7"/>
      <c r="I40" s="8"/>
    </row>
    <row r="41" spans="2:9" x14ac:dyDescent="0.25">
      <c r="B41" s="2"/>
      <c r="C41" s="1"/>
      <c r="D41" s="7"/>
      <c r="E41" s="7"/>
      <c r="F41" s="7"/>
      <c r="G41" s="8"/>
      <c r="H41" s="7"/>
      <c r="I41" s="8"/>
    </row>
    <row r="42" spans="2:9" x14ac:dyDescent="0.25">
      <c r="B42" s="1"/>
      <c r="C42" s="1"/>
      <c r="D42" s="7"/>
      <c r="E42" s="7"/>
      <c r="F42" s="7"/>
      <c r="G42" s="8"/>
      <c r="H42" s="7"/>
      <c r="I42" s="8"/>
    </row>
    <row r="43" spans="2:9" x14ac:dyDescent="0.25">
      <c r="B43" s="2"/>
      <c r="C43" s="1"/>
      <c r="D43" s="7"/>
      <c r="E43" s="7"/>
      <c r="F43" s="7"/>
      <c r="G43" s="8"/>
      <c r="H43" s="7"/>
      <c r="I43" s="8"/>
    </row>
    <row r="44" spans="2:9" x14ac:dyDescent="0.25">
      <c r="B44" s="1"/>
      <c r="C44" s="1"/>
      <c r="D44" s="7"/>
      <c r="E44" s="7"/>
      <c r="F44" s="7"/>
      <c r="G44" s="8"/>
      <c r="H44" s="7"/>
      <c r="I44" s="8"/>
    </row>
    <row r="45" spans="2:9" x14ac:dyDescent="0.25">
      <c r="B45" s="5"/>
      <c r="C45" s="6"/>
      <c r="D45" s="7"/>
      <c r="E45" s="7"/>
      <c r="F45" s="7"/>
      <c r="G45" s="8"/>
      <c r="H45" s="7"/>
      <c r="I45" s="8"/>
    </row>
    <row r="46" spans="2:9" x14ac:dyDescent="0.25">
      <c r="B46" s="2"/>
      <c r="C46" s="1"/>
      <c r="D46" s="7"/>
      <c r="E46" s="7"/>
      <c r="F46" s="7"/>
      <c r="G46" s="8"/>
      <c r="H46" s="7"/>
      <c r="I46" s="8"/>
    </row>
    <row r="47" spans="2:9" x14ac:dyDescent="0.25">
      <c r="B47" s="1"/>
      <c r="C47" s="1"/>
      <c r="D47" s="7"/>
      <c r="E47" s="7"/>
      <c r="F47" s="7"/>
      <c r="G47" s="8"/>
      <c r="H47" s="7"/>
      <c r="I47" s="8"/>
    </row>
    <row r="48" spans="2:9" x14ac:dyDescent="0.25">
      <c r="B48" s="1"/>
      <c r="C48" s="1"/>
      <c r="D48" s="7"/>
      <c r="E48" s="7"/>
      <c r="F48" s="7"/>
      <c r="G48" s="8"/>
      <c r="H48" s="7"/>
      <c r="I48" s="8"/>
    </row>
    <row r="49" spans="2:9" x14ac:dyDescent="0.25">
      <c r="B49" s="1"/>
      <c r="C49" s="1"/>
      <c r="D49" s="7"/>
      <c r="E49" s="7"/>
      <c r="F49" s="7"/>
      <c r="G49" s="8"/>
      <c r="H49" s="7"/>
      <c r="I49" s="8"/>
    </row>
    <row r="50" spans="2:9" x14ac:dyDescent="0.25">
      <c r="B50" s="1"/>
      <c r="C50" s="1"/>
      <c r="D50" s="7"/>
      <c r="E50" s="7"/>
      <c r="F50" s="7"/>
      <c r="G50" s="8"/>
      <c r="H50" s="7"/>
      <c r="I50" s="8"/>
    </row>
    <row r="51" spans="2:9" x14ac:dyDescent="0.25">
      <c r="B51" s="2"/>
      <c r="C51" s="1"/>
      <c r="D51" s="1"/>
      <c r="E51" s="1"/>
      <c r="F51" s="1"/>
      <c r="G51" s="1"/>
      <c r="H51" s="1"/>
      <c r="I51" s="1"/>
    </row>
    <row r="52" spans="2:9" x14ac:dyDescent="0.25">
      <c r="B52" s="1"/>
      <c r="C52" s="1"/>
      <c r="D52" s="9"/>
      <c r="E52" s="9"/>
      <c r="F52" s="10"/>
      <c r="G52" s="9"/>
      <c r="H52" s="9"/>
      <c r="I52" s="9"/>
    </row>
    <row r="53" spans="2:9" x14ac:dyDescent="0.25">
      <c r="B53" s="1"/>
      <c r="C53" s="1"/>
      <c r="D53" s="9"/>
      <c r="E53" s="9"/>
      <c r="F53" s="10"/>
      <c r="G53" s="9"/>
      <c r="H53" s="9"/>
      <c r="I53" s="9"/>
    </row>
    <row r="54" spans="2:9" x14ac:dyDescent="0.25">
      <c r="B54" s="1"/>
      <c r="C54" s="1"/>
      <c r="D54" s="9"/>
      <c r="E54" s="9"/>
      <c r="F54" s="10"/>
      <c r="G54" s="9"/>
      <c r="H54" s="9"/>
      <c r="I54" s="9"/>
    </row>
    <row r="55" spans="2:9" x14ac:dyDescent="0.25">
      <c r="B55" s="2"/>
      <c r="C55" s="1"/>
      <c r="D55" s="9"/>
      <c r="E55" s="9"/>
      <c r="F55" s="10"/>
      <c r="G55" s="9"/>
      <c r="H55" s="9"/>
      <c r="I55" s="9"/>
    </row>
    <row r="56" spans="2:9" x14ac:dyDescent="0.25">
      <c r="B56" s="1"/>
      <c r="C56" s="1"/>
      <c r="D56" s="9"/>
      <c r="E56" s="9"/>
      <c r="F56" s="10"/>
      <c r="G56" s="9"/>
      <c r="H56" s="9"/>
      <c r="I56" s="9"/>
    </row>
    <row r="57" spans="2:9" x14ac:dyDescent="0.25">
      <c r="B57" s="1"/>
      <c r="C57" s="1"/>
      <c r="D57" s="9"/>
      <c r="E57" s="9"/>
      <c r="F57" s="10"/>
      <c r="G57" s="9"/>
      <c r="H57" s="9"/>
      <c r="I57" s="9"/>
    </row>
    <row r="58" spans="2:9" x14ac:dyDescent="0.25">
      <c r="B58" s="5"/>
      <c r="C58" s="6"/>
      <c r="D58" s="9"/>
      <c r="E58" s="9"/>
      <c r="F58" s="10"/>
      <c r="G58" s="9"/>
      <c r="H58" s="9"/>
      <c r="I58" s="9"/>
    </row>
    <row r="59" spans="2:9" x14ac:dyDescent="0.25">
      <c r="B59" s="2"/>
      <c r="C59" s="1"/>
      <c r="D59" s="7"/>
      <c r="E59" s="7"/>
      <c r="F59" s="7"/>
      <c r="G59" s="8"/>
      <c r="H59" s="7"/>
      <c r="I59" s="8"/>
    </row>
    <row r="60" spans="2:9" x14ac:dyDescent="0.25">
      <c r="B60" s="1"/>
      <c r="C60" s="1"/>
      <c r="D60" s="7"/>
      <c r="E60" s="7"/>
      <c r="F60" s="7"/>
      <c r="G60" s="8"/>
      <c r="H60" s="7"/>
      <c r="I60" s="8"/>
    </row>
    <row r="61" spans="2:9" x14ac:dyDescent="0.25">
      <c r="B61" s="2"/>
      <c r="C61" s="1"/>
      <c r="D61" s="7"/>
      <c r="E61" s="7"/>
      <c r="F61" s="7"/>
      <c r="G61" s="8"/>
      <c r="H61" s="7"/>
      <c r="I61" s="8"/>
    </row>
    <row r="62" spans="2:9" x14ac:dyDescent="0.25">
      <c r="B62" s="1"/>
      <c r="C62" s="1"/>
      <c r="D62" s="7"/>
      <c r="E62" s="7"/>
      <c r="F62" s="7"/>
      <c r="G62" s="8"/>
      <c r="H62" s="7"/>
      <c r="I62" s="8"/>
    </row>
    <row r="63" spans="2:9" x14ac:dyDescent="0.25">
      <c r="B63" s="2"/>
      <c r="C63" s="1"/>
      <c r="D63" s="7"/>
      <c r="E63" s="7"/>
      <c r="F63" s="7"/>
      <c r="G63" s="8"/>
      <c r="H63" s="7"/>
      <c r="I63" s="8"/>
    </row>
    <row r="64" spans="2:9" x14ac:dyDescent="0.25">
      <c r="B64" s="1"/>
      <c r="C64" s="1"/>
      <c r="D64" s="7"/>
      <c r="E64" s="7"/>
      <c r="F64" s="7"/>
      <c r="G64" s="8"/>
      <c r="H64" s="7"/>
      <c r="I64" s="8"/>
    </row>
    <row r="65" spans="2:9" x14ac:dyDescent="0.25">
      <c r="B65" s="2"/>
      <c r="C65" s="1"/>
      <c r="D65" s="7"/>
      <c r="E65" s="7"/>
      <c r="F65" s="7"/>
      <c r="G65" s="8"/>
      <c r="H65" s="7"/>
      <c r="I65" s="8"/>
    </row>
    <row r="66" spans="2:9" x14ac:dyDescent="0.25">
      <c r="B66" s="1"/>
      <c r="C66" s="1"/>
      <c r="D66" s="7"/>
      <c r="E66" s="7"/>
      <c r="F66" s="7"/>
      <c r="G66" s="8"/>
      <c r="H66" s="7"/>
      <c r="I66" s="8"/>
    </row>
    <row r="67" spans="2:9" x14ac:dyDescent="0.25">
      <c r="B67" s="1"/>
      <c r="C67" s="1"/>
      <c r="D67" s="7"/>
      <c r="E67" s="7"/>
      <c r="F67" s="7"/>
      <c r="G67" s="8"/>
      <c r="H67" s="7"/>
      <c r="I67" s="8"/>
    </row>
    <row r="68" spans="2:9" x14ac:dyDescent="0.25">
      <c r="B68" s="2"/>
      <c r="C68" s="1"/>
      <c r="D68" s="7"/>
      <c r="E68" s="7"/>
      <c r="F68" s="7"/>
      <c r="G68" s="8"/>
      <c r="H68" s="7"/>
      <c r="I68" s="8"/>
    </row>
    <row r="69" spans="2:9" x14ac:dyDescent="0.25">
      <c r="B69" s="1"/>
      <c r="C69" s="1"/>
      <c r="D69" s="7"/>
      <c r="E69" s="7"/>
      <c r="F69" s="7"/>
      <c r="G69" s="8"/>
      <c r="H69" s="7"/>
      <c r="I69" s="8"/>
    </row>
    <row r="70" spans="2:9" x14ac:dyDescent="0.25">
      <c r="B70" s="1"/>
      <c r="C70" s="1"/>
      <c r="D70" s="7"/>
      <c r="E70" s="7"/>
      <c r="F70" s="7"/>
      <c r="G70" s="8"/>
      <c r="H70" s="7"/>
      <c r="I70" s="8"/>
    </row>
    <row r="71" spans="2:9" x14ac:dyDescent="0.25">
      <c r="B71" s="2"/>
      <c r="C71" s="1"/>
      <c r="D71" s="7"/>
      <c r="E71" s="7"/>
      <c r="F71" s="7"/>
      <c r="G71" s="8"/>
      <c r="H71" s="7"/>
      <c r="I71" s="8"/>
    </row>
    <row r="72" spans="2:9" x14ac:dyDescent="0.25">
      <c r="B72" s="1"/>
      <c r="C72" s="1"/>
      <c r="D72" s="7"/>
      <c r="E72" s="7"/>
      <c r="F72" s="7"/>
      <c r="G72" s="8"/>
      <c r="H72" s="7"/>
      <c r="I72" s="8"/>
    </row>
    <row r="73" spans="2:9" x14ac:dyDescent="0.25">
      <c r="B73" s="1"/>
      <c r="C73" s="1"/>
      <c r="D73" s="7"/>
      <c r="E73" s="7"/>
      <c r="F73" s="7"/>
      <c r="G73" s="8"/>
      <c r="H73" s="7"/>
      <c r="I73" s="8"/>
    </row>
    <row r="74" spans="2:9" x14ac:dyDescent="0.25">
      <c r="B74" s="2"/>
      <c r="C74" s="1"/>
      <c r="D74" s="7"/>
      <c r="E74" s="7"/>
      <c r="F74" s="7"/>
      <c r="G74" s="8"/>
      <c r="H74" s="7"/>
      <c r="I74" s="8"/>
    </row>
    <row r="75" spans="2:9" x14ac:dyDescent="0.25">
      <c r="B75" s="1"/>
      <c r="C75" s="1"/>
      <c r="D75" s="7"/>
      <c r="E75" s="7"/>
      <c r="F75" s="7"/>
      <c r="G75" s="8"/>
      <c r="H75" s="7"/>
      <c r="I75" s="8"/>
    </row>
    <row r="76" spans="2:9" x14ac:dyDescent="0.25">
      <c r="B76" s="2"/>
      <c r="C76" s="1"/>
      <c r="D76" s="7"/>
      <c r="E76" s="7"/>
      <c r="F76" s="7"/>
      <c r="G76" s="8"/>
      <c r="H76" s="7"/>
      <c r="I76" s="8"/>
    </row>
    <row r="77" spans="2:9" x14ac:dyDescent="0.25">
      <c r="B77" s="1"/>
      <c r="C77" s="1"/>
      <c r="D77" s="7"/>
      <c r="E77" s="7"/>
      <c r="F77" s="7"/>
      <c r="G77" s="8"/>
      <c r="H77" s="7"/>
      <c r="I77" s="8"/>
    </row>
    <row r="78" spans="2:9" x14ac:dyDescent="0.25">
      <c r="B78" s="2"/>
      <c r="C78" s="1"/>
      <c r="D78" s="7"/>
      <c r="E78" s="7"/>
      <c r="F78" s="7"/>
      <c r="G78" s="8"/>
      <c r="H78" s="7"/>
      <c r="I78" s="8"/>
    </row>
    <row r="79" spans="2:9" x14ac:dyDescent="0.25">
      <c r="B79" s="1"/>
      <c r="C79" s="1"/>
      <c r="D79" s="7"/>
      <c r="E79" s="7"/>
      <c r="F79" s="7"/>
      <c r="G79" s="8"/>
      <c r="H79" s="7"/>
      <c r="I79" s="8"/>
    </row>
    <row r="80" spans="2:9" x14ac:dyDescent="0.25">
      <c r="B80" s="2"/>
      <c r="C80" s="1"/>
      <c r="D80" s="7"/>
      <c r="E80" s="7"/>
      <c r="F80" s="7"/>
      <c r="G80" s="8"/>
      <c r="H80" s="7"/>
      <c r="I80" s="8"/>
    </row>
    <row r="81" spans="2:9" x14ac:dyDescent="0.25">
      <c r="B81" s="1"/>
      <c r="C81" s="1"/>
      <c r="D81" s="7"/>
      <c r="E81" s="7"/>
      <c r="F81" s="7"/>
      <c r="G81" s="8"/>
      <c r="H81" s="7"/>
      <c r="I81" s="8"/>
    </row>
    <row r="82" spans="2:9" x14ac:dyDescent="0.25">
      <c r="B82" s="1"/>
      <c r="C82" s="1"/>
      <c r="D82" s="7"/>
      <c r="E82" s="7"/>
      <c r="F82" s="7"/>
      <c r="G82" s="8"/>
      <c r="H82" s="7"/>
      <c r="I82" s="8"/>
    </row>
    <row r="83" spans="2:9" x14ac:dyDescent="0.25">
      <c r="B83" s="11"/>
      <c r="C83" s="12"/>
      <c r="D83" s="13"/>
      <c r="E83" s="13"/>
      <c r="F83" s="13"/>
      <c r="G83" s="13"/>
      <c r="H83" s="13"/>
      <c r="I83" s="13"/>
    </row>
    <row r="84" spans="2:9" x14ac:dyDescent="0.25">
      <c r="D84" s="28"/>
    </row>
    <row r="85" spans="2:9" x14ac:dyDescent="0.25">
      <c r="D85" s="28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5"/>
  <sheetViews>
    <sheetView workbookViewId="0">
      <selection activeCell="E15" sqref="E15"/>
    </sheetView>
  </sheetViews>
  <sheetFormatPr defaultRowHeight="15" x14ac:dyDescent="0.25"/>
  <cols>
    <col min="1" max="1" width="9.7109375" style="21" bestFit="1" customWidth="1"/>
    <col min="2" max="2" width="7.140625" style="21" customWidth="1"/>
    <col min="3" max="6" width="6.42578125" style="21" customWidth="1"/>
    <col min="7" max="7" width="5.5703125" style="21" customWidth="1"/>
    <col min="8" max="8" width="4.5703125" style="21" customWidth="1"/>
    <col min="9" max="9" width="7.28515625" style="21" customWidth="1"/>
    <col min="10" max="10" width="6.7109375" style="21" customWidth="1"/>
    <col min="11" max="11" width="7" style="21" customWidth="1"/>
    <col min="12" max="12" width="6.28515625" style="21" customWidth="1"/>
    <col min="13" max="13" width="7.140625" style="21" customWidth="1"/>
    <col min="14" max="14" width="10.5703125" style="21" customWidth="1"/>
    <col min="15" max="15" width="9.140625" style="21"/>
    <col min="16" max="16" width="11.7109375" style="21" customWidth="1"/>
    <col min="17" max="17" width="12.140625" style="21" customWidth="1"/>
    <col min="18" max="18" width="12" style="21" customWidth="1"/>
    <col min="19" max="23" width="9.140625" style="21"/>
    <col min="24" max="25" width="9.140625" style="20"/>
    <col min="26" max="16384" width="9.140625" style="21"/>
  </cols>
  <sheetData>
    <row r="1" spans="1:27" s="17" customFormat="1" ht="77.25" customHeight="1" x14ac:dyDescent="0.25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  <c r="I1" s="17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28</v>
      </c>
      <c r="O1" s="17" t="s">
        <v>45</v>
      </c>
      <c r="P1" s="17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8" t="s">
        <v>54</v>
      </c>
      <c r="Y1" s="18" t="s">
        <v>55</v>
      </c>
      <c r="Z1" s="17" t="s">
        <v>56</v>
      </c>
      <c r="AA1" s="17" t="s">
        <v>57</v>
      </c>
    </row>
    <row r="2" spans="1:27" x14ac:dyDescent="0.25">
      <c r="A2" s="19">
        <v>42072</v>
      </c>
      <c r="B2" s="20">
        <v>1</v>
      </c>
      <c r="C2" s="20"/>
      <c r="D2" s="20"/>
      <c r="N2" s="21" t="s">
        <v>5</v>
      </c>
      <c r="O2" s="21">
        <f t="shared" ref="O2" si="0">400+400</f>
        <v>800</v>
      </c>
      <c r="P2" s="22">
        <f t="shared" ref="P2" si="1">(38.76+38.438)/2</f>
        <v>38.599000000000004</v>
      </c>
      <c r="Q2" s="22">
        <v>37.96</v>
      </c>
      <c r="R2" s="23">
        <f>Table2[[#This Row],[Sell price/share]]-Table2[[#This Row],[Buy price/share]]</f>
        <v>-0.6390000000000029</v>
      </c>
      <c r="S2" s="24">
        <f>Table2[[#This Row],[Return/share]]*Table2[[#This Row],[Num Shares]]</f>
        <v>-511.20000000000232</v>
      </c>
      <c r="T2" s="21">
        <f>(4.56+2+2)</f>
        <v>8.5599999999999987</v>
      </c>
      <c r="U2" s="25"/>
      <c r="V2" s="25"/>
      <c r="W2" s="25"/>
      <c r="X2" s="20">
        <f>IF(Table2[[#This Row],[Return/share]]&gt;0, 1, 0)</f>
        <v>0</v>
      </c>
      <c r="Y2" s="20">
        <f>IF(Table2[[#This Row],[Return/share]]&lt;=0,1,0)</f>
        <v>1</v>
      </c>
    </row>
    <row r="3" spans="1:27" x14ac:dyDescent="0.25">
      <c r="A3" s="19">
        <v>42073</v>
      </c>
      <c r="B3" s="20">
        <v>1</v>
      </c>
      <c r="C3" s="20"/>
      <c r="D3" s="20"/>
      <c r="I3" s="21">
        <v>1</v>
      </c>
      <c r="N3" s="21" t="s">
        <v>0</v>
      </c>
      <c r="O3" s="21">
        <v>200</v>
      </c>
      <c r="P3" s="22">
        <v>36.42</v>
      </c>
      <c r="Q3" s="22">
        <v>36.44</v>
      </c>
      <c r="R3" s="23">
        <f>Table2[[#This Row],[Sell price/share]]-Table2[[#This Row],[Buy price/share]]</f>
        <v>1.9999999999996021E-2</v>
      </c>
      <c r="S3" s="24">
        <f>Table2[[#This Row],[Return/share]]*Table2[[#This Row],[Num Shares]]</f>
        <v>3.9999999999992042</v>
      </c>
      <c r="T3" s="21">
        <f>(1+1.13)</f>
        <v>2.13</v>
      </c>
      <c r="U3" s="25"/>
      <c r="V3" s="25"/>
      <c r="W3" s="25"/>
      <c r="X3" s="20">
        <f>IF(Table2[[#This Row],[Return/share]]&gt;0, 1, 0)</f>
        <v>1</v>
      </c>
      <c r="Y3" s="20">
        <f>IF(Table2[[#This Row],[Return/share]]&lt;=0,1,0)</f>
        <v>0</v>
      </c>
      <c r="Z3" s="21" t="s">
        <v>58</v>
      </c>
    </row>
    <row r="4" spans="1:27" x14ac:dyDescent="0.25">
      <c r="A4" s="19">
        <v>42073</v>
      </c>
      <c r="B4" s="20">
        <v>1</v>
      </c>
      <c r="C4" s="20"/>
      <c r="D4" s="20"/>
      <c r="J4" s="21">
        <v>1</v>
      </c>
      <c r="N4" s="21" t="s">
        <v>0</v>
      </c>
      <c r="O4" s="21">
        <v>200</v>
      </c>
      <c r="P4" s="22">
        <v>36.51</v>
      </c>
      <c r="Q4" s="22">
        <v>36.4</v>
      </c>
      <c r="R4" s="23">
        <f>Table2[[#This Row],[Sell price/share]]-Table2[[#This Row],[Buy price/share]]</f>
        <v>-0.10999999999999943</v>
      </c>
      <c r="S4" s="24">
        <f>Table2[[#This Row],[Return/share]]*Table2[[#This Row],[Num Shares]]</f>
        <v>-21.999999999999886</v>
      </c>
      <c r="T4" s="21">
        <f>(1+1.13)</f>
        <v>2.13</v>
      </c>
      <c r="U4" s="25"/>
      <c r="V4" s="25"/>
      <c r="W4" s="25"/>
      <c r="X4" s="20">
        <f>IF(Table2[[#This Row],[Return/share]]&gt;0, 1, 0)</f>
        <v>0</v>
      </c>
      <c r="Y4" s="20">
        <f>IF(Table2[[#This Row],[Return/share]]&lt;=0,1,0)</f>
        <v>1</v>
      </c>
      <c r="Z4" s="21" t="s">
        <v>58</v>
      </c>
    </row>
    <row r="5" spans="1:27" x14ac:dyDescent="0.25">
      <c r="A5" s="19">
        <v>42073</v>
      </c>
      <c r="B5" s="20"/>
      <c r="C5" s="20"/>
      <c r="D5" s="20"/>
      <c r="F5" s="21">
        <v>1</v>
      </c>
      <c r="K5" s="21">
        <v>1</v>
      </c>
      <c r="N5" s="21" t="s">
        <v>6</v>
      </c>
      <c r="O5" s="21">
        <v>200</v>
      </c>
      <c r="P5" s="22">
        <v>42.78</v>
      </c>
      <c r="Q5" s="22">
        <v>42.56</v>
      </c>
      <c r="R5" s="23">
        <f>Table2[[#This Row],[Sell price/share]]-Table2[[#This Row],[Buy price/share]]</f>
        <v>-0.21999999999999886</v>
      </c>
      <c r="S5" s="24">
        <f>Table2[[#This Row],[Return/share]]*Table2[[#This Row],[Num Shares]]</f>
        <v>-43.999999999999773</v>
      </c>
      <c r="T5" s="21">
        <f>(1+1.16)</f>
        <v>2.16</v>
      </c>
      <c r="U5" s="25"/>
      <c r="V5" s="25"/>
      <c r="W5" s="25"/>
      <c r="X5" s="20">
        <f>IF(Table2[[#This Row],[Return/share]]&gt;0, 1, 0)</f>
        <v>0</v>
      </c>
      <c r="Y5" s="20">
        <f>IF(Table2[[#This Row],[Return/share]]&lt;=0,1,0)</f>
        <v>1</v>
      </c>
      <c r="Z5" s="21" t="s">
        <v>58</v>
      </c>
    </row>
    <row r="6" spans="1:27" x14ac:dyDescent="0.25">
      <c r="A6" s="19">
        <v>42073</v>
      </c>
      <c r="B6" s="20"/>
      <c r="C6" s="20"/>
      <c r="D6" s="20"/>
      <c r="G6" s="21">
        <v>1</v>
      </c>
      <c r="K6" s="21">
        <v>1</v>
      </c>
      <c r="N6" s="21" t="s">
        <v>6</v>
      </c>
      <c r="O6" s="26">
        <v>200</v>
      </c>
      <c r="P6" s="22">
        <v>42.93</v>
      </c>
      <c r="Q6" s="22">
        <v>43.2</v>
      </c>
      <c r="R6" s="23">
        <f>Table2[[#This Row],[Sell price/share]]-Table2[[#This Row],[Buy price/share]]</f>
        <v>0.27000000000000313</v>
      </c>
      <c r="S6" s="24">
        <f>Table2[[#This Row],[Return/share]]*Table2[[#This Row],[Num Shares]]</f>
        <v>54.000000000000625</v>
      </c>
      <c r="T6" s="21">
        <f t="shared" ref="T6:T9" si="2">(1+1.16)</f>
        <v>2.16</v>
      </c>
      <c r="U6" s="25"/>
      <c r="V6" s="25"/>
      <c r="W6" s="25"/>
      <c r="X6" s="20">
        <f>IF(Table2[[#This Row],[Return/share]]&gt;0, 1, 0)</f>
        <v>1</v>
      </c>
      <c r="Y6" s="20">
        <f>IF(Table2[[#This Row],[Return/share]]&lt;=0,1,0)</f>
        <v>0</v>
      </c>
      <c r="Z6" s="21" t="s">
        <v>58</v>
      </c>
    </row>
    <row r="7" spans="1:27" x14ac:dyDescent="0.25">
      <c r="A7" s="19">
        <v>42073</v>
      </c>
      <c r="B7" s="20"/>
      <c r="C7" s="20"/>
      <c r="D7" s="20"/>
      <c r="I7" s="21">
        <v>1</v>
      </c>
      <c r="J7" s="21">
        <v>1</v>
      </c>
      <c r="K7" s="21">
        <v>1</v>
      </c>
      <c r="N7" s="21" t="s">
        <v>6</v>
      </c>
      <c r="O7" s="26">
        <v>200</v>
      </c>
      <c r="P7" s="22">
        <v>43.32</v>
      </c>
      <c r="Q7" s="22">
        <v>43.085000000000001</v>
      </c>
      <c r="R7" s="23">
        <f>Table2[[#This Row],[Sell price/share]]-Table2[[#This Row],[Buy price/share]]</f>
        <v>-0.23499999999999943</v>
      </c>
      <c r="S7" s="24">
        <f>Table2[[#This Row],[Return/share]]*Table2[[#This Row],[Num Shares]]</f>
        <v>-46.999999999999886</v>
      </c>
      <c r="T7" s="21">
        <f t="shared" si="2"/>
        <v>2.16</v>
      </c>
      <c r="U7" s="25"/>
      <c r="V7" s="25"/>
      <c r="W7" s="25"/>
      <c r="X7" s="20">
        <f>IF(Table2[[#This Row],[Return/share]]&gt;0, 1, 0)</f>
        <v>0</v>
      </c>
      <c r="Y7" s="20">
        <f>IF(Table2[[#This Row],[Return/share]]&lt;=0,1,0)</f>
        <v>1</v>
      </c>
      <c r="Z7" s="21" t="s">
        <v>58</v>
      </c>
    </row>
    <row r="8" spans="1:27" x14ac:dyDescent="0.25">
      <c r="A8" s="19">
        <v>42073</v>
      </c>
      <c r="B8" s="20"/>
      <c r="C8" s="20"/>
      <c r="D8" s="20"/>
      <c r="J8" s="21">
        <v>1</v>
      </c>
      <c r="K8" s="21">
        <v>1</v>
      </c>
      <c r="N8" s="21" t="s">
        <v>6</v>
      </c>
      <c r="O8" s="26">
        <v>200</v>
      </c>
      <c r="P8" s="22">
        <v>43.09</v>
      </c>
      <c r="Q8" s="22">
        <v>43.13</v>
      </c>
      <c r="R8" s="23">
        <f>Table2[[#This Row],[Sell price/share]]-Table2[[#This Row],[Buy price/share]]</f>
        <v>3.9999999999999147E-2</v>
      </c>
      <c r="S8" s="24">
        <f>Table2[[#This Row],[Return/share]]*Table2[[#This Row],[Num Shares]]</f>
        <v>7.9999999999998295</v>
      </c>
      <c r="T8" s="21">
        <f t="shared" si="2"/>
        <v>2.16</v>
      </c>
      <c r="U8" s="25"/>
      <c r="V8" s="25"/>
      <c r="W8" s="25"/>
      <c r="X8" s="20">
        <f>IF(Table2[[#This Row],[Return/share]]&gt;0, 1, 0)</f>
        <v>1</v>
      </c>
      <c r="Y8" s="20">
        <f>IF(Table2[[#This Row],[Return/share]]&lt;=0,1,0)</f>
        <v>0</v>
      </c>
      <c r="Z8" s="21" t="s">
        <v>58</v>
      </c>
    </row>
    <row r="9" spans="1:27" x14ac:dyDescent="0.25">
      <c r="A9" s="19">
        <v>42073</v>
      </c>
      <c r="B9" s="20"/>
      <c r="C9" s="20"/>
      <c r="D9" s="20"/>
      <c r="I9" s="21">
        <v>1</v>
      </c>
      <c r="K9" s="21">
        <v>1</v>
      </c>
      <c r="N9" s="21" t="s">
        <v>6</v>
      </c>
      <c r="O9" s="26">
        <v>200</v>
      </c>
      <c r="P9" s="22">
        <v>43.29</v>
      </c>
      <c r="Q9" s="22">
        <v>43.13</v>
      </c>
      <c r="R9" s="23">
        <f>Table2[[#This Row],[Sell price/share]]-Table2[[#This Row],[Buy price/share]]</f>
        <v>-0.15999999999999659</v>
      </c>
      <c r="S9" s="24">
        <f>Table2[[#This Row],[Return/share]]*Table2[[#This Row],[Num Shares]]</f>
        <v>-31.999999999999318</v>
      </c>
      <c r="T9" s="21">
        <f t="shared" si="2"/>
        <v>2.16</v>
      </c>
      <c r="U9" s="25"/>
      <c r="V9" s="25"/>
      <c r="W9" s="25"/>
      <c r="X9" s="20">
        <f>IF(Table2[[#This Row],[Return/share]]&gt;0, 1, 0)</f>
        <v>0</v>
      </c>
      <c r="Y9" s="20">
        <f>IF(Table2[[#This Row],[Return/share]]&lt;=0,1,0)</f>
        <v>1</v>
      </c>
      <c r="Z9" s="21" t="s">
        <v>59</v>
      </c>
      <c r="AA9" s="21" t="s">
        <v>60</v>
      </c>
    </row>
    <row r="10" spans="1:27" x14ac:dyDescent="0.25">
      <c r="A10" s="19">
        <v>42073</v>
      </c>
      <c r="B10" s="20"/>
      <c r="C10" s="20"/>
      <c r="D10" s="20"/>
      <c r="I10" s="21">
        <v>1</v>
      </c>
      <c r="K10" s="21">
        <v>1</v>
      </c>
      <c r="N10" s="21" t="s">
        <v>4</v>
      </c>
      <c r="O10" s="26">
        <v>200</v>
      </c>
      <c r="P10" s="22">
        <v>48.784999999999997</v>
      </c>
      <c r="Q10" s="22">
        <v>48.94</v>
      </c>
      <c r="R10" s="23">
        <f>Table2[[#This Row],[Sell price/share]]-Table2[[#This Row],[Buy price/share]]</f>
        <v>0.15500000000000114</v>
      </c>
      <c r="S10" s="24">
        <f>Table2[[#This Row],[Return/share]]*Table2[[#This Row],[Num Shares]]</f>
        <v>31.000000000000227</v>
      </c>
      <c r="T10" s="21">
        <f>(1+2.18)</f>
        <v>3.18</v>
      </c>
      <c r="U10" s="25"/>
      <c r="V10" s="25"/>
      <c r="W10" s="25"/>
      <c r="X10" s="20">
        <f>IF(Table2[[#This Row],[Return/share]]&gt;0, 1, 0)</f>
        <v>1</v>
      </c>
      <c r="Y10" s="20">
        <f>IF(Table2[[#This Row],[Return/share]]&lt;=0,1,0)</f>
        <v>0</v>
      </c>
      <c r="Z10" s="21" t="s">
        <v>58</v>
      </c>
    </row>
    <row r="11" spans="1:27" x14ac:dyDescent="0.25">
      <c r="A11" s="19">
        <v>42073</v>
      </c>
      <c r="B11" s="20">
        <v>1</v>
      </c>
      <c r="C11" s="20"/>
      <c r="D11" s="20"/>
      <c r="J11" s="21">
        <v>1</v>
      </c>
      <c r="N11" s="21" t="s">
        <v>3</v>
      </c>
      <c r="O11" s="26">
        <v>200</v>
      </c>
      <c r="P11" s="22">
        <v>73.03</v>
      </c>
      <c r="Q11" s="22">
        <v>72.88</v>
      </c>
      <c r="R11" s="23">
        <f>Table2[[#This Row],[Sell price/share]]-Table2[[#This Row],[Buy price/share]]</f>
        <v>-0.15000000000000568</v>
      </c>
      <c r="S11" s="24">
        <f>Table2[[#This Row],[Return/share]]*Table2[[#This Row],[Num Shares]]</f>
        <v>-30.000000000001137</v>
      </c>
      <c r="T11" s="26">
        <f>(1+1.27)</f>
        <v>2.27</v>
      </c>
      <c r="U11" s="25"/>
      <c r="V11" s="25"/>
      <c r="W11" s="25"/>
      <c r="X11" s="20">
        <f>IF(Table2[[#This Row],[Return/share]]&gt;0, 1, 0)</f>
        <v>0</v>
      </c>
      <c r="Y11" s="20">
        <f>IF(Table2[[#This Row],[Return/share]]&lt;=0,1,0)</f>
        <v>1</v>
      </c>
      <c r="Z11" s="21" t="s">
        <v>59</v>
      </c>
      <c r="AA11" s="21" t="s">
        <v>60</v>
      </c>
    </row>
    <row r="12" spans="1:27" x14ac:dyDescent="0.25">
      <c r="A12" s="19">
        <v>42073</v>
      </c>
      <c r="B12" s="20">
        <v>1</v>
      </c>
      <c r="C12" s="20"/>
      <c r="D12" s="20"/>
      <c r="H12" s="21">
        <v>1</v>
      </c>
      <c r="N12" s="21" t="s">
        <v>1</v>
      </c>
      <c r="O12" s="26">
        <v>200</v>
      </c>
      <c r="P12" s="22">
        <v>4.01</v>
      </c>
      <c r="Q12" s="22">
        <v>4.05</v>
      </c>
      <c r="R12" s="23">
        <f>Table2[[#This Row],[Sell price/share]]-Table2[[#This Row],[Buy price/share]]</f>
        <v>4.0000000000000036E-2</v>
      </c>
      <c r="S12" s="24">
        <f>Table2[[#This Row],[Return/share]]*Table2[[#This Row],[Num Shares]]</f>
        <v>8.0000000000000071</v>
      </c>
      <c r="T12" s="26">
        <f>(1+1.01)</f>
        <v>2.0099999999999998</v>
      </c>
      <c r="U12" s="25"/>
      <c r="V12" s="25"/>
      <c r="W12" s="25"/>
      <c r="X12" s="20">
        <f>IF(Table2[[#This Row],[Return/share]]&gt;0, 1, 0)</f>
        <v>1</v>
      </c>
      <c r="Y12" s="20">
        <f>IF(Table2[[#This Row],[Return/share]]&lt;=0,1,0)</f>
        <v>0</v>
      </c>
      <c r="Z12" s="21" t="s">
        <v>58</v>
      </c>
    </row>
    <row r="13" spans="1:27" x14ac:dyDescent="0.25">
      <c r="A13" s="19">
        <v>42073</v>
      </c>
      <c r="B13" s="20">
        <v>1</v>
      </c>
      <c r="C13" s="20"/>
      <c r="D13" s="20"/>
      <c r="J13" s="21">
        <v>1</v>
      </c>
      <c r="N13" s="21" t="s">
        <v>1</v>
      </c>
      <c r="O13" s="26">
        <v>200</v>
      </c>
      <c r="P13" s="22">
        <v>4.17</v>
      </c>
      <c r="Q13" s="22">
        <v>4.21</v>
      </c>
      <c r="R13" s="23">
        <f>Table2[[#This Row],[Sell price/share]]-Table2[[#This Row],[Buy price/share]]</f>
        <v>4.0000000000000036E-2</v>
      </c>
      <c r="S13" s="24">
        <f>Table2[[#This Row],[Return/share]]*Table2[[#This Row],[Num Shares]]</f>
        <v>8.0000000000000071</v>
      </c>
      <c r="T13" s="26">
        <f>(1+1.02)</f>
        <v>2.02</v>
      </c>
      <c r="U13" s="25"/>
      <c r="V13" s="25"/>
      <c r="W13" s="25"/>
      <c r="X13" s="20">
        <f>IF(Table2[[#This Row],[Return/share]]&gt;0, 1, 0)</f>
        <v>1</v>
      </c>
      <c r="Y13" s="20">
        <f>IF(Table2[[#This Row],[Return/share]]&lt;=0,1,0)</f>
        <v>0</v>
      </c>
      <c r="Z13" s="21" t="s">
        <v>58</v>
      </c>
    </row>
    <row r="14" spans="1:27" x14ac:dyDescent="0.25">
      <c r="A14" s="19">
        <v>42073</v>
      </c>
      <c r="B14" s="20">
        <v>1</v>
      </c>
      <c r="C14" s="20"/>
      <c r="D14" s="20"/>
      <c r="I14" s="21">
        <v>1</v>
      </c>
      <c r="N14" s="21" t="s">
        <v>1</v>
      </c>
      <c r="O14" s="26">
        <v>200</v>
      </c>
      <c r="P14" s="22">
        <v>4.2300000000000004</v>
      </c>
      <c r="Q14" s="22">
        <v>4.24</v>
      </c>
      <c r="R14" s="23">
        <f>Table2[[#This Row],[Sell price/share]]-Table2[[#This Row],[Buy price/share]]</f>
        <v>9.9999999999997868E-3</v>
      </c>
      <c r="S14" s="24">
        <f>Table2[[#This Row],[Return/share]]*Table2[[#This Row],[Num Shares]]</f>
        <v>1.9999999999999574</v>
      </c>
      <c r="T14" s="26">
        <f>(1+1.02)</f>
        <v>2.02</v>
      </c>
      <c r="U14" s="25"/>
      <c r="V14" s="25"/>
      <c r="W14" s="25"/>
      <c r="X14" s="20">
        <f>IF(Table2[[#This Row],[Return/share]]&gt;0, 1, 0)</f>
        <v>1</v>
      </c>
      <c r="Y14" s="20">
        <f>IF(Table2[[#This Row],[Return/share]]&lt;=0,1,0)</f>
        <v>0</v>
      </c>
      <c r="Z14" s="21" t="s">
        <v>58</v>
      </c>
    </row>
    <row r="15" spans="1:27" x14ac:dyDescent="0.25">
      <c r="A15" s="19">
        <v>42073</v>
      </c>
      <c r="B15" s="20"/>
      <c r="C15" s="20"/>
      <c r="D15" s="20"/>
      <c r="I15" s="21">
        <v>1</v>
      </c>
      <c r="N15" s="21" t="s">
        <v>2</v>
      </c>
      <c r="O15" s="26">
        <v>200</v>
      </c>
      <c r="P15" s="22">
        <v>8.9700000000000006</v>
      </c>
      <c r="Q15" s="22">
        <v>9.08</v>
      </c>
      <c r="R15" s="23">
        <f>Table2[[#This Row],[Sell price/share]]-Table2[[#This Row],[Buy price/share]]</f>
        <v>0.10999999999999943</v>
      </c>
      <c r="S15" s="24">
        <f>Table2[[#This Row],[Return/share]]*Table2[[#This Row],[Num Shares]]</f>
        <v>21.999999999999886</v>
      </c>
      <c r="T15" s="26">
        <f>(1+1.03)</f>
        <v>2.0300000000000002</v>
      </c>
      <c r="U15" s="25"/>
      <c r="V15" s="25"/>
      <c r="W15" s="25"/>
      <c r="X15" s="20">
        <f>IF(Table2[[#This Row],[Return/share]]&gt;0, 1, 0)</f>
        <v>1</v>
      </c>
      <c r="Y15" s="20">
        <f>IF(Table2[[#This Row],[Return/share]]&lt;=0,1,0)</f>
        <v>0</v>
      </c>
      <c r="Z15" s="21" t="s">
        <v>58</v>
      </c>
    </row>
    <row r="16" spans="1:27" x14ac:dyDescent="0.25">
      <c r="A16" s="19">
        <v>42086</v>
      </c>
      <c r="B16" s="20">
        <v>1</v>
      </c>
      <c r="C16" s="20"/>
      <c r="D16" s="20">
        <v>1</v>
      </c>
      <c r="N16" s="21" t="s">
        <v>61</v>
      </c>
      <c r="O16" s="26">
        <v>200</v>
      </c>
      <c r="P16" s="22">
        <v>6.34</v>
      </c>
      <c r="Q16" s="22">
        <v>6.63</v>
      </c>
      <c r="R16" s="23">
        <f>Table2[[#This Row],[Sell price/share]]-Table2[[#This Row],[Buy price/share]]</f>
        <v>0.29000000000000004</v>
      </c>
      <c r="S16" s="24">
        <f>Table2[[#This Row],[Return/share]]*Table2[[#This Row],[Num Shares]]</f>
        <v>58.000000000000007</v>
      </c>
      <c r="T16" s="26">
        <f>(1+1.02)</f>
        <v>2.02</v>
      </c>
      <c r="U16" s="25"/>
      <c r="V16" s="25"/>
      <c r="W16" s="25"/>
      <c r="X16" s="20">
        <f>IF(Table2[[#This Row],[Return/share]]&gt;0, 1, 0)</f>
        <v>1</v>
      </c>
      <c r="Y16" s="20">
        <f>IF(Table2[[#This Row],[Return/share]]&lt;=0,1,0)</f>
        <v>0</v>
      </c>
      <c r="Z16" s="21" t="s">
        <v>58</v>
      </c>
    </row>
    <row r="17" spans="1:27" x14ac:dyDescent="0.25">
      <c r="A17" s="19">
        <v>42086</v>
      </c>
      <c r="B17" s="20">
        <v>1</v>
      </c>
      <c r="C17" s="20"/>
      <c r="D17" s="20"/>
      <c r="F17" s="21">
        <v>1</v>
      </c>
      <c r="I17" s="21">
        <v>1</v>
      </c>
      <c r="N17" s="21" t="s">
        <v>61</v>
      </c>
      <c r="O17" s="26">
        <v>200</v>
      </c>
      <c r="P17" s="22">
        <v>6.76</v>
      </c>
      <c r="Q17" s="22">
        <f>(6.85+6.925)/2</f>
        <v>6.8874999999999993</v>
      </c>
      <c r="R17" s="23">
        <f>Table2[[#This Row],[Sell price/share]]-Table2[[#This Row],[Buy price/share]]</f>
        <v>0.1274999999999995</v>
      </c>
      <c r="S17" s="24">
        <f>Table2[[#This Row],[Return/share]]*Table2[[#This Row],[Num Shares]]</f>
        <v>25.499999999999901</v>
      </c>
      <c r="T17" s="26">
        <f>(1.01+1.03+1)</f>
        <v>3.04</v>
      </c>
      <c r="U17" s="25"/>
      <c r="V17" s="25"/>
      <c r="W17" s="25"/>
      <c r="X17" s="20">
        <f>IF(Table2[[#This Row],[Return/share]]&gt;0, 1, 0)</f>
        <v>1</v>
      </c>
      <c r="Y17" s="20">
        <f>IF(Table2[[#This Row],[Return/share]]&lt;=0,1,0)</f>
        <v>0</v>
      </c>
      <c r="Z17" s="21" t="s">
        <v>58</v>
      </c>
    </row>
    <row r="18" spans="1:27" x14ac:dyDescent="0.25">
      <c r="A18" s="19">
        <v>42086</v>
      </c>
      <c r="B18" s="20">
        <v>1</v>
      </c>
      <c r="C18" s="20"/>
      <c r="D18" s="20"/>
      <c r="K18" s="21">
        <v>1</v>
      </c>
      <c r="N18" s="21" t="s">
        <v>62</v>
      </c>
      <c r="O18" s="26">
        <v>200</v>
      </c>
      <c r="P18" s="22">
        <v>8.68</v>
      </c>
      <c r="Q18" s="22">
        <f>(8.73+8.77)/2</f>
        <v>8.75</v>
      </c>
      <c r="R18" s="23">
        <f>Table2[[#This Row],[Sell price/share]]-Table2[[#This Row],[Buy price/share]]</f>
        <v>7.0000000000000284E-2</v>
      </c>
      <c r="S18" s="24">
        <f>Table2[[#This Row],[Return/share]]*Table2[[#This Row],[Num Shares]]</f>
        <v>14.000000000000057</v>
      </c>
      <c r="T18" s="26">
        <f>(1.01+1.03+1)</f>
        <v>3.04</v>
      </c>
      <c r="U18" s="25"/>
      <c r="V18" s="25"/>
      <c r="W18" s="25"/>
      <c r="X18" s="20">
        <f>IF(Table2[[#This Row],[Return/share]]&gt;0, 1, 0)</f>
        <v>1</v>
      </c>
      <c r="Y18" s="20">
        <f>IF(Table2[[#This Row],[Return/share]]&lt;=0,1,0)</f>
        <v>0</v>
      </c>
      <c r="Z18" s="21" t="s">
        <v>58</v>
      </c>
    </row>
    <row r="19" spans="1:27" x14ac:dyDescent="0.25">
      <c r="A19" s="19">
        <v>42086</v>
      </c>
      <c r="B19" s="20"/>
      <c r="C19" s="20"/>
      <c r="D19" s="20"/>
      <c r="I19" s="21">
        <v>1</v>
      </c>
      <c r="J19" s="21">
        <v>1</v>
      </c>
      <c r="N19" s="21" t="s">
        <v>63</v>
      </c>
      <c r="O19" s="26">
        <v>200</v>
      </c>
      <c r="P19" s="22">
        <v>42.43</v>
      </c>
      <c r="Q19" s="22">
        <v>42.36</v>
      </c>
      <c r="R19" s="23">
        <f>Table2[[#This Row],[Sell price/share]]-Table2[[#This Row],[Buy price/share]]</f>
        <v>-7.0000000000000284E-2</v>
      </c>
      <c r="S19" s="24">
        <f>Table2[[#This Row],[Return/share]]*Table2[[#This Row],[Num Shares]]</f>
        <v>-14.000000000000057</v>
      </c>
      <c r="T19" s="26">
        <f>(1+1.16)</f>
        <v>2.16</v>
      </c>
      <c r="U19" s="25"/>
      <c r="V19" s="25"/>
      <c r="W19" s="25"/>
      <c r="X19" s="20">
        <f>IF(Table2[[#This Row],[Return/share]]&gt;0, 1, 0)</f>
        <v>0</v>
      </c>
      <c r="Y19" s="20">
        <f>IF(Table2[[#This Row],[Return/share]]&lt;=0,1,0)</f>
        <v>1</v>
      </c>
      <c r="Z19" s="21" t="s">
        <v>58</v>
      </c>
    </row>
    <row r="20" spans="1:27" x14ac:dyDescent="0.25">
      <c r="A20" s="19">
        <v>42086</v>
      </c>
      <c r="B20" s="20"/>
      <c r="C20" s="20"/>
      <c r="D20" s="20"/>
      <c r="I20" s="21">
        <v>1</v>
      </c>
      <c r="K20" s="21">
        <v>1</v>
      </c>
      <c r="N20" s="21" t="s">
        <v>64</v>
      </c>
      <c r="O20" s="26">
        <v>200</v>
      </c>
      <c r="P20" s="22">
        <v>3.14</v>
      </c>
      <c r="Q20" s="22">
        <v>3.05</v>
      </c>
      <c r="R20" s="23">
        <f>Table2[[#This Row],[Sell price/share]]-Table2[[#This Row],[Buy price/share]]</f>
        <v>-9.0000000000000302E-2</v>
      </c>
      <c r="S20" s="24">
        <f>Table2[[#This Row],[Return/share]]*Table2[[#This Row],[Num Shares]]</f>
        <v>-18.00000000000006</v>
      </c>
      <c r="T20" s="26">
        <f>(1+1.01)</f>
        <v>2.0099999999999998</v>
      </c>
      <c r="U20" s="25"/>
      <c r="V20" s="25"/>
      <c r="W20" s="25"/>
      <c r="X20" s="20">
        <f>IF(Table2[[#This Row],[Return/share]]&gt;0, 1, 0)</f>
        <v>0</v>
      </c>
      <c r="Y20" s="20">
        <f>IF(Table2[[#This Row],[Return/share]]&lt;=0,1,0)</f>
        <v>1</v>
      </c>
      <c r="Z20" s="21" t="s">
        <v>58</v>
      </c>
    </row>
    <row r="21" spans="1:27" x14ac:dyDescent="0.25">
      <c r="A21" s="19">
        <v>42086</v>
      </c>
      <c r="B21" s="20"/>
      <c r="C21" s="20"/>
      <c r="D21" s="20"/>
      <c r="I21" s="21">
        <v>1</v>
      </c>
      <c r="K21" s="21">
        <v>1</v>
      </c>
      <c r="N21" s="21" t="s">
        <v>65</v>
      </c>
      <c r="O21" s="26">
        <v>200</v>
      </c>
      <c r="P21" s="22">
        <v>47.12</v>
      </c>
      <c r="Q21" s="22">
        <v>46.99</v>
      </c>
      <c r="R21" s="23">
        <f>Table2[[#This Row],[Sell price/share]]-Table2[[#This Row],[Buy price/share]]</f>
        <v>-0.12999999999999545</v>
      </c>
      <c r="S21" s="24">
        <f>Table2[[#This Row],[Return/share]]*Table2[[#This Row],[Num Shares]]</f>
        <v>-25.999999999999091</v>
      </c>
      <c r="T21" s="26">
        <f>(1.17)</f>
        <v>1.17</v>
      </c>
      <c r="U21" s="25"/>
      <c r="V21" s="25"/>
      <c r="W21" s="25"/>
      <c r="X21" s="20">
        <f>IF(Table2[[#This Row],[Return/share]]&gt;0, 1, 0)</f>
        <v>0</v>
      </c>
      <c r="Y21" s="20">
        <f>IF(Table2[[#This Row],[Return/share]]&lt;=0,1,0)</f>
        <v>1</v>
      </c>
      <c r="Z21" s="21" t="s">
        <v>58</v>
      </c>
    </row>
    <row r="22" spans="1:27" x14ac:dyDescent="0.25">
      <c r="A22" s="19">
        <v>42087</v>
      </c>
      <c r="B22" s="20">
        <v>1</v>
      </c>
      <c r="C22" s="20">
        <v>1</v>
      </c>
      <c r="D22" s="20"/>
      <c r="N22" s="21" t="s">
        <v>66</v>
      </c>
      <c r="O22" s="26">
        <v>200</v>
      </c>
      <c r="P22" s="22">
        <v>15.46</v>
      </c>
      <c r="Q22" s="22">
        <f>(15.49+15.72)/2</f>
        <v>15.605</v>
      </c>
      <c r="R22" s="23">
        <f>Table2[[#This Row],[Sell price/share]]-Table2[[#This Row],[Buy price/share]]</f>
        <v>0.14499999999999957</v>
      </c>
      <c r="S22" s="24">
        <f>Table2[[#This Row],[Return/share]]*Table2[[#This Row],[Num Shares]]</f>
        <v>28.999999999999915</v>
      </c>
      <c r="T22" s="26">
        <f>(1+1.03*2)</f>
        <v>3.06</v>
      </c>
      <c r="U22" s="25"/>
      <c r="V22" s="25"/>
      <c r="W22" s="25"/>
      <c r="X22" s="20">
        <f>IF(Table2[[#This Row],[Return/share]]&gt;0, 1, 0)</f>
        <v>1</v>
      </c>
      <c r="Y22" s="20">
        <f>IF(Table2[[#This Row],[Return/share]]&lt;=0,1,0)</f>
        <v>0</v>
      </c>
      <c r="Z22" s="21" t="s">
        <v>58</v>
      </c>
    </row>
    <row r="23" spans="1:27" x14ac:dyDescent="0.25">
      <c r="A23" s="19">
        <v>42087</v>
      </c>
      <c r="B23" s="20">
        <v>1</v>
      </c>
      <c r="C23" s="20"/>
      <c r="D23" s="20"/>
      <c r="E23" s="21">
        <v>1</v>
      </c>
      <c r="N23" s="21" t="s">
        <v>66</v>
      </c>
      <c r="O23" s="26">
        <v>200</v>
      </c>
      <c r="P23" s="22">
        <v>15.67</v>
      </c>
      <c r="Q23" s="22">
        <f>(15.8+16.06)/2</f>
        <v>15.93</v>
      </c>
      <c r="R23" s="23">
        <f>Table2[[#This Row],[Sell price/share]]-Table2[[#This Row],[Buy price/share]]</f>
        <v>0.25999999999999979</v>
      </c>
      <c r="S23" s="24">
        <f>Table2[[#This Row],[Return/share]]*Table2[[#This Row],[Num Shares]]</f>
        <v>51.999999999999957</v>
      </c>
      <c r="T23" s="26">
        <f>(1+1.03*2)</f>
        <v>3.06</v>
      </c>
      <c r="U23" s="25"/>
      <c r="V23" s="25"/>
      <c r="W23" s="25"/>
      <c r="X23" s="20">
        <f>IF(Table2[[#This Row],[Return/share]]&gt;0, 1, 0)</f>
        <v>1</v>
      </c>
      <c r="Y23" s="20">
        <f>IF(Table2[[#This Row],[Return/share]]&lt;=0,1,0)</f>
        <v>0</v>
      </c>
      <c r="Z23" s="21" t="s">
        <v>58</v>
      </c>
    </row>
    <row r="24" spans="1:27" x14ac:dyDescent="0.25">
      <c r="A24" s="19">
        <v>42087</v>
      </c>
      <c r="B24" s="20"/>
      <c r="C24" s="20"/>
      <c r="D24" s="20"/>
      <c r="K24" s="21">
        <v>1</v>
      </c>
      <c r="L24" s="21">
        <v>1</v>
      </c>
      <c r="N24" s="21" t="s">
        <v>67</v>
      </c>
      <c r="O24" s="26">
        <v>200</v>
      </c>
      <c r="P24" s="22">
        <v>7.46</v>
      </c>
      <c r="Q24" s="22">
        <f>(7.56+7.75)/2</f>
        <v>7.6549999999999994</v>
      </c>
      <c r="R24" s="23">
        <f>Table2[[#This Row],[Sell price/share]]-Table2[[#This Row],[Buy price/share]]</f>
        <v>0.1949999999999994</v>
      </c>
      <c r="S24" s="24">
        <f>Table2[[#This Row],[Return/share]]*Table2[[#This Row],[Num Shares]]</f>
        <v>38.999999999999879</v>
      </c>
      <c r="T24" s="26">
        <f>(1+1.01*2)</f>
        <v>3.02</v>
      </c>
      <c r="U24" s="25"/>
      <c r="V24" s="25"/>
      <c r="W24" s="25"/>
      <c r="X24" s="20">
        <f>IF(Table2[[#This Row],[Return/share]]&gt;0, 1, 0)</f>
        <v>1</v>
      </c>
      <c r="Y24" s="20">
        <f>IF(Table2[[#This Row],[Return/share]]&lt;=0,1,0)</f>
        <v>0</v>
      </c>
      <c r="Z24" s="21" t="s">
        <v>58</v>
      </c>
    </row>
    <row r="25" spans="1:27" x14ac:dyDescent="0.25">
      <c r="A25" s="19">
        <v>42087</v>
      </c>
      <c r="B25" s="20"/>
      <c r="C25" s="20"/>
      <c r="D25" s="20"/>
      <c r="I25" s="21">
        <v>1</v>
      </c>
      <c r="N25" s="21" t="s">
        <v>67</v>
      </c>
      <c r="O25" s="26">
        <v>200</v>
      </c>
      <c r="P25" s="22">
        <v>7.96</v>
      </c>
      <c r="Q25" s="22">
        <v>7.75</v>
      </c>
      <c r="R25" s="23">
        <f>Table2[[#This Row],[Sell price/share]]-Table2[[#This Row],[Buy price/share]]</f>
        <v>-0.20999999999999996</v>
      </c>
      <c r="S25" s="24">
        <f>Table2[[#This Row],[Return/share]]*Table2[[#This Row],[Num Shares]]</f>
        <v>-41.999999999999993</v>
      </c>
      <c r="T25" s="26">
        <f>(1+1.03)</f>
        <v>2.0300000000000002</v>
      </c>
      <c r="U25" s="25"/>
      <c r="V25" s="25"/>
      <c r="W25" s="25"/>
      <c r="X25" s="20">
        <f>IF(Table2[[#This Row],[Return/share]]&gt;0, 1, 0)</f>
        <v>0</v>
      </c>
      <c r="Y25" s="20">
        <f>IF(Table2[[#This Row],[Return/share]]&lt;=0,1,0)</f>
        <v>1</v>
      </c>
      <c r="Z25" s="21" t="s">
        <v>58</v>
      </c>
      <c r="AA25" s="21" t="s">
        <v>68</v>
      </c>
    </row>
    <row r="26" spans="1:27" x14ac:dyDescent="0.25">
      <c r="A26" s="19">
        <v>42087</v>
      </c>
      <c r="B26" s="20"/>
      <c r="C26" s="20"/>
      <c r="D26" s="20"/>
      <c r="K26" s="21">
        <v>1</v>
      </c>
      <c r="L26" s="21">
        <v>1</v>
      </c>
      <c r="N26" s="21" t="s">
        <v>67</v>
      </c>
      <c r="O26" s="26">
        <v>200</v>
      </c>
      <c r="P26" s="22">
        <v>7.375</v>
      </c>
      <c r="Q26" s="22">
        <f>(7.55+7.59)/2</f>
        <v>7.57</v>
      </c>
      <c r="R26" s="23">
        <f>Table2[[#This Row],[Sell price/share]]-Table2[[#This Row],[Buy price/share]]</f>
        <v>0.19500000000000028</v>
      </c>
      <c r="S26" s="24">
        <f>Table2[[#This Row],[Return/share]]*Table2[[#This Row],[Num Shares]]</f>
        <v>39.000000000000057</v>
      </c>
      <c r="T26" s="26">
        <f>(1+1.01*2)</f>
        <v>3.02</v>
      </c>
      <c r="U26" s="25"/>
      <c r="V26" s="25"/>
      <c r="W26" s="25"/>
      <c r="X26" s="20">
        <f>IF(Table2[[#This Row],[Return/share]]&gt;0, 1, 0)</f>
        <v>1</v>
      </c>
      <c r="Y26" s="20">
        <f>IF(Table2[[#This Row],[Return/share]]&lt;=0,1,0)</f>
        <v>0</v>
      </c>
      <c r="Z26" s="21" t="s">
        <v>58</v>
      </c>
    </row>
    <row r="27" spans="1:27" x14ac:dyDescent="0.25">
      <c r="A27" s="19">
        <v>42088</v>
      </c>
      <c r="B27" s="20">
        <v>1</v>
      </c>
      <c r="C27" s="20">
        <v>1</v>
      </c>
      <c r="D27" s="20"/>
      <c r="N27" s="21" t="s">
        <v>69</v>
      </c>
      <c r="O27" s="26">
        <v>200</v>
      </c>
      <c r="P27" s="22">
        <v>43.76</v>
      </c>
      <c r="Q27" s="22">
        <f>(43.86+44.11)/2</f>
        <v>43.984999999999999</v>
      </c>
      <c r="R27" s="23">
        <f>Table2[[#This Row],[Sell price/share]]-Table2[[#This Row],[Buy price/share]]</f>
        <v>0.22500000000000142</v>
      </c>
      <c r="S27" s="24">
        <f>Table2[[#This Row],[Return/share]]*Table2[[#This Row],[Num Shares]]</f>
        <v>45.000000000000284</v>
      </c>
      <c r="T27" s="26">
        <f>1+1.08*2</f>
        <v>3.16</v>
      </c>
      <c r="U27" s="25"/>
      <c r="V27" s="25"/>
      <c r="W27" s="25"/>
      <c r="X27" s="20">
        <f>IF(Table2[[#This Row],[Return/share]]&gt;0, 1, 0)</f>
        <v>1</v>
      </c>
      <c r="Y27" s="20">
        <f>IF(Table2[[#This Row],[Return/share]]&lt;=0,1,0)</f>
        <v>0</v>
      </c>
    </row>
    <row r="28" spans="1:27" x14ac:dyDescent="0.25">
      <c r="A28" s="19">
        <v>42088</v>
      </c>
      <c r="B28" s="20">
        <v>1</v>
      </c>
      <c r="C28" s="20">
        <v>1</v>
      </c>
      <c r="D28" s="20"/>
      <c r="N28" s="21" t="s">
        <v>70</v>
      </c>
      <c r="O28" s="26">
        <v>200</v>
      </c>
      <c r="P28" s="22">
        <v>31.45</v>
      </c>
      <c r="Q28" s="22">
        <v>31.5</v>
      </c>
      <c r="R28" s="23">
        <f>Table2[[#This Row],[Sell price/share]]-Table2[[#This Row],[Buy price/share]]</f>
        <v>5.0000000000000711E-2</v>
      </c>
      <c r="S28" s="24">
        <f>Table2[[#This Row],[Return/share]]*Table2[[#This Row],[Num Shares]]</f>
        <v>10.000000000000142</v>
      </c>
      <c r="T28" s="26">
        <f>1+1.12</f>
        <v>2.12</v>
      </c>
      <c r="U28" s="25"/>
      <c r="V28" s="25"/>
      <c r="W28" s="25"/>
      <c r="X28" s="20">
        <f>IF(Table2[[#This Row],[Return/share]]&gt;0, 1, 0)</f>
        <v>1</v>
      </c>
      <c r="Y28" s="20">
        <f>IF(Table2[[#This Row],[Return/share]]&lt;=0,1,0)</f>
        <v>0</v>
      </c>
      <c r="Z28" s="21" t="s">
        <v>58</v>
      </c>
      <c r="AA28" s="21" t="s">
        <v>71</v>
      </c>
    </row>
    <row r="29" spans="1:27" x14ac:dyDescent="0.25">
      <c r="A29" s="19">
        <v>42088</v>
      </c>
      <c r="B29" s="20">
        <v>1</v>
      </c>
      <c r="C29" s="20"/>
      <c r="D29" s="20"/>
      <c r="F29" s="21">
        <v>1</v>
      </c>
      <c r="I29" s="21">
        <v>1</v>
      </c>
      <c r="M29" s="21">
        <v>1</v>
      </c>
      <c r="N29" s="21" t="s">
        <v>70</v>
      </c>
      <c r="O29" s="26">
        <v>400</v>
      </c>
      <c r="P29" s="22">
        <f>(31.53+31.91)/2</f>
        <v>31.72</v>
      </c>
      <c r="Q29" s="22">
        <f>(31.89+31.67)/2</f>
        <v>31.78</v>
      </c>
      <c r="R29" s="23">
        <f>Table2[[#This Row],[Sell price/share]]-Table2[[#This Row],[Buy price/share]]</f>
        <v>6.0000000000002274E-2</v>
      </c>
      <c r="S29" s="24">
        <f>Table2[[#This Row],[Return/share]]*Table2[[#This Row],[Num Shares]]</f>
        <v>24.000000000000909</v>
      </c>
      <c r="T29" s="26">
        <f>1*2+1.12*2</f>
        <v>4.24</v>
      </c>
      <c r="U29" s="25"/>
      <c r="V29" s="25"/>
      <c r="W29" s="25"/>
      <c r="X29" s="20">
        <f>IF(Table2[[#This Row],[Return/share]]&gt;0, 1, 0)</f>
        <v>1</v>
      </c>
      <c r="Y29" s="20">
        <f>IF(Table2[[#This Row],[Return/share]]&lt;=0,1,0)</f>
        <v>0</v>
      </c>
      <c r="Z29" s="21" t="s">
        <v>59</v>
      </c>
      <c r="AA29" s="21" t="s">
        <v>72</v>
      </c>
    </row>
    <row r="30" spans="1:27" x14ac:dyDescent="0.25">
      <c r="A30" s="19">
        <v>42088</v>
      </c>
      <c r="B30" s="20">
        <v>1</v>
      </c>
      <c r="C30" s="20"/>
      <c r="D30" s="20"/>
      <c r="I30" s="21">
        <v>1</v>
      </c>
      <c r="N30" s="21" t="s">
        <v>73</v>
      </c>
      <c r="O30" s="26">
        <v>200</v>
      </c>
      <c r="P30" s="22">
        <v>7.49</v>
      </c>
      <c r="Q30" s="22">
        <v>7.51</v>
      </c>
      <c r="R30" s="23">
        <f>Table2[[#This Row],[Sell price/share]]-Table2[[#This Row],[Buy price/share]]</f>
        <v>1.9999999999999574E-2</v>
      </c>
      <c r="S30" s="24">
        <f>Table2[[#This Row],[Return/share]]*Table2[[#This Row],[Num Shares]]</f>
        <v>3.9999999999999147</v>
      </c>
      <c r="T30" s="26">
        <f>1+1.03</f>
        <v>2.0300000000000002</v>
      </c>
      <c r="U30" s="25"/>
      <c r="V30" s="25"/>
      <c r="W30" s="25"/>
      <c r="X30" s="20">
        <f>IF(Table2[[#This Row],[Return/share]]&gt;0, 1, 0)</f>
        <v>1</v>
      </c>
      <c r="Y30" s="20">
        <f>IF(Table2[[#This Row],[Return/share]]&lt;=0,1,0)</f>
        <v>0</v>
      </c>
      <c r="Z30" s="21" t="s">
        <v>58</v>
      </c>
      <c r="AA30" s="21" t="s">
        <v>74</v>
      </c>
    </row>
    <row r="31" spans="1:27" x14ac:dyDescent="0.25">
      <c r="A31" s="19">
        <v>42089</v>
      </c>
      <c r="B31" s="20">
        <v>1</v>
      </c>
      <c r="C31" s="20"/>
      <c r="D31" s="20"/>
      <c r="E31" s="21">
        <v>1</v>
      </c>
      <c r="N31" s="21" t="s">
        <v>17</v>
      </c>
      <c r="O31" s="26">
        <v>200</v>
      </c>
      <c r="P31" s="22">
        <v>73.05</v>
      </c>
      <c r="Q31" s="22">
        <v>73.400000000000006</v>
      </c>
      <c r="R31" s="23">
        <f>Table2[[#This Row],[Sell price/share]]-Table2[[#This Row],[Buy price/share]]</f>
        <v>0.35000000000000853</v>
      </c>
      <c r="S31" s="24">
        <f>Table2[[#This Row],[Return/share]]*Table2[[#This Row],[Num Shares]]</f>
        <v>70.000000000001705</v>
      </c>
      <c r="T31" s="26">
        <f>1+1.27</f>
        <v>2.27</v>
      </c>
      <c r="U31" s="25"/>
      <c r="V31" s="25"/>
      <c r="W31" s="25"/>
      <c r="X31" s="20">
        <f>IF(Table2[[#This Row],[Return/share]]&gt;0, 1, 0)</f>
        <v>1</v>
      </c>
      <c r="Y31" s="20">
        <f>IF(Table2[[#This Row],[Return/share]]&lt;=0,1,0)</f>
        <v>0</v>
      </c>
      <c r="Z31" s="21" t="s">
        <v>58</v>
      </c>
    </row>
    <row r="32" spans="1:27" x14ac:dyDescent="0.25">
      <c r="A32" s="19">
        <v>42089</v>
      </c>
      <c r="B32" s="20">
        <v>1</v>
      </c>
      <c r="C32" s="20"/>
      <c r="D32" s="20"/>
      <c r="I32" s="21">
        <v>1</v>
      </c>
      <c r="M32" s="21">
        <v>1</v>
      </c>
      <c r="N32" s="21" t="s">
        <v>17</v>
      </c>
      <c r="O32" s="26">
        <v>600</v>
      </c>
      <c r="P32" s="22">
        <f>(73.97+73.575+73.55)/3</f>
        <v>73.698333333333338</v>
      </c>
      <c r="Q32" s="22">
        <f>(73.7+73.62+73.74)/3</f>
        <v>73.686666666666667</v>
      </c>
      <c r="R32" s="23">
        <f>Table2[[#This Row],[Sell price/share]]-Table2[[#This Row],[Buy price/share]]</f>
        <v>-1.1666666666670267E-2</v>
      </c>
      <c r="S32" s="24">
        <f>Table2[[#This Row],[Return/share]]*Table2[[#This Row],[Num Shares]]</f>
        <v>-7.00000000000216</v>
      </c>
      <c r="T32" s="26">
        <f>1*3+1.27*3</f>
        <v>6.8100000000000005</v>
      </c>
      <c r="U32" s="25"/>
      <c r="V32" s="25"/>
      <c r="W32" s="25"/>
      <c r="X32" s="20">
        <f>IF(Table2[[#This Row],[Return/share]]&gt;0, 1, 0)</f>
        <v>0</v>
      </c>
      <c r="Y32" s="20">
        <f>IF(Table2[[#This Row],[Return/share]]&lt;=0,1,0)</f>
        <v>1</v>
      </c>
      <c r="Z32" s="21" t="s">
        <v>59</v>
      </c>
      <c r="AA32" s="21" t="s">
        <v>75</v>
      </c>
    </row>
    <row r="33" spans="1:27" x14ac:dyDescent="0.25">
      <c r="A33" s="19">
        <v>42089</v>
      </c>
      <c r="B33" s="20">
        <v>1</v>
      </c>
      <c r="C33" s="20"/>
      <c r="D33" s="20"/>
      <c r="I33" s="21">
        <v>1</v>
      </c>
      <c r="N33" s="21" t="s">
        <v>24</v>
      </c>
      <c r="O33" s="26">
        <v>200</v>
      </c>
      <c r="P33" s="22">
        <v>36.25</v>
      </c>
      <c r="Q33" s="22">
        <f>(36.34+36.07)/2</f>
        <v>36.204999999999998</v>
      </c>
      <c r="R33" s="23">
        <f>Table2[[#This Row],[Sell price/share]]-Table2[[#This Row],[Buy price/share]]</f>
        <v>-4.5000000000001705E-2</v>
      </c>
      <c r="S33" s="24">
        <f>Table2[[#This Row],[Return/share]]*Table2[[#This Row],[Num Shares]]</f>
        <v>-9.0000000000003411</v>
      </c>
      <c r="T33" s="26">
        <f>(1+1.07*2)</f>
        <v>3.14</v>
      </c>
      <c r="U33" s="25"/>
      <c r="V33" s="25"/>
      <c r="W33" s="25"/>
      <c r="X33" s="20">
        <f>IF(Table2[[#This Row],[Return/share]]&gt;0, 1, 0)</f>
        <v>0</v>
      </c>
      <c r="Y33" s="20">
        <f>IF(Table2[[#This Row],[Return/share]]&lt;=0,1,0)</f>
        <v>1</v>
      </c>
    </row>
    <row r="34" spans="1:27" x14ac:dyDescent="0.25">
      <c r="A34" s="19">
        <v>42089</v>
      </c>
      <c r="B34" s="20"/>
      <c r="C34" s="20"/>
      <c r="D34" s="20"/>
      <c r="K34" s="21">
        <v>1</v>
      </c>
      <c r="L34" s="21">
        <v>1</v>
      </c>
      <c r="N34" s="21" t="s">
        <v>16</v>
      </c>
      <c r="O34" s="26">
        <v>200</v>
      </c>
      <c r="P34" s="22">
        <v>33.049999999999997</v>
      </c>
      <c r="Q34" s="22">
        <v>33.14</v>
      </c>
      <c r="R34" s="23">
        <f>Table2[[#This Row],[Sell price/share]]-Table2[[#This Row],[Buy price/share]]</f>
        <v>9.0000000000003411E-2</v>
      </c>
      <c r="S34" s="24">
        <f>Table2[[#This Row],[Return/share]]*Table2[[#This Row],[Num Shares]]</f>
        <v>18.000000000000682</v>
      </c>
      <c r="T34" s="26">
        <f>1+1.12</f>
        <v>2.12</v>
      </c>
      <c r="U34" s="25"/>
      <c r="V34" s="25"/>
      <c r="W34" s="25"/>
      <c r="X34" s="20">
        <f>IF(Table2[[#This Row],[Return/share]]&gt;0, 1, 0)</f>
        <v>1</v>
      </c>
      <c r="Y34" s="20">
        <f>IF(Table2[[#This Row],[Return/share]]&lt;=0,1,0)</f>
        <v>0</v>
      </c>
    </row>
    <row r="35" spans="1:27" x14ac:dyDescent="0.25">
      <c r="A35" s="19">
        <v>42089</v>
      </c>
      <c r="B35" s="20">
        <v>1</v>
      </c>
      <c r="C35" s="20"/>
      <c r="D35" s="20"/>
      <c r="L35" s="21">
        <v>1</v>
      </c>
      <c r="N35" s="21" t="s">
        <v>17</v>
      </c>
      <c r="O35" s="26">
        <v>200</v>
      </c>
      <c r="P35" s="22">
        <v>73.849999999999994</v>
      </c>
      <c r="Q35" s="22">
        <f>(73.98+73.88)/2</f>
        <v>73.930000000000007</v>
      </c>
      <c r="R35" s="23">
        <f>Table2[[#This Row],[Sell price/share]]-Table2[[#This Row],[Buy price/share]]</f>
        <v>8.0000000000012506E-2</v>
      </c>
      <c r="S35" s="24">
        <f>Table2[[#This Row],[Return/share]]*Table2[[#This Row],[Num Shares]]</f>
        <v>16.000000000002501</v>
      </c>
      <c r="T35" s="26">
        <f>1+1.14*2</f>
        <v>3.28</v>
      </c>
      <c r="U35" s="25"/>
      <c r="V35" s="25"/>
      <c r="W35" s="25"/>
      <c r="X35" s="20">
        <f>IF(Table2[[#This Row],[Return/share]]&gt;0, 1, 0)</f>
        <v>1</v>
      </c>
      <c r="Y35" s="20">
        <f>IF(Table2[[#This Row],[Return/share]]&lt;=0,1,0)</f>
        <v>0</v>
      </c>
    </row>
    <row r="36" spans="1:27" x14ac:dyDescent="0.25">
      <c r="A36" s="19">
        <v>42089</v>
      </c>
      <c r="B36" s="20">
        <v>1</v>
      </c>
      <c r="C36" s="20"/>
      <c r="D36" s="20"/>
      <c r="L36" s="21">
        <v>1</v>
      </c>
      <c r="N36" s="21" t="s">
        <v>17</v>
      </c>
      <c r="O36" s="26">
        <v>200</v>
      </c>
      <c r="P36" s="22">
        <v>74.069999999999993</v>
      </c>
      <c r="Q36" s="22">
        <v>74</v>
      </c>
      <c r="R36" s="23">
        <f>Table2[[#This Row],[Sell price/share]]-Table2[[#This Row],[Buy price/share]]</f>
        <v>-6.9999999999993179E-2</v>
      </c>
      <c r="S36" s="24">
        <f>Table2[[#This Row],[Return/share]]*Table2[[#This Row],[Num Shares]]</f>
        <v>-13.999999999998636</v>
      </c>
      <c r="T36" s="26">
        <f>1+1.27</f>
        <v>2.27</v>
      </c>
      <c r="U36" s="25"/>
      <c r="V36" s="25"/>
      <c r="W36" s="25"/>
      <c r="X36" s="20">
        <f>IF(Table2[[#This Row],[Return/share]]&gt;0, 1, 0)</f>
        <v>0</v>
      </c>
      <c r="Y36" s="20">
        <f>IF(Table2[[#This Row],[Return/share]]&lt;=0,1,0)</f>
        <v>1</v>
      </c>
    </row>
    <row r="37" spans="1:27" x14ac:dyDescent="0.25">
      <c r="A37" s="19">
        <v>42089</v>
      </c>
      <c r="B37" s="20">
        <v>1</v>
      </c>
      <c r="C37" s="20"/>
      <c r="D37" s="20"/>
      <c r="I37" s="21">
        <v>1</v>
      </c>
      <c r="L37" s="21">
        <v>1</v>
      </c>
      <c r="N37" s="21" t="s">
        <v>17</v>
      </c>
      <c r="O37" s="26">
        <v>200</v>
      </c>
      <c r="P37" s="22">
        <v>74.25</v>
      </c>
      <c r="Q37" s="22">
        <f>(74.32+74.29)/2</f>
        <v>74.305000000000007</v>
      </c>
      <c r="R37" s="23">
        <f>Table2[[#This Row],[Sell price/share]]-Table2[[#This Row],[Buy price/share]]</f>
        <v>5.5000000000006821E-2</v>
      </c>
      <c r="S37" s="24">
        <f>Table2[[#This Row],[Return/share]]*Table2[[#This Row],[Num Shares]]</f>
        <v>11.000000000001364</v>
      </c>
      <c r="T37" s="26">
        <f>1+1.14*2</f>
        <v>3.28</v>
      </c>
      <c r="U37" s="25"/>
      <c r="V37" s="25"/>
      <c r="W37" s="25"/>
      <c r="X37" s="20">
        <f>IF(Table2[[#This Row],[Return/share]]&gt;0, 1, 0)</f>
        <v>1</v>
      </c>
      <c r="Y37" s="20">
        <f>IF(Table2[[#This Row],[Return/share]]&lt;=0,1,0)</f>
        <v>0</v>
      </c>
    </row>
    <row r="38" spans="1:27" x14ac:dyDescent="0.25">
      <c r="A38" s="19">
        <v>42089</v>
      </c>
      <c r="B38" s="20"/>
      <c r="C38" s="20"/>
      <c r="D38" s="20"/>
      <c r="J38" s="21">
        <v>1</v>
      </c>
      <c r="K38" s="21">
        <v>1</v>
      </c>
      <c r="N38" s="21" t="s">
        <v>16</v>
      </c>
      <c r="O38" s="26">
        <v>100</v>
      </c>
      <c r="P38" s="22">
        <v>34.1</v>
      </c>
      <c r="Q38" s="22">
        <v>34.36</v>
      </c>
      <c r="R38" s="23">
        <f>Table2[[#This Row],[Sell price/share]]-Table2[[#This Row],[Buy price/share]]</f>
        <v>0.25999999999999801</v>
      </c>
      <c r="S38" s="24">
        <f>Table2[[#This Row],[Return/share]]*Table2[[#This Row],[Num Shares]]</f>
        <v>25.999999999999801</v>
      </c>
      <c r="T38" s="26">
        <f>1+1.06</f>
        <v>2.06</v>
      </c>
      <c r="U38" s="27"/>
      <c r="V38" s="25"/>
      <c r="W38" s="25"/>
      <c r="X38" s="20">
        <f>IF(Table2[[#This Row],[Return/share]]&gt;0, 1, 0)</f>
        <v>1</v>
      </c>
      <c r="Y38" s="20">
        <f>IF(Table2[[#This Row],[Return/share]]&lt;=0,1,0)</f>
        <v>0</v>
      </c>
    </row>
    <row r="39" spans="1:27" x14ac:dyDescent="0.25">
      <c r="A39" s="19">
        <v>42089</v>
      </c>
      <c r="B39" s="20"/>
      <c r="C39" s="20"/>
      <c r="D39" s="20"/>
      <c r="I39" s="21">
        <v>1</v>
      </c>
      <c r="K39" s="21">
        <v>1</v>
      </c>
      <c r="M39" s="21">
        <v>1</v>
      </c>
      <c r="N39" s="21" t="s">
        <v>9</v>
      </c>
      <c r="O39" s="26">
        <v>200</v>
      </c>
      <c r="P39" s="22">
        <f>(61.97+61.51)/2</f>
        <v>61.739999999999995</v>
      </c>
      <c r="Q39" s="22">
        <f>(61.87+61.8)/2</f>
        <v>61.834999999999994</v>
      </c>
      <c r="R39" s="23">
        <f>Table2[[#This Row],[Sell price/share]]-Table2[[#This Row],[Buy price/share]]</f>
        <v>9.4999999999998863E-2</v>
      </c>
      <c r="S39" s="24">
        <f>Table2[[#This Row],[Return/share]]*Table2[[#This Row],[Num Shares]]</f>
        <v>18.999999999999773</v>
      </c>
      <c r="T39" s="26">
        <f>(1*2+1.11*2)</f>
        <v>4.2200000000000006</v>
      </c>
      <c r="U39" s="27"/>
      <c r="V39" s="25"/>
      <c r="W39" s="25"/>
      <c r="X39" s="20">
        <f>IF(Table2[[#This Row],[Return/share]]&gt;0, 1, 0)</f>
        <v>1</v>
      </c>
      <c r="Y39" s="20">
        <f>IF(Table2[[#This Row],[Return/share]]&lt;=0,1,0)</f>
        <v>0</v>
      </c>
    </row>
    <row r="40" spans="1:27" x14ac:dyDescent="0.25">
      <c r="A40" s="19">
        <v>42089</v>
      </c>
      <c r="B40" s="20"/>
      <c r="C40" s="20"/>
      <c r="D40" s="20"/>
      <c r="I40" s="21">
        <v>1</v>
      </c>
      <c r="K40" s="21">
        <v>1</v>
      </c>
      <c r="M40" s="21">
        <v>1</v>
      </c>
      <c r="N40" s="21" t="s">
        <v>9</v>
      </c>
      <c r="O40" s="26">
        <v>50</v>
      </c>
      <c r="P40" s="22">
        <v>62.15</v>
      </c>
      <c r="Q40" s="22">
        <v>61.09</v>
      </c>
      <c r="R40" s="23">
        <f>Table2[[#This Row],[Sell price/share]]-Table2[[#This Row],[Buy price/share]]</f>
        <v>-1.0599999999999952</v>
      </c>
      <c r="S40" s="24">
        <f>Table2[[#This Row],[Return/share]]*Table2[[#This Row],[Num Shares]]</f>
        <v>-52.999999999999758</v>
      </c>
      <c r="T40" s="26">
        <f>1+1.06</f>
        <v>2.06</v>
      </c>
      <c r="U40" s="27"/>
      <c r="V40" s="25"/>
      <c r="W40" s="25"/>
      <c r="X40" s="20">
        <f>IF(Table2[[#This Row],[Return/share]]&gt;0, 1, 0)</f>
        <v>0</v>
      </c>
      <c r="Y40" s="20">
        <f>IF(Table2[[#This Row],[Return/share]]&lt;=0,1,0)</f>
        <v>1</v>
      </c>
      <c r="AA40" s="21" t="s">
        <v>76</v>
      </c>
    </row>
    <row r="41" spans="1:27" x14ac:dyDescent="0.25">
      <c r="A41" s="19">
        <v>42089</v>
      </c>
      <c r="B41" s="20"/>
      <c r="C41" s="20"/>
      <c r="D41" s="20"/>
      <c r="K41" s="21">
        <v>1</v>
      </c>
      <c r="N41" s="21" t="s">
        <v>9</v>
      </c>
      <c r="O41" s="26">
        <v>50</v>
      </c>
      <c r="P41" s="22">
        <v>61.45</v>
      </c>
      <c r="Q41" s="22">
        <v>61.82</v>
      </c>
      <c r="R41" s="23">
        <f>Table2[[#This Row],[Sell price/share]]-Table2[[#This Row],[Buy price/share]]</f>
        <v>0.36999999999999744</v>
      </c>
      <c r="S41" s="24">
        <f>Table2[[#This Row],[Return/share]]*Table2[[#This Row],[Num Shares]]</f>
        <v>18.499999999999872</v>
      </c>
      <c r="T41" s="26">
        <f>1+1.06</f>
        <v>2.06</v>
      </c>
      <c r="U41" s="27"/>
      <c r="V41" s="25"/>
      <c r="W41" s="25"/>
      <c r="X41" s="20">
        <f>IF(Table2[[#This Row],[Return/share]]&gt;0, 1, 0)</f>
        <v>1</v>
      </c>
      <c r="Y41" s="20">
        <f>IF(Table2[[#This Row],[Return/share]]&lt;=0,1,0)</f>
        <v>0</v>
      </c>
    </row>
    <row r="42" spans="1:27" x14ac:dyDescent="0.25">
      <c r="A42" s="19">
        <v>42090</v>
      </c>
      <c r="B42" s="20">
        <v>1</v>
      </c>
      <c r="C42" s="20"/>
      <c r="D42" s="20">
        <v>1</v>
      </c>
      <c r="N42" s="21" t="s">
        <v>77</v>
      </c>
      <c r="O42" s="26">
        <v>200</v>
      </c>
      <c r="P42" s="22">
        <v>19.46</v>
      </c>
      <c r="Q42" s="22">
        <v>19.670000000000002</v>
      </c>
      <c r="R42" s="23">
        <f>Table2[[#This Row],[Sell price/share]]-Table2[[#This Row],[Buy price/share]]</f>
        <v>0.21000000000000085</v>
      </c>
      <c r="S42" s="24">
        <f>Table2[[#This Row],[Return/share]]*Table2[[#This Row],[Num Shares]]</f>
        <v>42.000000000000171</v>
      </c>
      <c r="T42" s="26">
        <f>(1+1.04+1.02*2)</f>
        <v>4.08</v>
      </c>
      <c r="U42" s="25"/>
      <c r="V42" s="25"/>
      <c r="W42" s="25"/>
      <c r="X42" s="20">
        <f>IF(Table2[[#This Row],[Return/share]]&gt;0, 1, 0)</f>
        <v>1</v>
      </c>
      <c r="Y42" s="20">
        <f>IF(Table2[[#This Row],[Return/share]]&lt;=0,1,0)</f>
        <v>0</v>
      </c>
    </row>
    <row r="43" spans="1:27" x14ac:dyDescent="0.25">
      <c r="A43" s="19">
        <v>42090</v>
      </c>
      <c r="B43" s="20">
        <v>1</v>
      </c>
      <c r="C43" s="20"/>
      <c r="D43" s="20"/>
      <c r="N43" s="21" t="s">
        <v>78</v>
      </c>
      <c r="O43" s="26">
        <v>100</v>
      </c>
      <c r="P43" s="22">
        <v>9.67</v>
      </c>
      <c r="Q43" s="22">
        <v>9.64</v>
      </c>
      <c r="R43" s="23">
        <f>Table2[[#This Row],[Sell price/share]]-Table2[[#This Row],[Buy price/share]]</f>
        <v>-2.9999999999999361E-2</v>
      </c>
      <c r="S43" s="24">
        <f>Table2[[#This Row],[Return/share]]*Table2[[#This Row],[Num Shares]]</f>
        <v>-2.9999999999999361</v>
      </c>
      <c r="T43" s="26">
        <f>1+1.02</f>
        <v>2.02</v>
      </c>
      <c r="U43" s="25"/>
      <c r="V43" s="25"/>
      <c r="W43" s="25"/>
      <c r="X43" s="20">
        <f>IF(Table2[[#This Row],[Return/share]]&gt;0, 1, 0)</f>
        <v>0</v>
      </c>
      <c r="Y43" s="20">
        <f>IF(Table2[[#This Row],[Return/share]]&lt;=0,1,0)</f>
        <v>1</v>
      </c>
      <c r="AA43" s="21" t="s">
        <v>79</v>
      </c>
    </row>
    <row r="44" spans="1:27" x14ac:dyDescent="0.25">
      <c r="A44" s="19">
        <v>42090</v>
      </c>
      <c r="B44" s="20">
        <v>1</v>
      </c>
      <c r="C44" s="20"/>
      <c r="D44" s="20"/>
      <c r="I44" s="21">
        <v>1</v>
      </c>
      <c r="N44" s="21" t="s">
        <v>77</v>
      </c>
      <c r="O44" s="26">
        <v>100</v>
      </c>
      <c r="P44" s="22">
        <v>19.72</v>
      </c>
      <c r="Q44" s="22">
        <v>19.78</v>
      </c>
      <c r="R44" s="23">
        <f>Table2[[#This Row],[Sell price/share]]-Table2[[#This Row],[Buy price/share]]</f>
        <v>6.0000000000002274E-2</v>
      </c>
      <c r="S44" s="24">
        <f>Table2[[#This Row],[Return/share]]*Table2[[#This Row],[Num Shares]]</f>
        <v>6.0000000000002274</v>
      </c>
      <c r="T44" s="26">
        <f>(1+1.04)</f>
        <v>2.04</v>
      </c>
      <c r="U44" s="25"/>
      <c r="V44" s="25"/>
      <c r="W44" s="25"/>
      <c r="X44" s="20">
        <f>IF(Table2[[#This Row],[Return/share]]&gt;0, 1, 0)</f>
        <v>1</v>
      </c>
      <c r="Y44" s="20">
        <f>IF(Table2[[#This Row],[Return/share]]&lt;=0,1,0)</f>
        <v>0</v>
      </c>
    </row>
    <row r="45" spans="1:27" x14ac:dyDescent="0.25">
      <c r="A45" s="19">
        <v>42090</v>
      </c>
      <c r="B45" s="20">
        <v>1</v>
      </c>
      <c r="C45" s="20"/>
      <c r="D45" s="20"/>
      <c r="I45" s="21">
        <v>1</v>
      </c>
      <c r="N45" s="21" t="s">
        <v>77</v>
      </c>
      <c r="O45" s="26">
        <v>100</v>
      </c>
      <c r="P45" s="22">
        <v>19.86</v>
      </c>
      <c r="Q45" s="22">
        <v>19.88</v>
      </c>
      <c r="R45" s="23">
        <f>Table2[[#This Row],[Sell price/share]]-Table2[[#This Row],[Buy price/share]]</f>
        <v>1.9999999999999574E-2</v>
      </c>
      <c r="S45" s="24">
        <f>Table2[[#This Row],[Return/share]]*Table2[[#This Row],[Num Shares]]</f>
        <v>1.9999999999999574</v>
      </c>
      <c r="T45" s="26">
        <f>1+1.04</f>
        <v>2.04</v>
      </c>
      <c r="U45" s="25"/>
      <c r="V45" s="25"/>
      <c r="W45" s="25"/>
      <c r="X45" s="20">
        <f>IF(Table2[[#This Row],[Return/share]]&gt;0, 1, 0)</f>
        <v>1</v>
      </c>
      <c r="Y45" s="20">
        <f>IF(Table2[[#This Row],[Return/share]]&lt;=0,1,0)</f>
        <v>0</v>
      </c>
    </row>
  </sheetData>
  <conditionalFormatting sqref="R2:S17 U2:W17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R18:S18 U18:W18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R19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S19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R20:R21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S20:S21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R22:R23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S22:S23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R24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S24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R25:R26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S25:S26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R27:R29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S27:S29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R30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S30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R31:R3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S31:S37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U38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R38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S38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U39:U4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R39:R4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S39:S40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U4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R4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S4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R42:R4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2:S4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1" sqref="D1"/>
    </sheetView>
  </sheetViews>
  <sheetFormatPr defaultRowHeight="15" x14ac:dyDescent="0.25"/>
  <sheetData>
    <row r="1" spans="1:7" x14ac:dyDescent="0.25">
      <c r="A1" s="15" t="s">
        <v>27</v>
      </c>
      <c r="B1" s="3" t="s">
        <v>28</v>
      </c>
      <c r="C1" s="3" t="s">
        <v>29</v>
      </c>
      <c r="D1" s="3" t="s">
        <v>7</v>
      </c>
      <c r="E1" s="4" t="s">
        <v>31</v>
      </c>
      <c r="F1" s="3" t="s">
        <v>30</v>
      </c>
      <c r="G1" s="4" t="s">
        <v>8</v>
      </c>
    </row>
    <row r="2" spans="1:7" x14ac:dyDescent="0.25">
      <c r="A2" s="16">
        <v>42089.274363425924</v>
      </c>
      <c r="B2" s="14" t="s">
        <v>17</v>
      </c>
      <c r="C2" s="14" t="s">
        <v>12</v>
      </c>
      <c r="D2" s="14">
        <v>200</v>
      </c>
      <c r="E2" s="14">
        <v>73.05</v>
      </c>
      <c r="F2" s="14" t="s">
        <v>11</v>
      </c>
      <c r="G2" s="14">
        <v>1</v>
      </c>
    </row>
    <row r="3" spans="1:7" x14ac:dyDescent="0.25">
      <c r="A3" s="16">
        <v>42089.274618055555</v>
      </c>
      <c r="B3" s="14" t="s">
        <v>17</v>
      </c>
      <c r="C3" s="14" t="s">
        <v>10</v>
      </c>
      <c r="D3" s="14">
        <v>200</v>
      </c>
      <c r="E3" s="14">
        <v>73.400000000000006</v>
      </c>
      <c r="F3" s="14" t="s">
        <v>20</v>
      </c>
      <c r="G3" s="14">
        <v>1.27</v>
      </c>
    </row>
    <row r="4" spans="1:7" x14ac:dyDescent="0.25">
      <c r="A4" s="16">
        <v>42089.275902777779</v>
      </c>
      <c r="B4" s="14" t="s">
        <v>17</v>
      </c>
      <c r="C4" s="14" t="s">
        <v>12</v>
      </c>
      <c r="D4" s="14">
        <v>200</v>
      </c>
      <c r="E4" s="14">
        <v>73.97</v>
      </c>
      <c r="F4" s="14" t="s">
        <v>11</v>
      </c>
      <c r="G4" s="14">
        <v>1</v>
      </c>
    </row>
    <row r="5" spans="1:7" x14ac:dyDescent="0.25">
      <c r="A5" s="16">
        <v>42089.276620370372</v>
      </c>
      <c r="B5" s="14" t="s">
        <v>17</v>
      </c>
      <c r="C5" s="14" t="s">
        <v>12</v>
      </c>
      <c r="D5" s="14">
        <v>200</v>
      </c>
      <c r="E5" s="14">
        <v>73.575000000000003</v>
      </c>
      <c r="F5" s="14" t="s">
        <v>26</v>
      </c>
      <c r="G5" s="14">
        <v>1</v>
      </c>
    </row>
    <row r="6" spans="1:7" x14ac:dyDescent="0.25">
      <c r="A6" s="16">
        <v>42089.281053240738</v>
      </c>
      <c r="B6" s="14" t="s">
        <v>17</v>
      </c>
      <c r="C6" s="14" t="s">
        <v>10</v>
      </c>
      <c r="D6" s="14">
        <v>200</v>
      </c>
      <c r="E6" s="14">
        <v>73.7</v>
      </c>
      <c r="F6" s="14" t="s">
        <v>20</v>
      </c>
      <c r="G6" s="14">
        <v>1.27</v>
      </c>
    </row>
    <row r="7" spans="1:7" x14ac:dyDescent="0.25">
      <c r="A7" s="16">
        <v>42089.282372685186</v>
      </c>
      <c r="B7" s="14" t="s">
        <v>17</v>
      </c>
      <c r="C7" s="14" t="s">
        <v>12</v>
      </c>
      <c r="D7" s="14">
        <v>200</v>
      </c>
      <c r="E7" s="14">
        <v>73.55</v>
      </c>
      <c r="F7" s="14" t="s">
        <v>25</v>
      </c>
      <c r="G7" s="14">
        <v>1</v>
      </c>
    </row>
    <row r="8" spans="1:7" x14ac:dyDescent="0.25">
      <c r="A8" s="16">
        <v>42089.283333333333</v>
      </c>
      <c r="B8" s="14" t="s">
        <v>17</v>
      </c>
      <c r="C8" s="14" t="s">
        <v>10</v>
      </c>
      <c r="D8" s="14">
        <v>200</v>
      </c>
      <c r="E8" s="14">
        <v>73.62</v>
      </c>
      <c r="F8" s="14" t="s">
        <v>20</v>
      </c>
      <c r="G8" s="14">
        <v>1.27</v>
      </c>
    </row>
    <row r="9" spans="1:7" x14ac:dyDescent="0.25">
      <c r="A9" s="16">
        <v>42089.284409722219</v>
      </c>
      <c r="B9" s="14" t="s">
        <v>17</v>
      </c>
      <c r="C9" s="14" t="s">
        <v>10</v>
      </c>
      <c r="D9" s="14">
        <v>200</v>
      </c>
      <c r="E9" s="14">
        <v>73.739999999999995</v>
      </c>
      <c r="F9" s="14" t="s">
        <v>20</v>
      </c>
      <c r="G9" s="14">
        <v>1.27</v>
      </c>
    </row>
    <row r="10" spans="1:7" x14ac:dyDescent="0.25">
      <c r="A10" s="16">
        <v>42089.285624999997</v>
      </c>
      <c r="B10" s="14" t="s">
        <v>24</v>
      </c>
      <c r="C10" s="14" t="s">
        <v>12</v>
      </c>
      <c r="D10" s="14">
        <v>200</v>
      </c>
      <c r="E10" s="14">
        <v>36.25</v>
      </c>
      <c r="F10" s="14" t="s">
        <v>11</v>
      </c>
      <c r="G10" s="14">
        <v>1</v>
      </c>
    </row>
    <row r="11" spans="1:7" x14ac:dyDescent="0.25">
      <c r="A11" s="16">
        <v>42089.285798611112</v>
      </c>
      <c r="B11" s="14" t="s">
        <v>24</v>
      </c>
      <c r="C11" s="14" t="s">
        <v>10</v>
      </c>
      <c r="D11" s="14">
        <v>100</v>
      </c>
      <c r="E11" s="14">
        <v>36.340000000000003</v>
      </c>
      <c r="F11" s="14" t="s">
        <v>14</v>
      </c>
      <c r="G11" s="14">
        <v>1.07</v>
      </c>
    </row>
    <row r="12" spans="1:7" x14ac:dyDescent="0.25">
      <c r="A12" s="16">
        <v>42089.289502314816</v>
      </c>
      <c r="B12" s="14" t="s">
        <v>24</v>
      </c>
      <c r="C12" s="14" t="s">
        <v>10</v>
      </c>
      <c r="D12" s="14">
        <v>100</v>
      </c>
      <c r="E12" s="14">
        <v>36.07</v>
      </c>
      <c r="F12" s="14" t="s">
        <v>11</v>
      </c>
      <c r="G12" s="14">
        <v>1.07</v>
      </c>
    </row>
    <row r="13" spans="1:7" x14ac:dyDescent="0.25">
      <c r="A13" s="16">
        <v>42089.303657407407</v>
      </c>
      <c r="B13" s="14" t="s">
        <v>16</v>
      </c>
      <c r="C13" s="14" t="s">
        <v>12</v>
      </c>
      <c r="D13" s="14">
        <v>200</v>
      </c>
      <c r="E13" s="14">
        <v>33.049999999999997</v>
      </c>
      <c r="F13" s="14" t="s">
        <v>23</v>
      </c>
      <c r="G13" s="14">
        <v>1</v>
      </c>
    </row>
    <row r="14" spans="1:7" x14ac:dyDescent="0.25">
      <c r="A14" s="16">
        <v>42089.304756944446</v>
      </c>
      <c r="B14" s="14" t="s">
        <v>16</v>
      </c>
      <c r="C14" s="14" t="s">
        <v>10</v>
      </c>
      <c r="D14" s="14">
        <v>200</v>
      </c>
      <c r="E14" s="14">
        <v>33.14</v>
      </c>
      <c r="F14" s="14" t="s">
        <v>20</v>
      </c>
      <c r="G14" s="14">
        <v>1.1200000000000001</v>
      </c>
    </row>
    <row r="15" spans="1:7" x14ac:dyDescent="0.25">
      <c r="A15" s="16">
        <v>42089.308159722219</v>
      </c>
      <c r="B15" s="14" t="s">
        <v>17</v>
      </c>
      <c r="C15" s="14" t="s">
        <v>12</v>
      </c>
      <c r="D15" s="14">
        <v>200</v>
      </c>
      <c r="E15" s="14">
        <v>73.849999999999994</v>
      </c>
      <c r="F15" s="14" t="s">
        <v>11</v>
      </c>
      <c r="G15" s="14">
        <v>1</v>
      </c>
    </row>
    <row r="16" spans="1:7" x14ac:dyDescent="0.25">
      <c r="A16" s="16">
        <v>42089.311018518521</v>
      </c>
      <c r="B16" s="14" t="s">
        <v>17</v>
      </c>
      <c r="C16" s="14" t="s">
        <v>10</v>
      </c>
      <c r="D16" s="14">
        <v>100</v>
      </c>
      <c r="E16" s="14">
        <v>73.98</v>
      </c>
      <c r="F16" s="14" t="s">
        <v>20</v>
      </c>
      <c r="G16" s="14">
        <v>1.1399999999999999</v>
      </c>
    </row>
    <row r="17" spans="1:7" x14ac:dyDescent="0.25">
      <c r="A17" s="16">
        <v>42089.311620370368</v>
      </c>
      <c r="B17" s="14" t="s">
        <v>17</v>
      </c>
      <c r="C17" s="14" t="s">
        <v>10</v>
      </c>
      <c r="D17" s="14">
        <v>100</v>
      </c>
      <c r="E17" s="14">
        <v>73.88</v>
      </c>
      <c r="F17" s="14" t="s">
        <v>20</v>
      </c>
      <c r="G17" s="14">
        <v>1.1399999999999999</v>
      </c>
    </row>
    <row r="18" spans="1:7" x14ac:dyDescent="0.25">
      <c r="A18" s="16">
        <v>42089.3122337963</v>
      </c>
      <c r="B18" s="14" t="s">
        <v>17</v>
      </c>
      <c r="C18" s="14" t="s">
        <v>12</v>
      </c>
      <c r="D18" s="14">
        <v>200</v>
      </c>
      <c r="E18" s="14">
        <v>74.069999999999993</v>
      </c>
      <c r="F18" s="14" t="s">
        <v>23</v>
      </c>
      <c r="G18" s="14">
        <v>1</v>
      </c>
    </row>
    <row r="19" spans="1:7" x14ac:dyDescent="0.25">
      <c r="A19" s="16">
        <v>42089.315937500003</v>
      </c>
      <c r="B19" s="14" t="s">
        <v>17</v>
      </c>
      <c r="C19" s="14" t="s">
        <v>10</v>
      </c>
      <c r="D19" s="14">
        <v>200</v>
      </c>
      <c r="E19" s="14">
        <v>74</v>
      </c>
      <c r="F19" s="14" t="s">
        <v>22</v>
      </c>
      <c r="G19" s="14">
        <v>1.27</v>
      </c>
    </row>
    <row r="20" spans="1:7" x14ac:dyDescent="0.25">
      <c r="A20" s="16">
        <v>42089.317280092589</v>
      </c>
      <c r="B20" s="14" t="s">
        <v>17</v>
      </c>
      <c r="C20" s="14" t="s">
        <v>12</v>
      </c>
      <c r="D20" s="14">
        <v>200</v>
      </c>
      <c r="E20" s="14">
        <v>74.25</v>
      </c>
      <c r="F20" s="14" t="s">
        <v>20</v>
      </c>
      <c r="G20" s="14">
        <v>1</v>
      </c>
    </row>
    <row r="21" spans="1:7" x14ac:dyDescent="0.25">
      <c r="A21" s="16">
        <v>42089.318773148145</v>
      </c>
      <c r="B21" s="14" t="s">
        <v>17</v>
      </c>
      <c r="C21" s="14" t="s">
        <v>10</v>
      </c>
      <c r="D21" s="14">
        <v>100</v>
      </c>
      <c r="E21" s="14">
        <v>74.319999999999993</v>
      </c>
      <c r="F21" s="14" t="s">
        <v>19</v>
      </c>
      <c r="G21" s="14">
        <v>1.1399999999999999</v>
      </c>
    </row>
    <row r="22" spans="1:7" x14ac:dyDescent="0.25">
      <c r="A22" s="16">
        <v>42089.318888888891</v>
      </c>
      <c r="B22" s="14" t="s">
        <v>17</v>
      </c>
      <c r="C22" s="14" t="s">
        <v>10</v>
      </c>
      <c r="D22" s="14">
        <v>100</v>
      </c>
      <c r="E22" s="14">
        <v>74.290000000000006</v>
      </c>
      <c r="F22" s="14" t="s">
        <v>18</v>
      </c>
      <c r="G22" s="14">
        <v>1.1399999999999999</v>
      </c>
    </row>
    <row r="23" spans="1:7" x14ac:dyDescent="0.25">
      <c r="A23" s="16">
        <v>42089.351979166669</v>
      </c>
      <c r="B23" s="14" t="s">
        <v>16</v>
      </c>
      <c r="C23" s="14" t="s">
        <v>12</v>
      </c>
      <c r="D23" s="14">
        <v>100</v>
      </c>
      <c r="E23" s="14">
        <v>34.1</v>
      </c>
      <c r="F23" s="14" t="s">
        <v>14</v>
      </c>
      <c r="G23" s="14">
        <v>1</v>
      </c>
    </row>
    <row r="24" spans="1:7" x14ac:dyDescent="0.25">
      <c r="A24" s="16">
        <v>42089.353773148148</v>
      </c>
      <c r="B24" s="14" t="s">
        <v>16</v>
      </c>
      <c r="C24" s="14" t="s">
        <v>10</v>
      </c>
      <c r="D24" s="14">
        <v>100</v>
      </c>
      <c r="E24" s="14">
        <v>34.36</v>
      </c>
      <c r="F24" s="14" t="s">
        <v>11</v>
      </c>
      <c r="G24" s="14">
        <v>1.06</v>
      </c>
    </row>
    <row r="25" spans="1:7" x14ac:dyDescent="0.25">
      <c r="A25" s="16">
        <v>42089.446157407408</v>
      </c>
      <c r="B25" s="14" t="s">
        <v>9</v>
      </c>
      <c r="C25" s="14" t="s">
        <v>12</v>
      </c>
      <c r="D25" s="14">
        <v>100</v>
      </c>
      <c r="E25" s="14">
        <v>61.97</v>
      </c>
      <c r="F25" s="14" t="s">
        <v>11</v>
      </c>
      <c r="G25" s="14">
        <v>1</v>
      </c>
    </row>
    <row r="26" spans="1:7" x14ac:dyDescent="0.25">
      <c r="A26" s="16">
        <v>42089.470694444448</v>
      </c>
      <c r="B26" s="14" t="s">
        <v>9</v>
      </c>
      <c r="C26" s="14" t="s">
        <v>12</v>
      </c>
      <c r="D26" s="14">
        <v>100</v>
      </c>
      <c r="E26" s="14">
        <v>61.51</v>
      </c>
      <c r="F26" s="14" t="s">
        <v>11</v>
      </c>
      <c r="G26" s="14">
        <v>1</v>
      </c>
    </row>
    <row r="27" spans="1:7" x14ac:dyDescent="0.25">
      <c r="A27" s="16">
        <v>42089.473321759258</v>
      </c>
      <c r="B27" s="14" t="s">
        <v>9</v>
      </c>
      <c r="C27" s="14" t="s">
        <v>10</v>
      </c>
      <c r="D27" s="14">
        <v>100</v>
      </c>
      <c r="E27" s="14">
        <v>61.87</v>
      </c>
      <c r="F27" s="14" t="s">
        <v>15</v>
      </c>
      <c r="G27" s="14">
        <v>1.1100000000000001</v>
      </c>
    </row>
    <row r="28" spans="1:7" x14ac:dyDescent="0.25">
      <c r="A28" s="16">
        <v>42089.483969907407</v>
      </c>
      <c r="B28" s="14" t="s">
        <v>9</v>
      </c>
      <c r="C28" s="14" t="s">
        <v>10</v>
      </c>
      <c r="D28" s="14">
        <v>100</v>
      </c>
      <c r="E28" s="14">
        <v>61.8</v>
      </c>
      <c r="F28" s="14" t="s">
        <v>11</v>
      </c>
      <c r="G28" s="14">
        <v>1.1100000000000001</v>
      </c>
    </row>
    <row r="29" spans="1:7" x14ac:dyDescent="0.25">
      <c r="A29" s="16">
        <v>42089.492326388892</v>
      </c>
      <c r="B29" s="14" t="s">
        <v>9</v>
      </c>
      <c r="C29" s="14" t="s">
        <v>12</v>
      </c>
      <c r="D29" s="14">
        <v>50</v>
      </c>
      <c r="E29" s="14">
        <v>62.15</v>
      </c>
      <c r="F29" s="14" t="s">
        <v>14</v>
      </c>
      <c r="G29" s="14">
        <v>1</v>
      </c>
    </row>
    <row r="30" spans="1:7" x14ac:dyDescent="0.25">
      <c r="A30" s="16">
        <v>42089.509050925924</v>
      </c>
      <c r="B30" s="14" t="s">
        <v>9</v>
      </c>
      <c r="C30" s="14" t="s">
        <v>10</v>
      </c>
      <c r="D30" s="14">
        <v>50</v>
      </c>
      <c r="E30" s="14">
        <v>61.09</v>
      </c>
      <c r="F30" s="14" t="s">
        <v>14</v>
      </c>
      <c r="G30" s="14">
        <v>1.06</v>
      </c>
    </row>
    <row r="31" spans="1:7" x14ac:dyDescent="0.25">
      <c r="A31" s="16">
        <v>42089.511828703704</v>
      </c>
      <c r="B31" s="14" t="s">
        <v>9</v>
      </c>
      <c r="C31" s="14" t="s">
        <v>12</v>
      </c>
      <c r="D31" s="14">
        <v>50</v>
      </c>
      <c r="E31" s="14">
        <v>61.45</v>
      </c>
      <c r="F31" s="14" t="s">
        <v>13</v>
      </c>
      <c r="G31" s="14">
        <v>1</v>
      </c>
    </row>
    <row r="32" spans="1:7" x14ac:dyDescent="0.25">
      <c r="A32" s="16">
        <v>42089.522499999999</v>
      </c>
      <c r="B32" s="14" t="s">
        <v>9</v>
      </c>
      <c r="C32" s="14" t="s">
        <v>10</v>
      </c>
      <c r="D32" s="14">
        <v>50</v>
      </c>
      <c r="E32" s="14">
        <v>61.82</v>
      </c>
      <c r="F32" s="14" t="s">
        <v>11</v>
      </c>
      <c r="G32" s="14">
        <v>1.06</v>
      </c>
    </row>
    <row r="33" spans="1:7" x14ac:dyDescent="0.25">
      <c r="A33" s="16"/>
      <c r="B33" s="29"/>
      <c r="C33" s="14"/>
      <c r="D33" s="14"/>
      <c r="E33" s="14"/>
      <c r="F33" s="14"/>
      <c r="G33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Baiyya</dc:creator>
  <cp:lastModifiedBy>Vijay Baiyya</cp:lastModifiedBy>
  <dcterms:created xsi:type="dcterms:W3CDTF">2015-03-28T04:34:03Z</dcterms:created>
  <dcterms:modified xsi:type="dcterms:W3CDTF">2015-04-04T04:37:02Z</dcterms:modified>
</cp:coreProperties>
</file>