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baiyya\Documents\ImportTrades\ImportTrades\"/>
    </mc:Choice>
  </mc:AlternateContent>
  <bookViews>
    <workbookView xWindow="0" yWindow="0" windowWidth="17970" windowHeight="7410" activeTab="2"/>
  </bookViews>
  <sheets>
    <sheet name="ClosedTradesSheet" sheetId="2" r:id="rId1"/>
    <sheet name="Sheet4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2" l="1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Z59" i="2" s="1"/>
  <c r="S60" i="2"/>
  <c r="T60" i="2" s="1"/>
  <c r="Y47" i="2"/>
  <c r="Y51" i="2"/>
  <c r="Y58" i="2"/>
  <c r="T59" i="2" l="1"/>
  <c r="Y60" i="2"/>
  <c r="Z60" i="2"/>
  <c r="Y59" i="2"/>
  <c r="Z58" i="2"/>
  <c r="Y57" i="2"/>
  <c r="Z57" i="2"/>
  <c r="Y56" i="2"/>
  <c r="Z56" i="2"/>
  <c r="Y55" i="2"/>
  <c r="Z55" i="2"/>
  <c r="Y54" i="2"/>
  <c r="Z54" i="2"/>
  <c r="Y53" i="2"/>
  <c r="Z53" i="2"/>
  <c r="Y52" i="2"/>
  <c r="Z52" i="2"/>
  <c r="Z51" i="2"/>
  <c r="Y50" i="2"/>
  <c r="Z50" i="2"/>
  <c r="Y49" i="2"/>
  <c r="Z49" i="2"/>
  <c r="Z48" i="2"/>
  <c r="Y48" i="2"/>
  <c r="Z47" i="2"/>
  <c r="Y46" i="2"/>
  <c r="Z46" i="2"/>
  <c r="U45" i="2"/>
  <c r="S45" i="2"/>
  <c r="Y45" i="2" s="1"/>
  <c r="U44" i="2"/>
  <c r="S44" i="2"/>
  <c r="Z44" i="2" s="1"/>
  <c r="U43" i="2"/>
  <c r="S43" i="2"/>
  <c r="Z43" i="2" s="1"/>
  <c r="U42" i="2"/>
  <c r="S42" i="2"/>
  <c r="T42" i="2" s="1"/>
  <c r="U41" i="2"/>
  <c r="S41" i="2"/>
  <c r="Y41" i="2" s="1"/>
  <c r="U40" i="2"/>
  <c r="S40" i="2"/>
  <c r="Z40" i="2" s="1"/>
  <c r="U39" i="2"/>
  <c r="R39" i="2"/>
  <c r="S39" i="2" s="1"/>
  <c r="Q39" i="2"/>
  <c r="U38" i="2"/>
  <c r="S38" i="2"/>
  <c r="Z38" i="2" s="1"/>
  <c r="U37" i="2"/>
  <c r="R37" i="2"/>
  <c r="S37" i="2" s="1"/>
  <c r="U36" i="2"/>
  <c r="S36" i="2"/>
  <c r="Y36" i="2" s="1"/>
  <c r="U35" i="2"/>
  <c r="R35" i="2"/>
  <c r="S35" i="2" s="1"/>
  <c r="Z35" i="2" s="1"/>
  <c r="U34" i="2"/>
  <c r="S34" i="2"/>
  <c r="T34" i="2" s="1"/>
  <c r="U33" i="2"/>
  <c r="R33" i="2"/>
  <c r="S33" i="2" s="1"/>
  <c r="Y33" i="2" s="1"/>
  <c r="U32" i="2"/>
  <c r="R32" i="2"/>
  <c r="Q32" i="2"/>
  <c r="U31" i="2"/>
  <c r="S31" i="2"/>
  <c r="Z31" i="2" s="1"/>
  <c r="U30" i="2"/>
  <c r="S30" i="2"/>
  <c r="Z30" i="2" s="1"/>
  <c r="U29" i="2"/>
  <c r="R29" i="2"/>
  <c r="Q29" i="2"/>
  <c r="U28" i="2"/>
  <c r="S28" i="2"/>
  <c r="T28" i="2" s="1"/>
  <c r="U27" i="2"/>
  <c r="R27" i="2"/>
  <c r="S27" i="2" s="1"/>
  <c r="U26" i="2"/>
  <c r="R26" i="2"/>
  <c r="S26" i="2" s="1"/>
  <c r="U25" i="2"/>
  <c r="S25" i="2"/>
  <c r="T25" i="2" s="1"/>
  <c r="U24" i="2"/>
  <c r="R24" i="2"/>
  <c r="S24" i="2" s="1"/>
  <c r="Y24" i="2" s="1"/>
  <c r="U23" i="2"/>
  <c r="R23" i="2"/>
  <c r="S23" i="2" s="1"/>
  <c r="U22" i="2"/>
  <c r="R22" i="2"/>
  <c r="S22" i="2" s="1"/>
  <c r="Y22" i="2" s="1"/>
  <c r="U21" i="2"/>
  <c r="S21" i="2"/>
  <c r="T21" i="2" s="1"/>
  <c r="U20" i="2"/>
  <c r="S20" i="2"/>
  <c r="T20" i="2" s="1"/>
  <c r="U19" i="2"/>
  <c r="S19" i="2"/>
  <c r="Y19" i="2" s="1"/>
  <c r="U18" i="2"/>
  <c r="R18" i="2"/>
  <c r="S18" i="2" s="1"/>
  <c r="U17" i="2"/>
  <c r="R17" i="2"/>
  <c r="S17" i="2" s="1"/>
  <c r="U16" i="2"/>
  <c r="S16" i="2"/>
  <c r="Z16" i="2" s="1"/>
  <c r="U15" i="2"/>
  <c r="S15" i="2"/>
  <c r="T15" i="2" s="1"/>
  <c r="U14" i="2"/>
  <c r="S14" i="2"/>
  <c r="Z14" i="2" s="1"/>
  <c r="U13" i="2"/>
  <c r="S13" i="2"/>
  <c r="Y13" i="2" s="1"/>
  <c r="U12" i="2"/>
  <c r="S12" i="2"/>
  <c r="Z12" i="2" s="1"/>
  <c r="U11" i="2"/>
  <c r="S11" i="2"/>
  <c r="T11" i="2" s="1"/>
  <c r="U10" i="2"/>
  <c r="S10" i="2"/>
  <c r="Z10" i="2" s="1"/>
  <c r="U9" i="2"/>
  <c r="S9" i="2"/>
  <c r="Y9" i="2" s="1"/>
  <c r="U8" i="2"/>
  <c r="S8" i="2"/>
  <c r="Z8" i="2" s="1"/>
  <c r="U7" i="2"/>
  <c r="S7" i="2"/>
  <c r="T7" i="2" s="1"/>
  <c r="U6" i="2"/>
  <c r="S6" i="2"/>
  <c r="Z6" i="2" s="1"/>
  <c r="U5" i="2"/>
  <c r="S5" i="2"/>
  <c r="Y5" i="2" s="1"/>
  <c r="U4" i="2"/>
  <c r="S4" i="2"/>
  <c r="Z4" i="2" s="1"/>
  <c r="U3" i="2"/>
  <c r="S3" i="2"/>
  <c r="T3" i="2" s="1"/>
  <c r="U2" i="2"/>
  <c r="Q2" i="2"/>
  <c r="S2" i="2" s="1"/>
  <c r="P2" i="2"/>
  <c r="S32" i="2" l="1"/>
  <c r="T4" i="2"/>
  <c r="Y4" i="2"/>
  <c r="Y34" i="2"/>
  <c r="Y12" i="2"/>
  <c r="S29" i="2"/>
  <c r="Z29" i="2" s="1"/>
  <c r="Y10" i="2"/>
  <c r="T12" i="2"/>
  <c r="Y6" i="2"/>
  <c r="T8" i="2"/>
  <c r="Y16" i="2"/>
  <c r="T43" i="2"/>
  <c r="Y25" i="2"/>
  <c r="T40" i="2"/>
  <c r="Y8" i="2"/>
  <c r="Y14" i="2"/>
  <c r="T16" i="2"/>
  <c r="T6" i="2"/>
  <c r="T10" i="2"/>
  <c r="T14" i="2"/>
  <c r="T31" i="2"/>
  <c r="T38" i="2"/>
  <c r="Y42" i="2"/>
  <c r="Y20" i="2"/>
  <c r="T30" i="2"/>
  <c r="T35" i="2"/>
  <c r="T44" i="2"/>
  <c r="T27" i="2"/>
  <c r="Z27" i="2"/>
  <c r="Y27" i="2"/>
  <c r="T37" i="2"/>
  <c r="Z37" i="2"/>
  <c r="Y37" i="2"/>
  <c r="T29" i="2"/>
  <c r="Z18" i="2"/>
  <c r="Y18" i="2"/>
  <c r="T18" i="2"/>
  <c r="T23" i="2"/>
  <c r="Z23" i="2"/>
  <c r="Y23" i="2"/>
  <c r="Z26" i="2"/>
  <c r="T26" i="2"/>
  <c r="Y26" i="2"/>
  <c r="T32" i="2"/>
  <c r="Z32" i="2"/>
  <c r="Y32" i="2"/>
  <c r="T39" i="2"/>
  <c r="Z39" i="2"/>
  <c r="Y39" i="2"/>
  <c r="T2" i="2"/>
  <c r="Y2" i="2"/>
  <c r="Z2" i="2"/>
  <c r="Y17" i="2"/>
  <c r="T17" i="2"/>
  <c r="Z17" i="2"/>
  <c r="Z5" i="2"/>
  <c r="Z24" i="2"/>
  <c r="Z33" i="2"/>
  <c r="Z45" i="2"/>
  <c r="Y3" i="2"/>
  <c r="T5" i="2"/>
  <c r="Y7" i="2"/>
  <c r="T9" i="2"/>
  <c r="Y11" i="2"/>
  <c r="T13" i="2"/>
  <c r="Y15" i="2"/>
  <c r="T19" i="2"/>
  <c r="Z20" i="2"/>
  <c r="Y21" i="2"/>
  <c r="T22" i="2"/>
  <c r="T24" i="2"/>
  <c r="Z25" i="2"/>
  <c r="Y28" i="2"/>
  <c r="Y30" i="2"/>
  <c r="T33" i="2"/>
  <c r="Z34" i="2"/>
  <c r="T36" i="2"/>
  <c r="T41" i="2"/>
  <c r="Z42" i="2"/>
  <c r="Y43" i="2"/>
  <c r="T45" i="2"/>
  <c r="Z19" i="2"/>
  <c r="Z22" i="2"/>
  <c r="Z36" i="2"/>
  <c r="Z3" i="2"/>
  <c r="Z7" i="2"/>
  <c r="Z11" i="2"/>
  <c r="Z15" i="2"/>
  <c r="Z21" i="2"/>
  <c r="Z28" i="2"/>
  <c r="Y31" i="2"/>
  <c r="Y35" i="2"/>
  <c r="Y38" i="2"/>
  <c r="Y40" i="2"/>
  <c r="Y44" i="2"/>
  <c r="Z9" i="2"/>
  <c r="Z13" i="2"/>
  <c r="Z41" i="2"/>
  <c r="Y29" i="2" l="1"/>
</calcChain>
</file>

<file path=xl/sharedStrings.xml><?xml version="1.0" encoding="utf-8"?>
<sst xmlns="http://schemas.openxmlformats.org/spreadsheetml/2006/main" count="262" uniqueCount="88">
  <si>
    <t>EEP</t>
  </si>
  <si>
    <t>GERN</t>
  </si>
  <si>
    <t>NVAX</t>
  </si>
  <si>
    <t>QCOM</t>
  </si>
  <si>
    <t>QIHU</t>
  </si>
  <si>
    <t>RTI</t>
  </si>
  <si>
    <t>URBN</t>
  </si>
  <si>
    <t>Number of Shares</t>
  </si>
  <si>
    <t>Commissions</t>
  </si>
  <si>
    <t>VRNT</t>
  </si>
  <si>
    <t>SLD</t>
  </si>
  <si>
    <t>IEX</t>
  </si>
  <si>
    <t>BOT</t>
  </si>
  <si>
    <t>ISLAND</t>
  </si>
  <si>
    <t>ARCA</t>
  </si>
  <si>
    <t>DPLO</t>
  </si>
  <si>
    <t>RHT</t>
  </si>
  <si>
    <t>BEX</t>
  </si>
  <si>
    <t>NYSE</t>
  </si>
  <si>
    <t>+</t>
  </si>
  <si>
    <t>FIVE</t>
  </si>
  <si>
    <t>ARCA + 1</t>
  </si>
  <si>
    <t>IEX + 1</t>
  </si>
  <si>
    <t>DateTime</t>
  </si>
  <si>
    <t>Symbol</t>
  </si>
  <si>
    <t>Action</t>
  </si>
  <si>
    <t>Excg</t>
  </si>
  <si>
    <t>Price</t>
  </si>
  <si>
    <t>Morning Gapper</t>
  </si>
  <si>
    <t>PreMarket High b/o</t>
  </si>
  <si>
    <t>Openrange b/o</t>
  </si>
  <si>
    <t>1st Flag</t>
  </si>
  <si>
    <t>2nd Flag</t>
  </si>
  <si>
    <t>3rd Flag</t>
  </si>
  <si>
    <t>4th Flag</t>
  </si>
  <si>
    <t>HOD Breakout</t>
  </si>
  <si>
    <t>Flat Top Breakout</t>
  </si>
  <si>
    <t>Momentum</t>
  </si>
  <si>
    <t>Ascending Triangle</t>
  </si>
  <si>
    <t>Freakout</t>
  </si>
  <si>
    <t>Num Shares</t>
  </si>
  <si>
    <t>Buy price/share</t>
  </si>
  <si>
    <t>Sell price/share</t>
  </si>
  <si>
    <t>Return/share</t>
  </si>
  <si>
    <t>Net</t>
  </si>
  <si>
    <t>Daily</t>
  </si>
  <si>
    <t>Weekly</t>
  </si>
  <si>
    <t>Monthly</t>
  </si>
  <si>
    <t>Win</t>
  </si>
  <si>
    <t>Loss</t>
  </si>
  <si>
    <t>Was stratergy correct?</t>
  </si>
  <si>
    <t>Comments</t>
  </si>
  <si>
    <t>Yes</t>
  </si>
  <si>
    <t>No</t>
  </si>
  <si>
    <t>Went in early without actual breakout confirmation</t>
  </si>
  <si>
    <t>CAPN</t>
  </si>
  <si>
    <t>IMGN</t>
  </si>
  <si>
    <t>COH</t>
  </si>
  <si>
    <t>RADA</t>
  </si>
  <si>
    <t>YELP</t>
  </si>
  <si>
    <t>DGLY</t>
  </si>
  <si>
    <t>ORMP</t>
  </si>
  <si>
    <t>Did not pay attention to volume and level 2.</t>
  </si>
  <si>
    <t>GPRO</t>
  </si>
  <si>
    <t>LL</t>
  </si>
  <si>
    <t>Bad exit. Should have been little more patient</t>
  </si>
  <si>
    <t>PURE LUCK</t>
  </si>
  <si>
    <t>VBLT</t>
  </si>
  <si>
    <t>Had to exit fast to go to work</t>
  </si>
  <si>
    <t>PURE LUCK. Bought at peek and then freaked out</t>
  </si>
  <si>
    <t>Gave away all the profits</t>
  </si>
  <si>
    <t>GLOB</t>
  </si>
  <si>
    <t>BBRY</t>
  </si>
  <si>
    <t>Accidental short. Sent order in the wrong window</t>
  </si>
  <si>
    <t>Buy DateTime</t>
  </si>
  <si>
    <t>Sell DateTime</t>
  </si>
  <si>
    <t>MYL</t>
  </si>
  <si>
    <t>PSX + 2</t>
  </si>
  <si>
    <t>VLTC</t>
  </si>
  <si>
    <t>EDGEA</t>
  </si>
  <si>
    <t>ISLAND + 1</t>
  </si>
  <si>
    <t>DANG</t>
  </si>
  <si>
    <t>GBSN</t>
  </si>
  <si>
    <t>GENE</t>
  </si>
  <si>
    <t>HZNP</t>
  </si>
  <si>
    <t>ISLAND + 2</t>
  </si>
  <si>
    <t>ZIOP</t>
  </si>
  <si>
    <t>DRCTEDGE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</si>
</sst>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h:mm:ss"/>
    <numFmt numFmtId="165" formatCode="0.0000"/>
    <numFmt numFmtId="166" formatCode="#,##0.0000"/>
    <numFmt numFmtId="171" formatCode="0.000000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Lucida Sans Unicode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164" fontId="1" fillId="2" borderId="1" xfId="0" applyNumberFormat="1" applyFont="1" applyFill="1" applyBorder="1" applyAlignme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>
      <alignment wrapText="1"/>
    </xf>
    <xf numFmtId="166" fontId="0" fillId="0" borderId="0" xfId="0" applyNumberFormat="1" applyAlignment="1"/>
    <xf numFmtId="2" fontId="0" fillId="0" borderId="0" xfId="0" applyNumberFormat="1" applyAlignment="1"/>
    <xf numFmtId="0" fontId="0" fillId="0" borderId="0" xfId="0" applyNumberFormat="1" applyAlignment="1"/>
    <xf numFmtId="2" fontId="2" fillId="0" borderId="0" xfId="0" applyNumberFormat="1" applyFont="1" applyAlignment="1"/>
    <xf numFmtId="0" fontId="0" fillId="0" borderId="0" xfId="0" quotePrefix="1" applyAlignment="1"/>
    <xf numFmtId="22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</cellXfs>
  <cellStyles count="1">
    <cellStyle name="Normal" xfId="0" builtinId="0"/>
  </cellStyles>
  <dxfs count="110"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numFmt numFmtId="165" formatCode="0.0000"/>
      <alignment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dotted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 Unicode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166" formatCode="#,##0.0000"/>
      <alignment vertical="bottom" textRotation="0" wrapText="0" indent="0" justifyLastLine="0" shrinkToFit="0" readingOrder="0"/>
    </dxf>
    <dxf>
      <numFmt numFmtId="166" formatCode="#,##0.0000"/>
      <alignment horizontal="general" vertical="bottom" textRotation="0" wrapText="1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yy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4" defaultTableStyle="TableStyleMedium2" defaultPivotStyle="PivotStyleLight16">
    <tableStyle name="TableStyleQueryError" pivot="0" count="3">
      <tableStyleElement type="wholeTable" dxfId="2"/>
      <tableStyleElement type="headerRow" dxfId="1"/>
      <tableStyleElement type="firstRowStripe" dxfId="0"/>
    </tableStyle>
    <tableStyle name="TableStyleQueryInfo" pivot="0" count="3">
      <tableStyleElement type="wholeTable" dxfId="5"/>
      <tableStyleElement type="headerRow" dxfId="4"/>
      <tableStyleElement type="firstRowStripe" dxfId="3"/>
    </tableStyle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AB60" totalsRowShown="0" headerRowDxfId="109" dataDxfId="108">
  <autoFilter ref="A1:AB60"/>
  <tableColumns count="28">
    <tableColumn id="1" name="Buy DateTime" dataDxfId="107"/>
    <tableColumn id="28" name="Sell DateTime" dataDxfId="81"/>
    <tableColumn id="19" name="Morning Gapper" dataDxfId="106"/>
    <tableColumn id="24" name="PreMarket High b/o" dataDxfId="105"/>
    <tableColumn id="23" name="Openrange b/o" dataDxfId="104"/>
    <tableColumn id="2" name="1st Flag" dataDxfId="103"/>
    <tableColumn id="16" name="2nd Flag" dataDxfId="102"/>
    <tableColumn id="20" name="3rd Flag" dataDxfId="101"/>
    <tableColumn id="21" name="4th Flag" dataDxfId="100"/>
    <tableColumn id="17" name="HOD Breakout" dataDxfId="99"/>
    <tableColumn id="18" name="Flat Top Breakout" dataDxfId="98"/>
    <tableColumn id="22" name="Momentum" dataDxfId="97"/>
    <tableColumn id="25" name="Ascending Triangle" dataDxfId="96"/>
    <tableColumn id="15" name="Freakout" dataDxfId="95"/>
    <tableColumn id="3" name="Symbol" dataDxfId="94"/>
    <tableColumn id="4" name="Num Shares" dataDxfId="93">
      <calculatedColumnFormula>400+400</calculatedColumnFormula>
    </tableColumn>
    <tableColumn id="5" name="Buy price/share" dataDxfId="92">
      <calculatedColumnFormula>(38.76+38.438)/2</calculatedColumnFormula>
    </tableColumn>
    <tableColumn id="6" name="Sell price/share" dataDxfId="91"/>
    <tableColumn id="7" name="Return/share" dataDxfId="90">
      <calculatedColumnFormula>Table2[[#This Row],[Sell price/share]]-Table2[[#This Row],[Buy price/share]]</calculatedColumnFormula>
    </tableColumn>
    <tableColumn id="8" name="Net" dataDxfId="89">
      <calculatedColumnFormula>Table2[[#This Row],[Return/share]]*Table2[[#This Row],[Num Shares]]</calculatedColumnFormula>
    </tableColumn>
    <tableColumn id="12" name="Commissions" dataDxfId="12">
      <calculatedColumnFormula>4.56+2+2</calculatedColumnFormula>
    </tableColumn>
    <tableColumn id="9" name="Daily" dataDxfId="88">
      <calculatedColumnFormula>Table2[[#This Row],[Net]]-Table2[[#This Row],[Commissions]]</calculatedColumnFormula>
    </tableColumn>
    <tableColumn id="10" name="Weekly" dataDxfId="87"/>
    <tableColumn id="11" name="Monthly" dataDxfId="86"/>
    <tableColumn id="26" name="Win" dataDxfId="85">
      <calculatedColumnFormula>IF(Table2[[#This Row],[Return/share]]&gt;0, 1, 0)</calculatedColumnFormula>
    </tableColumn>
    <tableColumn id="27" name="Loss" dataDxfId="84">
      <calculatedColumnFormula>IF(Table2[[#This Row],[Return/share]]&lt;=0,1,0)</calculatedColumnFormula>
    </tableColumn>
    <tableColumn id="13" name="Was stratergy correct?" dataDxfId="83"/>
    <tableColumn id="14" name="Comments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H41" totalsRowShown="0" headerRowDxfId="80" dataDxfId="71" headerRowBorderDxfId="79">
  <autoFilter ref="B1:H41"/>
  <sortState ref="B2:H32">
    <sortCondition ref="B2:B33"/>
  </sortState>
  <tableColumns count="7">
    <tableColumn id="1" name="DateTime" dataDxfId="78"/>
    <tableColumn id="2" name="Symbol" dataDxfId="77"/>
    <tableColumn id="3" name="Action" dataDxfId="76"/>
    <tableColumn id="4" name="Number of Shares" dataDxfId="75"/>
    <tableColumn id="5" name="Price" dataDxfId="74"/>
    <tableColumn id="6" name="Excg" dataDxfId="73"/>
    <tableColumn id="7" name="Commissions" dataDxfId="7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60"/>
  <sheetViews>
    <sheetView topLeftCell="A27" workbookViewId="0">
      <selection activeCell="H33" sqref="H33"/>
    </sheetView>
  </sheetViews>
  <sheetFormatPr defaultRowHeight="15" x14ac:dyDescent="0.25"/>
  <cols>
    <col min="1" max="1" width="9.7109375" style="9" bestFit="1" customWidth="1"/>
    <col min="2" max="2" width="9.7109375" style="9" customWidth="1"/>
    <col min="3" max="3" width="7.140625" style="9" customWidth="1"/>
    <col min="4" max="7" width="6.42578125" style="9" customWidth="1"/>
    <col min="8" max="8" width="5.5703125" style="9" customWidth="1"/>
    <col min="9" max="9" width="4.5703125" style="9" customWidth="1"/>
    <col min="10" max="10" width="7.28515625" style="9" customWidth="1"/>
    <col min="11" max="11" width="6.7109375" style="9" customWidth="1"/>
    <col min="12" max="12" width="7" style="9" customWidth="1"/>
    <col min="13" max="13" width="6.28515625" style="9" customWidth="1"/>
    <col min="14" max="14" width="7.140625" style="9" customWidth="1"/>
    <col min="15" max="15" width="10.5703125" style="9" customWidth="1"/>
    <col min="16" max="16" width="9.140625" style="9"/>
    <col min="17" max="17" width="11.7109375" style="9" customWidth="1"/>
    <col min="18" max="18" width="12.140625" style="9" customWidth="1"/>
    <col min="19" max="19" width="12" style="9" customWidth="1"/>
    <col min="20" max="24" width="9.140625" style="9"/>
    <col min="25" max="26" width="9.140625" style="8"/>
    <col min="27" max="16384" width="9.140625" style="9"/>
  </cols>
  <sheetData>
    <row r="1" spans="1:28" s="5" customFormat="1" ht="77.25" customHeight="1" x14ac:dyDescent="0.25">
      <c r="A1" s="5" t="s">
        <v>74</v>
      </c>
      <c r="B1" s="5" t="s">
        <v>75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24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8</v>
      </c>
      <c r="V1" s="5" t="s">
        <v>45</v>
      </c>
      <c r="W1" s="5" t="s">
        <v>46</v>
      </c>
      <c r="X1" s="5" t="s">
        <v>47</v>
      </c>
      <c r="Y1" s="6" t="s">
        <v>48</v>
      </c>
      <c r="Z1" s="6" t="s">
        <v>49</v>
      </c>
      <c r="AA1" s="5" t="s">
        <v>50</v>
      </c>
      <c r="AB1" s="5" t="s">
        <v>51</v>
      </c>
    </row>
    <row r="2" spans="1:28" x14ac:dyDescent="0.25">
      <c r="A2" s="7">
        <v>42072</v>
      </c>
      <c r="B2" s="7"/>
      <c r="C2" s="8">
        <v>1</v>
      </c>
      <c r="D2" s="8"/>
      <c r="E2" s="8"/>
      <c r="O2" s="9" t="s">
        <v>5</v>
      </c>
      <c r="P2" s="9">
        <f t="shared" ref="P2" si="0">400+400</f>
        <v>800</v>
      </c>
      <c r="Q2" s="10">
        <f t="shared" ref="Q2" si="1">(38.76+38.438)/2</f>
        <v>38.599000000000004</v>
      </c>
      <c r="R2" s="10">
        <v>37.96</v>
      </c>
      <c r="S2" s="11">
        <f>Table2[[#This Row],[Sell price/share]]-Table2[[#This Row],[Buy price/share]]</f>
        <v>-0.6390000000000029</v>
      </c>
      <c r="T2" s="12">
        <f>Table2[[#This Row],[Return/share]]*Table2[[#This Row],[Num Shares]]</f>
        <v>-511.20000000000232</v>
      </c>
      <c r="U2" s="10">
        <f>(4.56+2+2)</f>
        <v>8.5599999999999987</v>
      </c>
      <c r="V2" s="13"/>
      <c r="W2" s="13"/>
      <c r="X2" s="13"/>
      <c r="Y2" s="8">
        <f>IF(Table2[[#This Row],[Return/share]]&gt;0, 1, 0)</f>
        <v>0</v>
      </c>
      <c r="Z2" s="8">
        <f>IF(Table2[[#This Row],[Return/share]]&lt;=0,1,0)</f>
        <v>1</v>
      </c>
    </row>
    <row r="3" spans="1:28" x14ac:dyDescent="0.25">
      <c r="A3" s="7">
        <v>42073</v>
      </c>
      <c r="B3" s="7"/>
      <c r="C3" s="8">
        <v>1</v>
      </c>
      <c r="D3" s="8"/>
      <c r="E3" s="8"/>
      <c r="J3" s="9">
        <v>1</v>
      </c>
      <c r="O3" s="9" t="s">
        <v>0</v>
      </c>
      <c r="P3" s="9">
        <v>200</v>
      </c>
      <c r="Q3" s="10">
        <v>36.42</v>
      </c>
      <c r="R3" s="10">
        <v>36.44</v>
      </c>
      <c r="S3" s="11">
        <f>Table2[[#This Row],[Sell price/share]]-Table2[[#This Row],[Buy price/share]]</f>
        <v>1.9999999999996021E-2</v>
      </c>
      <c r="T3" s="12">
        <f>Table2[[#This Row],[Return/share]]*Table2[[#This Row],[Num Shares]]</f>
        <v>3.9999999999992042</v>
      </c>
      <c r="U3" s="10">
        <f>(1+1.13)</f>
        <v>2.13</v>
      </c>
      <c r="V3" s="13"/>
      <c r="W3" s="13"/>
      <c r="X3" s="13"/>
      <c r="Y3" s="8">
        <f>IF(Table2[[#This Row],[Return/share]]&gt;0, 1, 0)</f>
        <v>1</v>
      </c>
      <c r="Z3" s="8">
        <f>IF(Table2[[#This Row],[Return/share]]&lt;=0,1,0)</f>
        <v>0</v>
      </c>
      <c r="AA3" s="9" t="s">
        <v>52</v>
      </c>
    </row>
    <row r="4" spans="1:28" x14ac:dyDescent="0.25">
      <c r="A4" s="7">
        <v>42073</v>
      </c>
      <c r="B4" s="7"/>
      <c r="C4" s="8">
        <v>1</v>
      </c>
      <c r="D4" s="8"/>
      <c r="E4" s="8"/>
      <c r="K4" s="9">
        <v>1</v>
      </c>
      <c r="O4" s="9" t="s">
        <v>0</v>
      </c>
      <c r="P4" s="9">
        <v>200</v>
      </c>
      <c r="Q4" s="10">
        <v>36.51</v>
      </c>
      <c r="R4" s="10">
        <v>36.4</v>
      </c>
      <c r="S4" s="11">
        <f>Table2[[#This Row],[Sell price/share]]-Table2[[#This Row],[Buy price/share]]</f>
        <v>-0.10999999999999943</v>
      </c>
      <c r="T4" s="12">
        <f>Table2[[#This Row],[Return/share]]*Table2[[#This Row],[Num Shares]]</f>
        <v>-21.999999999999886</v>
      </c>
      <c r="U4" s="10">
        <f>(1+1.13)</f>
        <v>2.13</v>
      </c>
      <c r="V4" s="13"/>
      <c r="W4" s="13"/>
      <c r="X4" s="13"/>
      <c r="Y4" s="8">
        <f>IF(Table2[[#This Row],[Return/share]]&gt;0, 1, 0)</f>
        <v>0</v>
      </c>
      <c r="Z4" s="8">
        <f>IF(Table2[[#This Row],[Return/share]]&lt;=0,1,0)</f>
        <v>1</v>
      </c>
      <c r="AA4" s="9" t="s">
        <v>52</v>
      </c>
    </row>
    <row r="5" spans="1:28" x14ac:dyDescent="0.25">
      <c r="A5" s="7">
        <v>42073</v>
      </c>
      <c r="B5" s="7"/>
      <c r="C5" s="8"/>
      <c r="D5" s="8"/>
      <c r="E5" s="8"/>
      <c r="G5" s="9">
        <v>1</v>
      </c>
      <c r="L5" s="9">
        <v>1</v>
      </c>
      <c r="O5" s="9" t="s">
        <v>6</v>
      </c>
      <c r="P5" s="9">
        <v>200</v>
      </c>
      <c r="Q5" s="10">
        <v>42.78</v>
      </c>
      <c r="R5" s="10">
        <v>42.56</v>
      </c>
      <c r="S5" s="11">
        <f>Table2[[#This Row],[Sell price/share]]-Table2[[#This Row],[Buy price/share]]</f>
        <v>-0.21999999999999886</v>
      </c>
      <c r="T5" s="12">
        <f>Table2[[#This Row],[Return/share]]*Table2[[#This Row],[Num Shares]]</f>
        <v>-43.999999999999773</v>
      </c>
      <c r="U5" s="10">
        <f>(1+1.16)</f>
        <v>2.16</v>
      </c>
      <c r="V5" s="13"/>
      <c r="W5" s="13"/>
      <c r="X5" s="13"/>
      <c r="Y5" s="8">
        <f>IF(Table2[[#This Row],[Return/share]]&gt;0, 1, 0)</f>
        <v>0</v>
      </c>
      <c r="Z5" s="8">
        <f>IF(Table2[[#This Row],[Return/share]]&lt;=0,1,0)</f>
        <v>1</v>
      </c>
      <c r="AA5" s="9" t="s">
        <v>52</v>
      </c>
    </row>
    <row r="6" spans="1:28" x14ac:dyDescent="0.25">
      <c r="A6" s="7">
        <v>42073</v>
      </c>
      <c r="B6" s="7"/>
      <c r="C6" s="8"/>
      <c r="D6" s="8"/>
      <c r="E6" s="8"/>
      <c r="H6" s="9">
        <v>1</v>
      </c>
      <c r="L6" s="9">
        <v>1</v>
      </c>
      <c r="O6" s="9" t="s">
        <v>6</v>
      </c>
      <c r="P6" s="14">
        <v>200</v>
      </c>
      <c r="Q6" s="10">
        <v>42.93</v>
      </c>
      <c r="R6" s="10">
        <v>43.2</v>
      </c>
      <c r="S6" s="11">
        <f>Table2[[#This Row],[Sell price/share]]-Table2[[#This Row],[Buy price/share]]</f>
        <v>0.27000000000000313</v>
      </c>
      <c r="T6" s="12">
        <f>Table2[[#This Row],[Return/share]]*Table2[[#This Row],[Num Shares]]</f>
        <v>54.000000000000625</v>
      </c>
      <c r="U6" s="10">
        <f t="shared" ref="U6:U9" si="2">(1+1.16)</f>
        <v>2.16</v>
      </c>
      <c r="V6" s="13"/>
      <c r="W6" s="13"/>
      <c r="X6" s="13"/>
      <c r="Y6" s="8">
        <f>IF(Table2[[#This Row],[Return/share]]&gt;0, 1, 0)</f>
        <v>1</v>
      </c>
      <c r="Z6" s="8">
        <f>IF(Table2[[#This Row],[Return/share]]&lt;=0,1,0)</f>
        <v>0</v>
      </c>
      <c r="AA6" s="9" t="s">
        <v>52</v>
      </c>
    </row>
    <row r="7" spans="1:28" x14ac:dyDescent="0.25">
      <c r="A7" s="7">
        <v>42073</v>
      </c>
      <c r="B7" s="7"/>
      <c r="C7" s="8"/>
      <c r="D7" s="8"/>
      <c r="E7" s="8"/>
      <c r="J7" s="9">
        <v>1</v>
      </c>
      <c r="K7" s="9">
        <v>1</v>
      </c>
      <c r="L7" s="9">
        <v>1</v>
      </c>
      <c r="O7" s="9" t="s">
        <v>6</v>
      </c>
      <c r="P7" s="14">
        <v>200</v>
      </c>
      <c r="Q7" s="10">
        <v>43.32</v>
      </c>
      <c r="R7" s="10">
        <v>43.085000000000001</v>
      </c>
      <c r="S7" s="11">
        <f>Table2[[#This Row],[Sell price/share]]-Table2[[#This Row],[Buy price/share]]</f>
        <v>-0.23499999999999943</v>
      </c>
      <c r="T7" s="12">
        <f>Table2[[#This Row],[Return/share]]*Table2[[#This Row],[Num Shares]]</f>
        <v>-46.999999999999886</v>
      </c>
      <c r="U7" s="10">
        <f t="shared" si="2"/>
        <v>2.16</v>
      </c>
      <c r="V7" s="13"/>
      <c r="W7" s="13"/>
      <c r="X7" s="13"/>
      <c r="Y7" s="8">
        <f>IF(Table2[[#This Row],[Return/share]]&gt;0, 1, 0)</f>
        <v>0</v>
      </c>
      <c r="Z7" s="8">
        <f>IF(Table2[[#This Row],[Return/share]]&lt;=0,1,0)</f>
        <v>1</v>
      </c>
      <c r="AA7" s="9" t="s">
        <v>52</v>
      </c>
    </row>
    <row r="8" spans="1:28" x14ac:dyDescent="0.25">
      <c r="A8" s="7">
        <v>42073</v>
      </c>
      <c r="B8" s="7"/>
      <c r="C8" s="8"/>
      <c r="D8" s="8"/>
      <c r="E8" s="8"/>
      <c r="K8" s="9">
        <v>1</v>
      </c>
      <c r="L8" s="9">
        <v>1</v>
      </c>
      <c r="O8" s="9" t="s">
        <v>6</v>
      </c>
      <c r="P8" s="14">
        <v>200</v>
      </c>
      <c r="Q8" s="10">
        <v>43.09</v>
      </c>
      <c r="R8" s="10">
        <v>43.13</v>
      </c>
      <c r="S8" s="11">
        <f>Table2[[#This Row],[Sell price/share]]-Table2[[#This Row],[Buy price/share]]</f>
        <v>3.9999999999999147E-2</v>
      </c>
      <c r="T8" s="12">
        <f>Table2[[#This Row],[Return/share]]*Table2[[#This Row],[Num Shares]]</f>
        <v>7.9999999999998295</v>
      </c>
      <c r="U8" s="10">
        <f t="shared" si="2"/>
        <v>2.16</v>
      </c>
      <c r="V8" s="13"/>
      <c r="W8" s="13"/>
      <c r="X8" s="13"/>
      <c r="Y8" s="8">
        <f>IF(Table2[[#This Row],[Return/share]]&gt;0, 1, 0)</f>
        <v>1</v>
      </c>
      <c r="Z8" s="8">
        <f>IF(Table2[[#This Row],[Return/share]]&lt;=0,1,0)</f>
        <v>0</v>
      </c>
      <c r="AA8" s="9" t="s">
        <v>52</v>
      </c>
    </row>
    <row r="9" spans="1:28" x14ac:dyDescent="0.25">
      <c r="A9" s="7">
        <v>42073</v>
      </c>
      <c r="B9" s="7"/>
      <c r="C9" s="8"/>
      <c r="D9" s="8"/>
      <c r="E9" s="8"/>
      <c r="J9" s="9">
        <v>1</v>
      </c>
      <c r="L9" s="9">
        <v>1</v>
      </c>
      <c r="O9" s="9" t="s">
        <v>6</v>
      </c>
      <c r="P9" s="14">
        <v>200</v>
      </c>
      <c r="Q9" s="10">
        <v>43.29</v>
      </c>
      <c r="R9" s="10">
        <v>43.13</v>
      </c>
      <c r="S9" s="11">
        <f>Table2[[#This Row],[Sell price/share]]-Table2[[#This Row],[Buy price/share]]</f>
        <v>-0.15999999999999659</v>
      </c>
      <c r="T9" s="12">
        <f>Table2[[#This Row],[Return/share]]*Table2[[#This Row],[Num Shares]]</f>
        <v>-31.999999999999318</v>
      </c>
      <c r="U9" s="10">
        <f t="shared" si="2"/>
        <v>2.16</v>
      </c>
      <c r="V9" s="13"/>
      <c r="W9" s="13"/>
      <c r="X9" s="13"/>
      <c r="Y9" s="8">
        <f>IF(Table2[[#This Row],[Return/share]]&gt;0, 1, 0)</f>
        <v>0</v>
      </c>
      <c r="Z9" s="8">
        <f>IF(Table2[[#This Row],[Return/share]]&lt;=0,1,0)</f>
        <v>1</v>
      </c>
      <c r="AA9" s="9" t="s">
        <v>53</v>
      </c>
      <c r="AB9" s="9" t="s">
        <v>54</v>
      </c>
    </row>
    <row r="10" spans="1:28" x14ac:dyDescent="0.25">
      <c r="A10" s="7">
        <v>42073</v>
      </c>
      <c r="B10" s="7"/>
      <c r="C10" s="8"/>
      <c r="D10" s="8"/>
      <c r="E10" s="8"/>
      <c r="J10" s="9">
        <v>1</v>
      </c>
      <c r="L10" s="9">
        <v>1</v>
      </c>
      <c r="O10" s="9" t="s">
        <v>4</v>
      </c>
      <c r="P10" s="14">
        <v>200</v>
      </c>
      <c r="Q10" s="10">
        <v>48.784999999999997</v>
      </c>
      <c r="R10" s="10">
        <v>48.94</v>
      </c>
      <c r="S10" s="11">
        <f>Table2[[#This Row],[Sell price/share]]-Table2[[#This Row],[Buy price/share]]</f>
        <v>0.15500000000000114</v>
      </c>
      <c r="T10" s="12">
        <f>Table2[[#This Row],[Return/share]]*Table2[[#This Row],[Num Shares]]</f>
        <v>31.000000000000227</v>
      </c>
      <c r="U10" s="10">
        <f>(1+2.18)</f>
        <v>3.18</v>
      </c>
      <c r="V10" s="13"/>
      <c r="W10" s="13"/>
      <c r="X10" s="13"/>
      <c r="Y10" s="8">
        <f>IF(Table2[[#This Row],[Return/share]]&gt;0, 1, 0)</f>
        <v>1</v>
      </c>
      <c r="Z10" s="8">
        <f>IF(Table2[[#This Row],[Return/share]]&lt;=0,1,0)</f>
        <v>0</v>
      </c>
      <c r="AA10" s="9" t="s">
        <v>52</v>
      </c>
    </row>
    <row r="11" spans="1:28" x14ac:dyDescent="0.25">
      <c r="A11" s="7">
        <v>42073</v>
      </c>
      <c r="B11" s="7"/>
      <c r="C11" s="8">
        <v>1</v>
      </c>
      <c r="D11" s="8"/>
      <c r="E11" s="8"/>
      <c r="K11" s="9">
        <v>1</v>
      </c>
      <c r="O11" s="9" t="s">
        <v>3</v>
      </c>
      <c r="P11" s="14">
        <v>200</v>
      </c>
      <c r="Q11" s="10">
        <v>73.03</v>
      </c>
      <c r="R11" s="10">
        <v>72.88</v>
      </c>
      <c r="S11" s="11">
        <f>Table2[[#This Row],[Sell price/share]]-Table2[[#This Row],[Buy price/share]]</f>
        <v>-0.15000000000000568</v>
      </c>
      <c r="T11" s="12">
        <f>Table2[[#This Row],[Return/share]]*Table2[[#This Row],[Num Shares]]</f>
        <v>-30.000000000001137</v>
      </c>
      <c r="U11" s="10">
        <f>(1+1.27)</f>
        <v>2.27</v>
      </c>
      <c r="V11" s="13"/>
      <c r="W11" s="13"/>
      <c r="X11" s="13"/>
      <c r="Y11" s="8">
        <f>IF(Table2[[#This Row],[Return/share]]&gt;0, 1, 0)</f>
        <v>0</v>
      </c>
      <c r="Z11" s="8">
        <f>IF(Table2[[#This Row],[Return/share]]&lt;=0,1,0)</f>
        <v>1</v>
      </c>
      <c r="AA11" s="9" t="s">
        <v>53</v>
      </c>
      <c r="AB11" s="9" t="s">
        <v>54</v>
      </c>
    </row>
    <row r="12" spans="1:28" x14ac:dyDescent="0.25">
      <c r="A12" s="7">
        <v>42073</v>
      </c>
      <c r="B12" s="7"/>
      <c r="C12" s="8">
        <v>1</v>
      </c>
      <c r="D12" s="8"/>
      <c r="E12" s="8"/>
      <c r="I12" s="9">
        <v>1</v>
      </c>
      <c r="O12" s="9" t="s">
        <v>1</v>
      </c>
      <c r="P12" s="14">
        <v>200</v>
      </c>
      <c r="Q12" s="10">
        <v>4.01</v>
      </c>
      <c r="R12" s="10">
        <v>4.05</v>
      </c>
      <c r="S12" s="11">
        <f>Table2[[#This Row],[Sell price/share]]-Table2[[#This Row],[Buy price/share]]</f>
        <v>4.0000000000000036E-2</v>
      </c>
      <c r="T12" s="12">
        <f>Table2[[#This Row],[Return/share]]*Table2[[#This Row],[Num Shares]]</f>
        <v>8.0000000000000071</v>
      </c>
      <c r="U12" s="10">
        <f>(1+1.01)</f>
        <v>2.0099999999999998</v>
      </c>
      <c r="V12" s="13"/>
      <c r="W12" s="13"/>
      <c r="X12" s="13"/>
      <c r="Y12" s="8">
        <f>IF(Table2[[#This Row],[Return/share]]&gt;0, 1, 0)</f>
        <v>1</v>
      </c>
      <c r="Z12" s="8">
        <f>IF(Table2[[#This Row],[Return/share]]&lt;=0,1,0)</f>
        <v>0</v>
      </c>
      <c r="AA12" s="9" t="s">
        <v>52</v>
      </c>
    </row>
    <row r="13" spans="1:28" x14ac:dyDescent="0.25">
      <c r="A13" s="7">
        <v>42073</v>
      </c>
      <c r="B13" s="7"/>
      <c r="C13" s="8">
        <v>1</v>
      </c>
      <c r="D13" s="8"/>
      <c r="E13" s="8"/>
      <c r="K13" s="9">
        <v>1</v>
      </c>
      <c r="O13" s="9" t="s">
        <v>1</v>
      </c>
      <c r="P13" s="14">
        <v>200</v>
      </c>
      <c r="Q13" s="10">
        <v>4.17</v>
      </c>
      <c r="R13" s="10">
        <v>4.21</v>
      </c>
      <c r="S13" s="11">
        <f>Table2[[#This Row],[Sell price/share]]-Table2[[#This Row],[Buy price/share]]</f>
        <v>4.0000000000000036E-2</v>
      </c>
      <c r="T13" s="12">
        <f>Table2[[#This Row],[Return/share]]*Table2[[#This Row],[Num Shares]]</f>
        <v>8.0000000000000071</v>
      </c>
      <c r="U13" s="10">
        <f>(1+1.02)</f>
        <v>2.02</v>
      </c>
      <c r="V13" s="13"/>
      <c r="W13" s="13"/>
      <c r="X13" s="13"/>
      <c r="Y13" s="8">
        <f>IF(Table2[[#This Row],[Return/share]]&gt;0, 1, 0)</f>
        <v>1</v>
      </c>
      <c r="Z13" s="8">
        <f>IF(Table2[[#This Row],[Return/share]]&lt;=0,1,0)</f>
        <v>0</v>
      </c>
      <c r="AA13" s="9" t="s">
        <v>52</v>
      </c>
    </row>
    <row r="14" spans="1:28" x14ac:dyDescent="0.25">
      <c r="A14" s="7">
        <v>42073</v>
      </c>
      <c r="B14" s="7"/>
      <c r="C14" s="8">
        <v>1</v>
      </c>
      <c r="D14" s="8"/>
      <c r="E14" s="8"/>
      <c r="J14" s="9">
        <v>1</v>
      </c>
      <c r="O14" s="9" t="s">
        <v>1</v>
      </c>
      <c r="P14" s="14">
        <v>200</v>
      </c>
      <c r="Q14" s="10">
        <v>4.2300000000000004</v>
      </c>
      <c r="R14" s="10">
        <v>4.24</v>
      </c>
      <c r="S14" s="11">
        <f>Table2[[#This Row],[Sell price/share]]-Table2[[#This Row],[Buy price/share]]</f>
        <v>9.9999999999997868E-3</v>
      </c>
      <c r="T14" s="12">
        <f>Table2[[#This Row],[Return/share]]*Table2[[#This Row],[Num Shares]]</f>
        <v>1.9999999999999574</v>
      </c>
      <c r="U14" s="10">
        <f>(1+1.02)</f>
        <v>2.02</v>
      </c>
      <c r="V14" s="13"/>
      <c r="W14" s="13"/>
      <c r="X14" s="13"/>
      <c r="Y14" s="8">
        <f>IF(Table2[[#This Row],[Return/share]]&gt;0, 1, 0)</f>
        <v>1</v>
      </c>
      <c r="Z14" s="8">
        <f>IF(Table2[[#This Row],[Return/share]]&lt;=0,1,0)</f>
        <v>0</v>
      </c>
      <c r="AA14" s="9" t="s">
        <v>52</v>
      </c>
    </row>
    <row r="15" spans="1:28" x14ac:dyDescent="0.25">
      <c r="A15" s="7">
        <v>42073</v>
      </c>
      <c r="B15" s="7"/>
      <c r="C15" s="8"/>
      <c r="D15" s="8"/>
      <c r="E15" s="8"/>
      <c r="J15" s="9">
        <v>1</v>
      </c>
      <c r="O15" s="9" t="s">
        <v>2</v>
      </c>
      <c r="P15" s="14">
        <v>200</v>
      </c>
      <c r="Q15" s="10">
        <v>8.9700000000000006</v>
      </c>
      <c r="R15" s="10">
        <v>9.08</v>
      </c>
      <c r="S15" s="11">
        <f>Table2[[#This Row],[Sell price/share]]-Table2[[#This Row],[Buy price/share]]</f>
        <v>0.10999999999999943</v>
      </c>
      <c r="T15" s="12">
        <f>Table2[[#This Row],[Return/share]]*Table2[[#This Row],[Num Shares]]</f>
        <v>21.999999999999886</v>
      </c>
      <c r="U15" s="10">
        <f>(1+1.03)</f>
        <v>2.0300000000000002</v>
      </c>
      <c r="V15" s="13"/>
      <c r="W15" s="13"/>
      <c r="X15" s="13"/>
      <c r="Y15" s="8">
        <f>IF(Table2[[#This Row],[Return/share]]&gt;0, 1, 0)</f>
        <v>1</v>
      </c>
      <c r="Z15" s="8">
        <f>IF(Table2[[#This Row],[Return/share]]&lt;=0,1,0)</f>
        <v>0</v>
      </c>
      <c r="AA15" s="9" t="s">
        <v>52</v>
      </c>
    </row>
    <row r="16" spans="1:28" x14ac:dyDescent="0.25">
      <c r="A16" s="7">
        <v>42086</v>
      </c>
      <c r="B16" s="7"/>
      <c r="C16" s="8">
        <v>1</v>
      </c>
      <c r="D16" s="8"/>
      <c r="E16" s="8">
        <v>1</v>
      </c>
      <c r="O16" s="9" t="s">
        <v>55</v>
      </c>
      <c r="P16" s="14">
        <v>200</v>
      </c>
      <c r="Q16" s="10">
        <v>6.34</v>
      </c>
      <c r="R16" s="10">
        <v>6.63</v>
      </c>
      <c r="S16" s="11">
        <f>Table2[[#This Row],[Sell price/share]]-Table2[[#This Row],[Buy price/share]]</f>
        <v>0.29000000000000004</v>
      </c>
      <c r="T16" s="12">
        <f>Table2[[#This Row],[Return/share]]*Table2[[#This Row],[Num Shares]]</f>
        <v>58.000000000000007</v>
      </c>
      <c r="U16" s="10">
        <f>(1+1.02)</f>
        <v>2.02</v>
      </c>
      <c r="V16" s="13"/>
      <c r="W16" s="13"/>
      <c r="X16" s="13"/>
      <c r="Y16" s="8">
        <f>IF(Table2[[#This Row],[Return/share]]&gt;0, 1, 0)</f>
        <v>1</v>
      </c>
      <c r="Z16" s="8">
        <f>IF(Table2[[#This Row],[Return/share]]&lt;=0,1,0)</f>
        <v>0</v>
      </c>
      <c r="AA16" s="9" t="s">
        <v>52</v>
      </c>
    </row>
    <row r="17" spans="1:28" x14ac:dyDescent="0.25">
      <c r="A17" s="7">
        <v>42086</v>
      </c>
      <c r="B17" s="7"/>
      <c r="C17" s="8">
        <v>1</v>
      </c>
      <c r="D17" s="8"/>
      <c r="E17" s="8"/>
      <c r="G17" s="9">
        <v>1</v>
      </c>
      <c r="J17" s="9">
        <v>1</v>
      </c>
      <c r="O17" s="9" t="s">
        <v>55</v>
      </c>
      <c r="P17" s="14">
        <v>200</v>
      </c>
      <c r="Q17" s="10">
        <v>6.76</v>
      </c>
      <c r="R17" s="10">
        <f>(6.85+6.925)/2</f>
        <v>6.8874999999999993</v>
      </c>
      <c r="S17" s="11">
        <f>Table2[[#This Row],[Sell price/share]]-Table2[[#This Row],[Buy price/share]]</f>
        <v>0.1274999999999995</v>
      </c>
      <c r="T17" s="12">
        <f>Table2[[#This Row],[Return/share]]*Table2[[#This Row],[Num Shares]]</f>
        <v>25.499999999999901</v>
      </c>
      <c r="U17" s="10">
        <f>(1.01+1.03+1)</f>
        <v>3.04</v>
      </c>
      <c r="V17" s="13"/>
      <c r="W17" s="13"/>
      <c r="X17" s="13"/>
      <c r="Y17" s="8">
        <f>IF(Table2[[#This Row],[Return/share]]&gt;0, 1, 0)</f>
        <v>1</v>
      </c>
      <c r="Z17" s="8">
        <f>IF(Table2[[#This Row],[Return/share]]&lt;=0,1,0)</f>
        <v>0</v>
      </c>
      <c r="AA17" s="9" t="s">
        <v>52</v>
      </c>
    </row>
    <row r="18" spans="1:28" x14ac:dyDescent="0.25">
      <c r="A18" s="7">
        <v>42086</v>
      </c>
      <c r="B18" s="7"/>
      <c r="C18" s="8">
        <v>1</v>
      </c>
      <c r="D18" s="8"/>
      <c r="E18" s="8"/>
      <c r="L18" s="9">
        <v>1</v>
      </c>
      <c r="O18" s="9" t="s">
        <v>56</v>
      </c>
      <c r="P18" s="14">
        <v>200</v>
      </c>
      <c r="Q18" s="10">
        <v>8.68</v>
      </c>
      <c r="R18" s="10">
        <f>(8.73+8.77)/2</f>
        <v>8.75</v>
      </c>
      <c r="S18" s="11">
        <f>Table2[[#This Row],[Sell price/share]]-Table2[[#This Row],[Buy price/share]]</f>
        <v>7.0000000000000284E-2</v>
      </c>
      <c r="T18" s="12">
        <f>Table2[[#This Row],[Return/share]]*Table2[[#This Row],[Num Shares]]</f>
        <v>14.000000000000057</v>
      </c>
      <c r="U18" s="10">
        <f>(1.01+1.03+1)</f>
        <v>3.04</v>
      </c>
      <c r="V18" s="13"/>
      <c r="W18" s="13"/>
      <c r="X18" s="13"/>
      <c r="Y18" s="8">
        <f>IF(Table2[[#This Row],[Return/share]]&gt;0, 1, 0)</f>
        <v>1</v>
      </c>
      <c r="Z18" s="8">
        <f>IF(Table2[[#This Row],[Return/share]]&lt;=0,1,0)</f>
        <v>0</v>
      </c>
      <c r="AA18" s="9" t="s">
        <v>52</v>
      </c>
    </row>
    <row r="19" spans="1:28" x14ac:dyDescent="0.25">
      <c r="A19" s="7">
        <v>42086</v>
      </c>
      <c r="B19" s="7"/>
      <c r="C19" s="8"/>
      <c r="D19" s="8"/>
      <c r="E19" s="8"/>
      <c r="J19" s="9">
        <v>1</v>
      </c>
      <c r="K19" s="9">
        <v>1</v>
      </c>
      <c r="O19" s="9" t="s">
        <v>57</v>
      </c>
      <c r="P19" s="14">
        <v>200</v>
      </c>
      <c r="Q19" s="10">
        <v>42.43</v>
      </c>
      <c r="R19" s="10">
        <v>42.36</v>
      </c>
      <c r="S19" s="11">
        <f>Table2[[#This Row],[Sell price/share]]-Table2[[#This Row],[Buy price/share]]</f>
        <v>-7.0000000000000284E-2</v>
      </c>
      <c r="T19" s="12">
        <f>Table2[[#This Row],[Return/share]]*Table2[[#This Row],[Num Shares]]</f>
        <v>-14.000000000000057</v>
      </c>
      <c r="U19" s="10">
        <f>(1+1.16)</f>
        <v>2.16</v>
      </c>
      <c r="V19" s="13"/>
      <c r="W19" s="13"/>
      <c r="X19" s="13"/>
      <c r="Y19" s="8">
        <f>IF(Table2[[#This Row],[Return/share]]&gt;0, 1, 0)</f>
        <v>0</v>
      </c>
      <c r="Z19" s="8">
        <f>IF(Table2[[#This Row],[Return/share]]&lt;=0,1,0)</f>
        <v>1</v>
      </c>
      <c r="AA19" s="9" t="s">
        <v>52</v>
      </c>
    </row>
    <row r="20" spans="1:28" x14ac:dyDescent="0.25">
      <c r="A20" s="7">
        <v>42086</v>
      </c>
      <c r="B20" s="7"/>
      <c r="C20" s="8"/>
      <c r="D20" s="8"/>
      <c r="E20" s="8"/>
      <c r="J20" s="9">
        <v>1</v>
      </c>
      <c r="L20" s="9">
        <v>1</v>
      </c>
      <c r="O20" s="9" t="s">
        <v>58</v>
      </c>
      <c r="P20" s="14">
        <v>200</v>
      </c>
      <c r="Q20" s="10">
        <v>3.14</v>
      </c>
      <c r="R20" s="10">
        <v>3.05</v>
      </c>
      <c r="S20" s="11">
        <f>Table2[[#This Row],[Sell price/share]]-Table2[[#This Row],[Buy price/share]]</f>
        <v>-9.0000000000000302E-2</v>
      </c>
      <c r="T20" s="12">
        <f>Table2[[#This Row],[Return/share]]*Table2[[#This Row],[Num Shares]]</f>
        <v>-18.00000000000006</v>
      </c>
      <c r="U20" s="10">
        <f>(1+1.01)</f>
        <v>2.0099999999999998</v>
      </c>
      <c r="V20" s="13"/>
      <c r="W20" s="13"/>
      <c r="X20" s="13"/>
      <c r="Y20" s="8">
        <f>IF(Table2[[#This Row],[Return/share]]&gt;0, 1, 0)</f>
        <v>0</v>
      </c>
      <c r="Z20" s="8">
        <f>IF(Table2[[#This Row],[Return/share]]&lt;=0,1,0)</f>
        <v>1</v>
      </c>
      <c r="AA20" s="9" t="s">
        <v>52</v>
      </c>
    </row>
    <row r="21" spans="1:28" x14ac:dyDescent="0.25">
      <c r="A21" s="7">
        <v>42086</v>
      </c>
      <c r="B21" s="7"/>
      <c r="C21" s="8"/>
      <c r="D21" s="8"/>
      <c r="E21" s="8"/>
      <c r="J21" s="9">
        <v>1</v>
      </c>
      <c r="L21" s="9">
        <v>1</v>
      </c>
      <c r="O21" s="9" t="s">
        <v>59</v>
      </c>
      <c r="P21" s="14">
        <v>200</v>
      </c>
      <c r="Q21" s="10">
        <v>47.12</v>
      </c>
      <c r="R21" s="10">
        <v>46.99</v>
      </c>
      <c r="S21" s="11">
        <f>Table2[[#This Row],[Sell price/share]]-Table2[[#This Row],[Buy price/share]]</f>
        <v>-0.12999999999999545</v>
      </c>
      <c r="T21" s="12">
        <f>Table2[[#This Row],[Return/share]]*Table2[[#This Row],[Num Shares]]</f>
        <v>-25.999999999999091</v>
      </c>
      <c r="U21" s="10">
        <f>(1.17)</f>
        <v>1.17</v>
      </c>
      <c r="V21" s="13"/>
      <c r="W21" s="13"/>
      <c r="X21" s="13"/>
      <c r="Y21" s="8">
        <f>IF(Table2[[#This Row],[Return/share]]&gt;0, 1, 0)</f>
        <v>0</v>
      </c>
      <c r="Z21" s="8">
        <f>IF(Table2[[#This Row],[Return/share]]&lt;=0,1,0)</f>
        <v>1</v>
      </c>
      <c r="AA21" s="9" t="s">
        <v>52</v>
      </c>
    </row>
    <row r="22" spans="1:28" x14ac:dyDescent="0.25">
      <c r="A22" s="7">
        <v>42087</v>
      </c>
      <c r="B22" s="7"/>
      <c r="C22" s="8">
        <v>1</v>
      </c>
      <c r="D22" s="8">
        <v>1</v>
      </c>
      <c r="E22" s="8"/>
      <c r="O22" s="9" t="s">
        <v>60</v>
      </c>
      <c r="P22" s="14">
        <v>200</v>
      </c>
      <c r="Q22" s="10">
        <v>15.46</v>
      </c>
      <c r="R22" s="10">
        <f>(15.49+15.72)/2</f>
        <v>15.605</v>
      </c>
      <c r="S22" s="11">
        <f>Table2[[#This Row],[Sell price/share]]-Table2[[#This Row],[Buy price/share]]</f>
        <v>0.14499999999999957</v>
      </c>
      <c r="T22" s="12">
        <f>Table2[[#This Row],[Return/share]]*Table2[[#This Row],[Num Shares]]</f>
        <v>28.999999999999915</v>
      </c>
      <c r="U22" s="10">
        <f>(1+1.03*2)</f>
        <v>3.06</v>
      </c>
      <c r="V22" s="13"/>
      <c r="W22" s="13"/>
      <c r="X22" s="13"/>
      <c r="Y22" s="8">
        <f>IF(Table2[[#This Row],[Return/share]]&gt;0, 1, 0)</f>
        <v>1</v>
      </c>
      <c r="Z22" s="8">
        <f>IF(Table2[[#This Row],[Return/share]]&lt;=0,1,0)</f>
        <v>0</v>
      </c>
      <c r="AA22" s="9" t="s">
        <v>52</v>
      </c>
    </row>
    <row r="23" spans="1:28" x14ac:dyDescent="0.25">
      <c r="A23" s="7">
        <v>42087</v>
      </c>
      <c r="B23" s="7"/>
      <c r="C23" s="8">
        <v>1</v>
      </c>
      <c r="D23" s="8"/>
      <c r="E23" s="8"/>
      <c r="F23" s="9">
        <v>1</v>
      </c>
      <c r="O23" s="9" t="s">
        <v>60</v>
      </c>
      <c r="P23" s="14">
        <v>200</v>
      </c>
      <c r="Q23" s="10">
        <v>15.67</v>
      </c>
      <c r="R23" s="10">
        <f>(15.8+16.06)/2</f>
        <v>15.93</v>
      </c>
      <c r="S23" s="11">
        <f>Table2[[#This Row],[Sell price/share]]-Table2[[#This Row],[Buy price/share]]</f>
        <v>0.25999999999999979</v>
      </c>
      <c r="T23" s="12">
        <f>Table2[[#This Row],[Return/share]]*Table2[[#This Row],[Num Shares]]</f>
        <v>51.999999999999957</v>
      </c>
      <c r="U23" s="10">
        <f>(1+1.03*2)</f>
        <v>3.06</v>
      </c>
      <c r="V23" s="13"/>
      <c r="W23" s="13"/>
      <c r="X23" s="13"/>
      <c r="Y23" s="8">
        <f>IF(Table2[[#This Row],[Return/share]]&gt;0, 1, 0)</f>
        <v>1</v>
      </c>
      <c r="Z23" s="8">
        <f>IF(Table2[[#This Row],[Return/share]]&lt;=0,1,0)</f>
        <v>0</v>
      </c>
      <c r="AA23" s="9" t="s">
        <v>52</v>
      </c>
    </row>
    <row r="24" spans="1:28" x14ac:dyDescent="0.25">
      <c r="A24" s="7">
        <v>42087</v>
      </c>
      <c r="B24" s="7"/>
      <c r="C24" s="8"/>
      <c r="D24" s="8"/>
      <c r="E24" s="8"/>
      <c r="L24" s="9">
        <v>1</v>
      </c>
      <c r="M24" s="9">
        <v>1</v>
      </c>
      <c r="O24" s="9" t="s">
        <v>61</v>
      </c>
      <c r="P24" s="14">
        <v>200</v>
      </c>
      <c r="Q24" s="10">
        <v>7.46</v>
      </c>
      <c r="R24" s="10">
        <f>(7.56+7.75)/2</f>
        <v>7.6549999999999994</v>
      </c>
      <c r="S24" s="11">
        <f>Table2[[#This Row],[Sell price/share]]-Table2[[#This Row],[Buy price/share]]</f>
        <v>0.1949999999999994</v>
      </c>
      <c r="T24" s="12">
        <f>Table2[[#This Row],[Return/share]]*Table2[[#This Row],[Num Shares]]</f>
        <v>38.999999999999879</v>
      </c>
      <c r="U24" s="10">
        <f>(1+1.01*2)</f>
        <v>3.02</v>
      </c>
      <c r="V24" s="13"/>
      <c r="W24" s="13"/>
      <c r="X24" s="13"/>
      <c r="Y24" s="8">
        <f>IF(Table2[[#This Row],[Return/share]]&gt;0, 1, 0)</f>
        <v>1</v>
      </c>
      <c r="Z24" s="8">
        <f>IF(Table2[[#This Row],[Return/share]]&lt;=0,1,0)</f>
        <v>0</v>
      </c>
      <c r="AA24" s="9" t="s">
        <v>52</v>
      </c>
    </row>
    <row r="25" spans="1:28" x14ac:dyDescent="0.25">
      <c r="A25" s="7">
        <v>42087</v>
      </c>
      <c r="B25" s="7"/>
      <c r="C25" s="8"/>
      <c r="D25" s="8"/>
      <c r="E25" s="8"/>
      <c r="J25" s="9">
        <v>1</v>
      </c>
      <c r="O25" s="9" t="s">
        <v>61</v>
      </c>
      <c r="P25" s="14">
        <v>200</v>
      </c>
      <c r="Q25" s="10">
        <v>7.96</v>
      </c>
      <c r="R25" s="10">
        <v>7.75</v>
      </c>
      <c r="S25" s="11">
        <f>Table2[[#This Row],[Sell price/share]]-Table2[[#This Row],[Buy price/share]]</f>
        <v>-0.20999999999999996</v>
      </c>
      <c r="T25" s="12">
        <f>Table2[[#This Row],[Return/share]]*Table2[[#This Row],[Num Shares]]</f>
        <v>-41.999999999999993</v>
      </c>
      <c r="U25" s="10">
        <f>(1+1.03)</f>
        <v>2.0300000000000002</v>
      </c>
      <c r="V25" s="13"/>
      <c r="W25" s="13"/>
      <c r="X25" s="13"/>
      <c r="Y25" s="8">
        <f>IF(Table2[[#This Row],[Return/share]]&gt;0, 1, 0)</f>
        <v>0</v>
      </c>
      <c r="Z25" s="8">
        <f>IF(Table2[[#This Row],[Return/share]]&lt;=0,1,0)</f>
        <v>1</v>
      </c>
      <c r="AA25" s="9" t="s">
        <v>52</v>
      </c>
      <c r="AB25" s="9" t="s">
        <v>62</v>
      </c>
    </row>
    <row r="26" spans="1:28" x14ac:dyDescent="0.25">
      <c r="A26" s="7">
        <v>42087</v>
      </c>
      <c r="B26" s="7"/>
      <c r="C26" s="8"/>
      <c r="D26" s="8"/>
      <c r="E26" s="8"/>
      <c r="L26" s="9">
        <v>1</v>
      </c>
      <c r="M26" s="9">
        <v>1</v>
      </c>
      <c r="O26" s="9" t="s">
        <v>61</v>
      </c>
      <c r="P26" s="14">
        <v>200</v>
      </c>
      <c r="Q26" s="10">
        <v>7.375</v>
      </c>
      <c r="R26" s="10">
        <f>(7.55+7.59)/2</f>
        <v>7.57</v>
      </c>
      <c r="S26" s="11">
        <f>Table2[[#This Row],[Sell price/share]]-Table2[[#This Row],[Buy price/share]]</f>
        <v>0.19500000000000028</v>
      </c>
      <c r="T26" s="12">
        <f>Table2[[#This Row],[Return/share]]*Table2[[#This Row],[Num Shares]]</f>
        <v>39.000000000000057</v>
      </c>
      <c r="U26" s="10">
        <f>(1+1.01*2)</f>
        <v>3.02</v>
      </c>
      <c r="V26" s="13"/>
      <c r="W26" s="13"/>
      <c r="X26" s="13"/>
      <c r="Y26" s="8">
        <f>IF(Table2[[#This Row],[Return/share]]&gt;0, 1, 0)</f>
        <v>1</v>
      </c>
      <c r="Z26" s="8">
        <f>IF(Table2[[#This Row],[Return/share]]&lt;=0,1,0)</f>
        <v>0</v>
      </c>
      <c r="AA26" s="9" t="s">
        <v>52</v>
      </c>
    </row>
    <row r="27" spans="1:28" x14ac:dyDescent="0.25">
      <c r="A27" s="7">
        <v>42088</v>
      </c>
      <c r="B27" s="7"/>
      <c r="C27" s="8">
        <v>1</v>
      </c>
      <c r="D27" s="8">
        <v>1</v>
      </c>
      <c r="E27" s="8"/>
      <c r="O27" s="9" t="s">
        <v>63</v>
      </c>
      <c r="P27" s="14">
        <v>200</v>
      </c>
      <c r="Q27" s="10">
        <v>43.76</v>
      </c>
      <c r="R27" s="10">
        <f>(43.86+44.11)/2</f>
        <v>43.984999999999999</v>
      </c>
      <c r="S27" s="11">
        <f>Table2[[#This Row],[Sell price/share]]-Table2[[#This Row],[Buy price/share]]</f>
        <v>0.22500000000000142</v>
      </c>
      <c r="T27" s="12">
        <f>Table2[[#This Row],[Return/share]]*Table2[[#This Row],[Num Shares]]</f>
        <v>45.000000000000284</v>
      </c>
      <c r="U27" s="10">
        <f>1+1.08*2</f>
        <v>3.16</v>
      </c>
      <c r="V27" s="13"/>
      <c r="W27" s="13"/>
      <c r="X27" s="13"/>
      <c r="Y27" s="8">
        <f>IF(Table2[[#This Row],[Return/share]]&gt;0, 1, 0)</f>
        <v>1</v>
      </c>
      <c r="Z27" s="8">
        <f>IF(Table2[[#This Row],[Return/share]]&lt;=0,1,0)</f>
        <v>0</v>
      </c>
    </row>
    <row r="28" spans="1:28" x14ac:dyDescent="0.25">
      <c r="A28" s="7">
        <v>42088</v>
      </c>
      <c r="B28" s="7"/>
      <c r="C28" s="8">
        <v>1</v>
      </c>
      <c r="D28" s="8">
        <v>1</v>
      </c>
      <c r="E28" s="8"/>
      <c r="O28" s="9" t="s">
        <v>64</v>
      </c>
      <c r="P28" s="14">
        <v>200</v>
      </c>
      <c r="Q28" s="10">
        <v>31.45</v>
      </c>
      <c r="R28" s="10">
        <v>31.5</v>
      </c>
      <c r="S28" s="11">
        <f>Table2[[#This Row],[Sell price/share]]-Table2[[#This Row],[Buy price/share]]</f>
        <v>5.0000000000000711E-2</v>
      </c>
      <c r="T28" s="12">
        <f>Table2[[#This Row],[Return/share]]*Table2[[#This Row],[Num Shares]]</f>
        <v>10.000000000000142</v>
      </c>
      <c r="U28" s="10">
        <f>1+1.12</f>
        <v>2.12</v>
      </c>
      <c r="V28" s="13"/>
      <c r="W28" s="13"/>
      <c r="X28" s="13"/>
      <c r="Y28" s="8">
        <f>IF(Table2[[#This Row],[Return/share]]&gt;0, 1, 0)</f>
        <v>1</v>
      </c>
      <c r="Z28" s="8">
        <f>IF(Table2[[#This Row],[Return/share]]&lt;=0,1,0)</f>
        <v>0</v>
      </c>
      <c r="AA28" s="9" t="s">
        <v>52</v>
      </c>
      <c r="AB28" s="9" t="s">
        <v>65</v>
      </c>
    </row>
    <row r="29" spans="1:28" x14ac:dyDescent="0.25">
      <c r="A29" s="7">
        <v>42088</v>
      </c>
      <c r="B29" s="7"/>
      <c r="C29" s="8">
        <v>1</v>
      </c>
      <c r="D29" s="8"/>
      <c r="E29" s="8"/>
      <c r="G29" s="9">
        <v>1</v>
      </c>
      <c r="J29" s="9">
        <v>1</v>
      </c>
      <c r="N29" s="9">
        <v>1</v>
      </c>
      <c r="O29" s="9" t="s">
        <v>64</v>
      </c>
      <c r="P29" s="14">
        <v>400</v>
      </c>
      <c r="Q29" s="10">
        <f>(31.53+31.91)/2</f>
        <v>31.72</v>
      </c>
      <c r="R29" s="10">
        <f>(31.89+31.67)/2</f>
        <v>31.78</v>
      </c>
      <c r="S29" s="11">
        <f>Table2[[#This Row],[Sell price/share]]-Table2[[#This Row],[Buy price/share]]</f>
        <v>6.0000000000002274E-2</v>
      </c>
      <c r="T29" s="12">
        <f>Table2[[#This Row],[Return/share]]*Table2[[#This Row],[Num Shares]]</f>
        <v>24.000000000000909</v>
      </c>
      <c r="U29" s="10">
        <f>1*2+1.12*2</f>
        <v>4.24</v>
      </c>
      <c r="V29" s="13"/>
      <c r="W29" s="13"/>
      <c r="X29" s="13"/>
      <c r="Y29" s="8">
        <f>IF(Table2[[#This Row],[Return/share]]&gt;0, 1, 0)</f>
        <v>1</v>
      </c>
      <c r="Z29" s="8">
        <f>IF(Table2[[#This Row],[Return/share]]&lt;=0,1,0)</f>
        <v>0</v>
      </c>
      <c r="AA29" s="9" t="s">
        <v>53</v>
      </c>
      <c r="AB29" s="9" t="s">
        <v>66</v>
      </c>
    </row>
    <row r="30" spans="1:28" x14ac:dyDescent="0.25">
      <c r="A30" s="7">
        <v>42088</v>
      </c>
      <c r="B30" s="7"/>
      <c r="C30" s="8">
        <v>1</v>
      </c>
      <c r="D30" s="8"/>
      <c r="E30" s="8"/>
      <c r="J30" s="9">
        <v>1</v>
      </c>
      <c r="O30" s="9" t="s">
        <v>67</v>
      </c>
      <c r="P30" s="14">
        <v>200</v>
      </c>
      <c r="Q30" s="10">
        <v>7.49</v>
      </c>
      <c r="R30" s="10">
        <v>7.51</v>
      </c>
      <c r="S30" s="11">
        <f>Table2[[#This Row],[Sell price/share]]-Table2[[#This Row],[Buy price/share]]</f>
        <v>1.9999999999999574E-2</v>
      </c>
      <c r="T30" s="12">
        <f>Table2[[#This Row],[Return/share]]*Table2[[#This Row],[Num Shares]]</f>
        <v>3.9999999999999147</v>
      </c>
      <c r="U30" s="10">
        <f>1+1.03</f>
        <v>2.0300000000000002</v>
      </c>
      <c r="V30" s="13"/>
      <c r="W30" s="13"/>
      <c r="X30" s="13"/>
      <c r="Y30" s="8">
        <f>IF(Table2[[#This Row],[Return/share]]&gt;0, 1, 0)</f>
        <v>1</v>
      </c>
      <c r="Z30" s="8">
        <f>IF(Table2[[#This Row],[Return/share]]&lt;=0,1,0)</f>
        <v>0</v>
      </c>
      <c r="AA30" s="9" t="s">
        <v>52</v>
      </c>
      <c r="AB30" s="9" t="s">
        <v>68</v>
      </c>
    </row>
    <row r="31" spans="1:28" x14ac:dyDescent="0.25">
      <c r="A31" s="7">
        <v>42089</v>
      </c>
      <c r="B31" s="7"/>
      <c r="C31" s="8">
        <v>1</v>
      </c>
      <c r="D31" s="8"/>
      <c r="E31" s="8"/>
      <c r="F31" s="9">
        <v>1</v>
      </c>
      <c r="O31" s="9" t="s">
        <v>16</v>
      </c>
      <c r="P31" s="14">
        <v>200</v>
      </c>
      <c r="Q31" s="10">
        <v>73.05</v>
      </c>
      <c r="R31" s="10">
        <v>73.400000000000006</v>
      </c>
      <c r="S31" s="11">
        <f>Table2[[#This Row],[Sell price/share]]-Table2[[#This Row],[Buy price/share]]</f>
        <v>0.35000000000000853</v>
      </c>
      <c r="T31" s="12">
        <f>Table2[[#This Row],[Return/share]]*Table2[[#This Row],[Num Shares]]</f>
        <v>70.000000000001705</v>
      </c>
      <c r="U31" s="10">
        <f>1+1.27</f>
        <v>2.27</v>
      </c>
      <c r="V31" s="13"/>
      <c r="W31" s="13"/>
      <c r="X31" s="13"/>
      <c r="Y31" s="8">
        <f>IF(Table2[[#This Row],[Return/share]]&gt;0, 1, 0)</f>
        <v>1</v>
      </c>
      <c r="Z31" s="8">
        <f>IF(Table2[[#This Row],[Return/share]]&lt;=0,1,0)</f>
        <v>0</v>
      </c>
      <c r="AA31" s="9" t="s">
        <v>52</v>
      </c>
    </row>
    <row r="32" spans="1:28" x14ac:dyDescent="0.25">
      <c r="A32" s="7">
        <v>42089</v>
      </c>
      <c r="B32" s="7"/>
      <c r="C32" s="8">
        <v>1</v>
      </c>
      <c r="D32" s="8"/>
      <c r="E32" s="8"/>
      <c r="J32" s="9">
        <v>1</v>
      </c>
      <c r="N32" s="9">
        <v>1</v>
      </c>
      <c r="O32" s="9" t="s">
        <v>16</v>
      </c>
      <c r="P32" s="14">
        <v>600</v>
      </c>
      <c r="Q32" s="10">
        <f>(73.97+73.575+73.55)/3</f>
        <v>73.698333333333338</v>
      </c>
      <c r="R32" s="10">
        <f>(73.7+73.62+73.74)/3</f>
        <v>73.686666666666667</v>
      </c>
      <c r="S32" s="11">
        <f>Table2[[#This Row],[Sell price/share]]-Table2[[#This Row],[Buy price/share]]</f>
        <v>-1.1666666666670267E-2</v>
      </c>
      <c r="T32" s="12">
        <f>Table2[[#This Row],[Return/share]]*Table2[[#This Row],[Num Shares]]</f>
        <v>-7.00000000000216</v>
      </c>
      <c r="U32" s="10">
        <f>1*3+1.27*3</f>
        <v>6.8100000000000005</v>
      </c>
      <c r="V32" s="13"/>
      <c r="W32" s="13"/>
      <c r="X32" s="13"/>
      <c r="Y32" s="8">
        <f>IF(Table2[[#This Row],[Return/share]]&gt;0, 1, 0)</f>
        <v>0</v>
      </c>
      <c r="Z32" s="8">
        <f>IF(Table2[[#This Row],[Return/share]]&lt;=0,1,0)</f>
        <v>1</v>
      </c>
      <c r="AA32" s="9" t="s">
        <v>53</v>
      </c>
      <c r="AB32" s="9" t="s">
        <v>69</v>
      </c>
    </row>
    <row r="33" spans="1:28" x14ac:dyDescent="0.25">
      <c r="A33" s="7">
        <v>42089</v>
      </c>
      <c r="B33" s="7"/>
      <c r="C33" s="8">
        <v>1</v>
      </c>
      <c r="D33" s="8"/>
      <c r="E33" s="8"/>
      <c r="J33" s="9">
        <v>1</v>
      </c>
      <c r="O33" s="9" t="s">
        <v>20</v>
      </c>
      <c r="P33" s="14">
        <v>200</v>
      </c>
      <c r="Q33" s="10">
        <v>36.25</v>
      </c>
      <c r="R33" s="10">
        <f>(36.34+36.07)/2</f>
        <v>36.204999999999998</v>
      </c>
      <c r="S33" s="11">
        <f>Table2[[#This Row],[Sell price/share]]-Table2[[#This Row],[Buy price/share]]</f>
        <v>-4.5000000000001705E-2</v>
      </c>
      <c r="T33" s="12">
        <f>Table2[[#This Row],[Return/share]]*Table2[[#This Row],[Num Shares]]</f>
        <v>-9.0000000000003411</v>
      </c>
      <c r="U33" s="10">
        <f>(1+1.07*2)</f>
        <v>3.14</v>
      </c>
      <c r="V33" s="13"/>
      <c r="W33" s="13"/>
      <c r="X33" s="13"/>
      <c r="Y33" s="8">
        <f>IF(Table2[[#This Row],[Return/share]]&gt;0, 1, 0)</f>
        <v>0</v>
      </c>
      <c r="Z33" s="8">
        <f>IF(Table2[[#This Row],[Return/share]]&lt;=0,1,0)</f>
        <v>1</v>
      </c>
    </row>
    <row r="34" spans="1:28" x14ac:dyDescent="0.25">
      <c r="A34" s="7">
        <v>42089</v>
      </c>
      <c r="B34" s="7"/>
      <c r="C34" s="8"/>
      <c r="D34" s="8"/>
      <c r="E34" s="8"/>
      <c r="L34" s="9">
        <v>1</v>
      </c>
      <c r="M34" s="9">
        <v>1</v>
      </c>
      <c r="O34" s="9" t="s">
        <v>15</v>
      </c>
      <c r="P34" s="14">
        <v>200</v>
      </c>
      <c r="Q34" s="10">
        <v>33.049999999999997</v>
      </c>
      <c r="R34" s="10">
        <v>33.14</v>
      </c>
      <c r="S34" s="11">
        <f>Table2[[#This Row],[Sell price/share]]-Table2[[#This Row],[Buy price/share]]</f>
        <v>9.0000000000003411E-2</v>
      </c>
      <c r="T34" s="12">
        <f>Table2[[#This Row],[Return/share]]*Table2[[#This Row],[Num Shares]]</f>
        <v>18.000000000000682</v>
      </c>
      <c r="U34" s="10">
        <f>1+1.12</f>
        <v>2.12</v>
      </c>
      <c r="V34" s="13"/>
      <c r="W34" s="13"/>
      <c r="X34" s="13"/>
      <c r="Y34" s="8">
        <f>IF(Table2[[#This Row],[Return/share]]&gt;0, 1, 0)</f>
        <v>1</v>
      </c>
      <c r="Z34" s="8">
        <f>IF(Table2[[#This Row],[Return/share]]&lt;=0,1,0)</f>
        <v>0</v>
      </c>
    </row>
    <row r="35" spans="1:28" x14ac:dyDescent="0.25">
      <c r="A35" s="7">
        <v>42089</v>
      </c>
      <c r="B35" s="7"/>
      <c r="C35" s="8">
        <v>1</v>
      </c>
      <c r="D35" s="8"/>
      <c r="E35" s="8"/>
      <c r="M35" s="9">
        <v>1</v>
      </c>
      <c r="O35" s="9" t="s">
        <v>16</v>
      </c>
      <c r="P35" s="14">
        <v>200</v>
      </c>
      <c r="Q35" s="10">
        <v>73.849999999999994</v>
      </c>
      <c r="R35" s="10">
        <f>(73.98+73.88)/2</f>
        <v>73.930000000000007</v>
      </c>
      <c r="S35" s="11">
        <f>Table2[[#This Row],[Sell price/share]]-Table2[[#This Row],[Buy price/share]]</f>
        <v>8.0000000000012506E-2</v>
      </c>
      <c r="T35" s="12">
        <f>Table2[[#This Row],[Return/share]]*Table2[[#This Row],[Num Shares]]</f>
        <v>16.000000000002501</v>
      </c>
      <c r="U35" s="10">
        <f>1+1.14*2</f>
        <v>3.28</v>
      </c>
      <c r="V35" s="13"/>
      <c r="W35" s="13"/>
      <c r="X35" s="13"/>
      <c r="Y35" s="8">
        <f>IF(Table2[[#This Row],[Return/share]]&gt;0, 1, 0)</f>
        <v>1</v>
      </c>
      <c r="Z35" s="8">
        <f>IF(Table2[[#This Row],[Return/share]]&lt;=0,1,0)</f>
        <v>0</v>
      </c>
    </row>
    <row r="36" spans="1:28" x14ac:dyDescent="0.25">
      <c r="A36" s="7">
        <v>42089</v>
      </c>
      <c r="B36" s="7"/>
      <c r="C36" s="8">
        <v>1</v>
      </c>
      <c r="D36" s="8"/>
      <c r="E36" s="8"/>
      <c r="M36" s="9">
        <v>1</v>
      </c>
      <c r="O36" s="9" t="s">
        <v>16</v>
      </c>
      <c r="P36" s="14">
        <v>200</v>
      </c>
      <c r="Q36" s="10">
        <v>74.069999999999993</v>
      </c>
      <c r="R36" s="10">
        <v>74</v>
      </c>
      <c r="S36" s="11">
        <f>Table2[[#This Row],[Sell price/share]]-Table2[[#This Row],[Buy price/share]]</f>
        <v>-6.9999999999993179E-2</v>
      </c>
      <c r="T36" s="12">
        <f>Table2[[#This Row],[Return/share]]*Table2[[#This Row],[Num Shares]]</f>
        <v>-13.999999999998636</v>
      </c>
      <c r="U36" s="10">
        <f>1+1.27</f>
        <v>2.27</v>
      </c>
      <c r="V36" s="13"/>
      <c r="W36" s="13"/>
      <c r="X36" s="13"/>
      <c r="Y36" s="8">
        <f>IF(Table2[[#This Row],[Return/share]]&gt;0, 1, 0)</f>
        <v>0</v>
      </c>
      <c r="Z36" s="8">
        <f>IF(Table2[[#This Row],[Return/share]]&lt;=0,1,0)</f>
        <v>1</v>
      </c>
    </row>
    <row r="37" spans="1:28" x14ac:dyDescent="0.25">
      <c r="A37" s="7">
        <v>42089</v>
      </c>
      <c r="B37" s="7"/>
      <c r="C37" s="8">
        <v>1</v>
      </c>
      <c r="D37" s="8"/>
      <c r="E37" s="8"/>
      <c r="J37" s="9">
        <v>1</v>
      </c>
      <c r="M37" s="9">
        <v>1</v>
      </c>
      <c r="O37" s="9" t="s">
        <v>16</v>
      </c>
      <c r="P37" s="14">
        <v>200</v>
      </c>
      <c r="Q37" s="10">
        <v>74.25</v>
      </c>
      <c r="R37" s="10">
        <f>(74.32+74.29)/2</f>
        <v>74.305000000000007</v>
      </c>
      <c r="S37" s="11">
        <f>Table2[[#This Row],[Sell price/share]]-Table2[[#This Row],[Buy price/share]]</f>
        <v>5.5000000000006821E-2</v>
      </c>
      <c r="T37" s="12">
        <f>Table2[[#This Row],[Return/share]]*Table2[[#This Row],[Num Shares]]</f>
        <v>11.000000000001364</v>
      </c>
      <c r="U37" s="10">
        <f>1+1.14*2</f>
        <v>3.28</v>
      </c>
      <c r="V37" s="13"/>
      <c r="W37" s="13"/>
      <c r="X37" s="13"/>
      <c r="Y37" s="8">
        <f>IF(Table2[[#This Row],[Return/share]]&gt;0, 1, 0)</f>
        <v>1</v>
      </c>
      <c r="Z37" s="8">
        <f>IF(Table2[[#This Row],[Return/share]]&lt;=0,1,0)</f>
        <v>0</v>
      </c>
    </row>
    <row r="38" spans="1:28" x14ac:dyDescent="0.25">
      <c r="A38" s="7">
        <v>42089</v>
      </c>
      <c r="B38" s="7"/>
      <c r="C38" s="8"/>
      <c r="D38" s="8"/>
      <c r="E38" s="8"/>
      <c r="K38" s="9">
        <v>1</v>
      </c>
      <c r="L38" s="9">
        <v>1</v>
      </c>
      <c r="O38" s="9" t="s">
        <v>15</v>
      </c>
      <c r="P38" s="14">
        <v>100</v>
      </c>
      <c r="Q38" s="10">
        <v>34.1</v>
      </c>
      <c r="R38" s="10">
        <v>34.36</v>
      </c>
      <c r="S38" s="11">
        <f>Table2[[#This Row],[Sell price/share]]-Table2[[#This Row],[Buy price/share]]</f>
        <v>0.25999999999999801</v>
      </c>
      <c r="T38" s="12">
        <f>Table2[[#This Row],[Return/share]]*Table2[[#This Row],[Num Shares]]</f>
        <v>25.999999999999801</v>
      </c>
      <c r="U38" s="10">
        <f>1+1.06</f>
        <v>2.06</v>
      </c>
      <c r="V38" s="15"/>
      <c r="W38" s="13"/>
      <c r="X38" s="13"/>
      <c r="Y38" s="8">
        <f>IF(Table2[[#This Row],[Return/share]]&gt;0, 1, 0)</f>
        <v>1</v>
      </c>
      <c r="Z38" s="8">
        <f>IF(Table2[[#This Row],[Return/share]]&lt;=0,1,0)</f>
        <v>0</v>
      </c>
    </row>
    <row r="39" spans="1:28" x14ac:dyDescent="0.25">
      <c r="A39" s="7">
        <v>42089</v>
      </c>
      <c r="B39" s="7"/>
      <c r="C39" s="8"/>
      <c r="D39" s="8"/>
      <c r="E39" s="8"/>
      <c r="J39" s="9">
        <v>1</v>
      </c>
      <c r="L39" s="9">
        <v>1</v>
      </c>
      <c r="N39" s="9">
        <v>1</v>
      </c>
      <c r="O39" s="9" t="s">
        <v>9</v>
      </c>
      <c r="P39" s="14">
        <v>200</v>
      </c>
      <c r="Q39" s="10">
        <f>(61.97+61.51)/2</f>
        <v>61.739999999999995</v>
      </c>
      <c r="R39" s="10">
        <f>(61.87+61.8)/2</f>
        <v>61.834999999999994</v>
      </c>
      <c r="S39" s="11">
        <f>Table2[[#This Row],[Sell price/share]]-Table2[[#This Row],[Buy price/share]]</f>
        <v>9.4999999999998863E-2</v>
      </c>
      <c r="T39" s="12">
        <f>Table2[[#This Row],[Return/share]]*Table2[[#This Row],[Num Shares]]</f>
        <v>18.999999999999773</v>
      </c>
      <c r="U39" s="10">
        <f>(1*2+1.11*2)</f>
        <v>4.2200000000000006</v>
      </c>
      <c r="V39" s="15"/>
      <c r="W39" s="13"/>
      <c r="X39" s="13"/>
      <c r="Y39" s="8">
        <f>IF(Table2[[#This Row],[Return/share]]&gt;0, 1, 0)</f>
        <v>1</v>
      </c>
      <c r="Z39" s="8">
        <f>IF(Table2[[#This Row],[Return/share]]&lt;=0,1,0)</f>
        <v>0</v>
      </c>
    </row>
    <row r="40" spans="1:28" x14ac:dyDescent="0.25">
      <c r="A40" s="7">
        <v>42089</v>
      </c>
      <c r="B40" s="7"/>
      <c r="C40" s="8"/>
      <c r="D40" s="8"/>
      <c r="E40" s="8"/>
      <c r="J40" s="9">
        <v>1</v>
      </c>
      <c r="L40" s="9">
        <v>1</v>
      </c>
      <c r="N40" s="9">
        <v>1</v>
      </c>
      <c r="O40" s="9" t="s">
        <v>9</v>
      </c>
      <c r="P40" s="14">
        <v>50</v>
      </c>
      <c r="Q40" s="10">
        <v>62.15</v>
      </c>
      <c r="R40" s="10">
        <v>61.09</v>
      </c>
      <c r="S40" s="11">
        <f>Table2[[#This Row],[Sell price/share]]-Table2[[#This Row],[Buy price/share]]</f>
        <v>-1.0599999999999952</v>
      </c>
      <c r="T40" s="12">
        <f>Table2[[#This Row],[Return/share]]*Table2[[#This Row],[Num Shares]]</f>
        <v>-52.999999999999758</v>
      </c>
      <c r="U40" s="10">
        <f>1+1.06</f>
        <v>2.06</v>
      </c>
      <c r="V40" s="15"/>
      <c r="W40" s="13"/>
      <c r="X40" s="13"/>
      <c r="Y40" s="8">
        <f>IF(Table2[[#This Row],[Return/share]]&gt;0, 1, 0)</f>
        <v>0</v>
      </c>
      <c r="Z40" s="8">
        <f>IF(Table2[[#This Row],[Return/share]]&lt;=0,1,0)</f>
        <v>1</v>
      </c>
      <c r="AB40" s="9" t="s">
        <v>70</v>
      </c>
    </row>
    <row r="41" spans="1:28" x14ac:dyDescent="0.25">
      <c r="A41" s="7">
        <v>42089</v>
      </c>
      <c r="B41" s="7"/>
      <c r="C41" s="8"/>
      <c r="D41" s="8"/>
      <c r="E41" s="8"/>
      <c r="L41" s="9">
        <v>1</v>
      </c>
      <c r="O41" s="9" t="s">
        <v>9</v>
      </c>
      <c r="P41" s="14">
        <v>50</v>
      </c>
      <c r="Q41" s="10">
        <v>61.45</v>
      </c>
      <c r="R41" s="10">
        <v>61.82</v>
      </c>
      <c r="S41" s="11">
        <f>Table2[[#This Row],[Sell price/share]]-Table2[[#This Row],[Buy price/share]]</f>
        <v>0.36999999999999744</v>
      </c>
      <c r="T41" s="12">
        <f>Table2[[#This Row],[Return/share]]*Table2[[#This Row],[Num Shares]]</f>
        <v>18.499999999999872</v>
      </c>
      <c r="U41" s="10">
        <f>1+1.06</f>
        <v>2.06</v>
      </c>
      <c r="V41" s="15"/>
      <c r="W41" s="13"/>
      <c r="X41" s="13"/>
      <c r="Y41" s="8">
        <f>IF(Table2[[#This Row],[Return/share]]&gt;0, 1, 0)</f>
        <v>1</v>
      </c>
      <c r="Z41" s="8">
        <f>IF(Table2[[#This Row],[Return/share]]&lt;=0,1,0)</f>
        <v>0</v>
      </c>
    </row>
    <row r="42" spans="1:28" x14ac:dyDescent="0.25">
      <c r="A42" s="7">
        <v>42090</v>
      </c>
      <c r="B42" s="7"/>
      <c r="C42" s="8">
        <v>1</v>
      </c>
      <c r="D42" s="8"/>
      <c r="E42" s="8">
        <v>1</v>
      </c>
      <c r="O42" s="9" t="s">
        <v>71</v>
      </c>
      <c r="P42" s="14">
        <v>200</v>
      </c>
      <c r="Q42" s="10">
        <v>19.46</v>
      </c>
      <c r="R42" s="10">
        <v>19.670000000000002</v>
      </c>
      <c r="S42" s="11">
        <f>Table2[[#This Row],[Sell price/share]]-Table2[[#This Row],[Buy price/share]]</f>
        <v>0.21000000000000085</v>
      </c>
      <c r="T42" s="12">
        <f>Table2[[#This Row],[Return/share]]*Table2[[#This Row],[Num Shares]]</f>
        <v>42.000000000000171</v>
      </c>
      <c r="U42" s="10">
        <f>(1+1.04+1.02*2)</f>
        <v>4.08</v>
      </c>
      <c r="V42" s="13"/>
      <c r="W42" s="13"/>
      <c r="X42" s="13"/>
      <c r="Y42" s="8">
        <f>IF(Table2[[#This Row],[Return/share]]&gt;0, 1, 0)</f>
        <v>1</v>
      </c>
      <c r="Z42" s="8">
        <f>IF(Table2[[#This Row],[Return/share]]&lt;=0,1,0)</f>
        <v>0</v>
      </c>
    </row>
    <row r="43" spans="1:28" x14ac:dyDescent="0.25">
      <c r="A43" s="7">
        <v>42090</v>
      </c>
      <c r="B43" s="7"/>
      <c r="C43" s="8">
        <v>1</v>
      </c>
      <c r="D43" s="8"/>
      <c r="E43" s="8"/>
      <c r="O43" s="9" t="s">
        <v>72</v>
      </c>
      <c r="P43" s="14">
        <v>100</v>
      </c>
      <c r="Q43" s="10">
        <v>9.67</v>
      </c>
      <c r="R43" s="10">
        <v>9.64</v>
      </c>
      <c r="S43" s="11">
        <f>Table2[[#This Row],[Sell price/share]]-Table2[[#This Row],[Buy price/share]]</f>
        <v>-2.9999999999999361E-2</v>
      </c>
      <c r="T43" s="12">
        <f>Table2[[#This Row],[Return/share]]*Table2[[#This Row],[Num Shares]]</f>
        <v>-2.9999999999999361</v>
      </c>
      <c r="U43" s="10">
        <f>1+1.02</f>
        <v>2.02</v>
      </c>
      <c r="V43" s="13"/>
      <c r="W43" s="13"/>
      <c r="X43" s="13"/>
      <c r="Y43" s="8">
        <f>IF(Table2[[#This Row],[Return/share]]&gt;0, 1, 0)</f>
        <v>0</v>
      </c>
      <c r="Z43" s="8">
        <f>IF(Table2[[#This Row],[Return/share]]&lt;=0,1,0)</f>
        <v>1</v>
      </c>
      <c r="AB43" s="9" t="s">
        <v>73</v>
      </c>
    </row>
    <row r="44" spans="1:28" x14ac:dyDescent="0.25">
      <c r="A44" s="7">
        <v>42090</v>
      </c>
      <c r="B44" s="7"/>
      <c r="C44" s="8">
        <v>1</v>
      </c>
      <c r="D44" s="8"/>
      <c r="E44" s="8"/>
      <c r="J44" s="9">
        <v>1</v>
      </c>
      <c r="O44" s="9" t="s">
        <v>71</v>
      </c>
      <c r="P44" s="14">
        <v>100</v>
      </c>
      <c r="Q44" s="10">
        <v>19.72</v>
      </c>
      <c r="R44" s="10">
        <v>19.78</v>
      </c>
      <c r="S44" s="11">
        <f>Table2[[#This Row],[Sell price/share]]-Table2[[#This Row],[Buy price/share]]</f>
        <v>6.0000000000002274E-2</v>
      </c>
      <c r="T44" s="12">
        <f>Table2[[#This Row],[Return/share]]*Table2[[#This Row],[Num Shares]]</f>
        <v>6.0000000000002274</v>
      </c>
      <c r="U44" s="10">
        <f>(1+1.04)</f>
        <v>2.04</v>
      </c>
      <c r="V44" s="13"/>
      <c r="W44" s="13"/>
      <c r="X44" s="13"/>
      <c r="Y44" s="8">
        <f>IF(Table2[[#This Row],[Return/share]]&gt;0, 1, 0)</f>
        <v>1</v>
      </c>
      <c r="Z44" s="8">
        <f>IF(Table2[[#This Row],[Return/share]]&lt;=0,1,0)</f>
        <v>0</v>
      </c>
    </row>
    <row r="45" spans="1:28" x14ac:dyDescent="0.25">
      <c r="A45" s="7">
        <v>42090</v>
      </c>
      <c r="B45" s="7"/>
      <c r="C45" s="8">
        <v>1</v>
      </c>
      <c r="D45" s="8"/>
      <c r="E45" s="8"/>
      <c r="J45" s="9">
        <v>1</v>
      </c>
      <c r="O45" s="9" t="s">
        <v>71</v>
      </c>
      <c r="P45" s="14">
        <v>100</v>
      </c>
      <c r="Q45" s="10">
        <v>19.86</v>
      </c>
      <c r="R45" s="10">
        <v>19.88</v>
      </c>
      <c r="S45" s="11">
        <f>Table2[[#This Row],[Sell price/share]]-Table2[[#This Row],[Buy price/share]]</f>
        <v>1.9999999999999574E-2</v>
      </c>
      <c r="T45" s="12">
        <f>Table2[[#This Row],[Return/share]]*Table2[[#This Row],[Num Shares]]</f>
        <v>1.9999999999999574</v>
      </c>
      <c r="U45" s="10">
        <f>1+1.04</f>
        <v>2.04</v>
      </c>
      <c r="V45" s="13"/>
      <c r="W45" s="13"/>
      <c r="X45" s="13"/>
      <c r="Y45" s="8">
        <f>IF(Table2[[#This Row],[Return/share]]&gt;0, 1, 0)</f>
        <v>1</v>
      </c>
      <c r="Z45" s="8">
        <f>IF(Table2[[#This Row],[Return/share]]&lt;=0,1,0)</f>
        <v>0</v>
      </c>
    </row>
    <row r="46" spans="1:28" x14ac:dyDescent="0.25">
      <c r="A46" s="7">
        <v>42095.343773148146</v>
      </c>
      <c r="B46" s="7">
        <v>42095.356956018521</v>
      </c>
      <c r="C46" s="8"/>
      <c r="D46" s="8"/>
      <c r="E46" s="8"/>
      <c r="O46" s="16" t="s">
        <v>76</v>
      </c>
      <c r="P46" s="14">
        <v>800</v>
      </c>
      <c r="Q46" s="10">
        <v>58.375</v>
      </c>
      <c r="R46" s="10">
        <v>58.25</v>
      </c>
      <c r="S46" s="11">
        <f>Table2[[#This Row],[Sell price/share]]-Table2[[#This Row],[Buy price/share]]</f>
        <v>-0.125</v>
      </c>
      <c r="T46" s="12">
        <f>Table2[[#This Row],[Return/share]]*Table2[[#This Row],[Num Shares]]</f>
        <v>-100</v>
      </c>
      <c r="U46" s="10">
        <v>8.8600006103515625</v>
      </c>
      <c r="V46" s="13"/>
      <c r="W46" s="13"/>
      <c r="X46" s="13"/>
      <c r="Y46" s="8">
        <f>IF(Table2[[#This Row],[Return/share]]&gt;0, 1, 0)</f>
        <v>0</v>
      </c>
      <c r="Z46" s="8">
        <f>IF(Table2[[#This Row],[Return/share]]&lt;=0,1,0)</f>
        <v>1</v>
      </c>
    </row>
    <row r="47" spans="1:28" x14ac:dyDescent="0.25">
      <c r="A47" s="7">
        <v>42095.271493055552</v>
      </c>
      <c r="B47" s="7">
        <v>42095.274050925924</v>
      </c>
      <c r="C47" s="8"/>
      <c r="D47" s="8"/>
      <c r="E47" s="8"/>
      <c r="O47" s="16" t="s">
        <v>78</v>
      </c>
      <c r="P47" s="14">
        <v>400</v>
      </c>
      <c r="Q47" s="10">
        <v>3.0550000667572021</v>
      </c>
      <c r="R47" s="10">
        <v>2.559999942779541</v>
      </c>
      <c r="S47" s="11">
        <f>Table2[[#This Row],[Sell price/share]]-Table2[[#This Row],[Buy price/share]]</f>
        <v>-0.49500012397766113</v>
      </c>
      <c r="T47" s="12">
        <f>Table2[[#This Row],[Return/share]]*Table2[[#This Row],[Num Shares]]</f>
        <v>-198.00004959106445</v>
      </c>
      <c r="U47" s="10">
        <v>4.0199999809265137</v>
      </c>
      <c r="V47" s="13"/>
      <c r="W47" s="13"/>
      <c r="X47" s="13"/>
      <c r="Y47" s="8">
        <f>IF(Table2[[#This Row],[Return/share]]&gt;0, 1, 0)</f>
        <v>0</v>
      </c>
      <c r="Z47" s="8">
        <f>IF(Table2[[#This Row],[Return/share]]&lt;=0,1,0)</f>
        <v>1</v>
      </c>
    </row>
    <row r="48" spans="1:28" x14ac:dyDescent="0.25">
      <c r="A48" s="7">
        <v>42095.275659722225</v>
      </c>
      <c r="B48" s="7">
        <v>42095.27857638889</v>
      </c>
      <c r="C48" s="8"/>
      <c r="D48" s="8"/>
      <c r="E48" s="8"/>
      <c r="O48" s="16" t="s">
        <v>78</v>
      </c>
      <c r="P48" s="14">
        <v>200</v>
      </c>
      <c r="Q48" s="10">
        <v>2.8199999332427979</v>
      </c>
      <c r="R48" s="10">
        <v>2.6600000858306885</v>
      </c>
      <c r="S48" s="11">
        <f>Table2[[#This Row],[Sell price/share]]-Table2[[#This Row],[Buy price/share]]</f>
        <v>-0.15999984741210938</v>
      </c>
      <c r="T48" s="12">
        <f>Table2[[#This Row],[Return/share]]*Table2[[#This Row],[Num Shares]]</f>
        <v>-31.999969482421875</v>
      </c>
      <c r="U48" s="10">
        <v>2.0099999904632568</v>
      </c>
      <c r="V48" s="13"/>
      <c r="W48" s="13"/>
      <c r="X48" s="13"/>
      <c r="Y48" s="8">
        <f>IF(Table2[[#This Row],[Return/share]]&gt;0, 1, 0)</f>
        <v>0</v>
      </c>
      <c r="Z48" s="8">
        <f>IF(Table2[[#This Row],[Return/share]]&lt;=0,1,0)</f>
        <v>1</v>
      </c>
    </row>
    <row r="49" spans="1:26" x14ac:dyDescent="0.25">
      <c r="A49" s="7">
        <v>42095.282951388886</v>
      </c>
      <c r="B49" s="7">
        <v>42095.285995370374</v>
      </c>
      <c r="C49" s="8"/>
      <c r="D49" s="8"/>
      <c r="E49" s="8"/>
      <c r="O49" s="16" t="s">
        <v>78</v>
      </c>
      <c r="P49" s="14">
        <v>200</v>
      </c>
      <c r="Q49" s="10">
        <v>2.8499999046325684</v>
      </c>
      <c r="R49" s="10">
        <v>2.6150000095367432</v>
      </c>
      <c r="S49" s="11">
        <f>Table2[[#This Row],[Sell price/share]]-Table2[[#This Row],[Buy price/share]]</f>
        <v>-0.2349998950958252</v>
      </c>
      <c r="T49" s="12">
        <f>Table2[[#This Row],[Return/share]]*Table2[[#This Row],[Num Shares]]</f>
        <v>-46.999979019165039</v>
      </c>
      <c r="U49" s="10">
        <v>2.0099999904632568</v>
      </c>
      <c r="V49" s="13"/>
      <c r="W49" s="13"/>
      <c r="X49" s="13"/>
      <c r="Y49" s="8">
        <f>IF(Table2[[#This Row],[Return/share]]&gt;0, 1, 0)</f>
        <v>0</v>
      </c>
      <c r="Z49" s="8">
        <f>IF(Table2[[#This Row],[Return/share]]&lt;=0,1,0)</f>
        <v>1</v>
      </c>
    </row>
    <row r="50" spans="1:26" x14ac:dyDescent="0.25">
      <c r="A50" s="7">
        <v>42095.290543981479</v>
      </c>
      <c r="B50" s="7">
        <v>42095.298854166664</v>
      </c>
      <c r="C50" s="8"/>
      <c r="D50" s="8"/>
      <c r="E50" s="8"/>
      <c r="O50" s="16" t="s">
        <v>78</v>
      </c>
      <c r="P50" s="14">
        <v>400</v>
      </c>
      <c r="Q50" s="10">
        <v>2.7874999046325684</v>
      </c>
      <c r="R50" s="10">
        <v>2.5099999904632568</v>
      </c>
      <c r="S50" s="11">
        <f>Table2[[#This Row],[Sell price/share]]-Table2[[#This Row],[Buy price/share]]</f>
        <v>-0.27749991416931152</v>
      </c>
      <c r="T50" s="12">
        <f>Table2[[#This Row],[Return/share]]*Table2[[#This Row],[Num Shares]]</f>
        <v>-110.99996566772461</v>
      </c>
      <c r="U50" s="10">
        <v>4.0199999809265137</v>
      </c>
      <c r="V50" s="13"/>
      <c r="W50" s="13"/>
      <c r="X50" s="13"/>
      <c r="Y50" s="8">
        <f>IF(Table2[[#This Row],[Return/share]]&gt;0, 1, 0)</f>
        <v>0</v>
      </c>
      <c r="Z50" s="8">
        <f>IF(Table2[[#This Row],[Return/share]]&lt;=0,1,0)</f>
        <v>1</v>
      </c>
    </row>
    <row r="51" spans="1:26" x14ac:dyDescent="0.25">
      <c r="A51" s="7">
        <v>42095.327465277776</v>
      </c>
      <c r="B51" s="7">
        <v>42095.338159722225</v>
      </c>
      <c r="C51" s="8"/>
      <c r="D51" s="8"/>
      <c r="E51" s="8"/>
      <c r="O51" s="16" t="s">
        <v>78</v>
      </c>
      <c r="P51" s="14">
        <v>200</v>
      </c>
      <c r="Q51" s="10">
        <v>2.619999885559082</v>
      </c>
      <c r="R51" s="10">
        <v>2.4900000095367432</v>
      </c>
      <c r="S51" s="11">
        <f>Table2[[#This Row],[Sell price/share]]-Table2[[#This Row],[Buy price/share]]</f>
        <v>-0.12999987602233887</v>
      </c>
      <c r="T51" s="12">
        <f>Table2[[#This Row],[Return/share]]*Table2[[#This Row],[Num Shares]]</f>
        <v>-25.999975204467773</v>
      </c>
      <c r="U51" s="10">
        <v>2.0099999904632568</v>
      </c>
      <c r="V51" s="13"/>
      <c r="W51" s="13"/>
      <c r="X51" s="13"/>
      <c r="Y51" s="8">
        <f>IF(Table2[[#This Row],[Return/share]]&gt;0, 1, 0)</f>
        <v>0</v>
      </c>
      <c r="Z51" s="8">
        <f>IF(Table2[[#This Row],[Return/share]]&lt;=0,1,0)</f>
        <v>1</v>
      </c>
    </row>
    <row r="52" spans="1:26" x14ac:dyDescent="0.25">
      <c r="A52" s="7">
        <v>42094.272789351853</v>
      </c>
      <c r="B52" s="7">
        <v>42094.281631944446</v>
      </c>
      <c r="C52" s="8"/>
      <c r="D52" s="8"/>
      <c r="E52" s="8"/>
      <c r="O52" s="16" t="s">
        <v>81</v>
      </c>
      <c r="P52" s="14">
        <v>400</v>
      </c>
      <c r="Q52" s="10">
        <v>9.25</v>
      </c>
      <c r="R52" s="10">
        <v>9.3787498474121094</v>
      </c>
      <c r="S52" s="11">
        <f>Table2[[#This Row],[Sell price/share]]-Table2[[#This Row],[Buy price/share]]</f>
        <v>0.12874984741210938</v>
      </c>
      <c r="T52" s="12">
        <f>Table2[[#This Row],[Return/share]]*Table2[[#This Row],[Num Shares]]</f>
        <v>51.49993896484375</v>
      </c>
      <c r="U52" s="10">
        <v>5.3199996948242187</v>
      </c>
      <c r="V52" s="13"/>
      <c r="W52" s="13"/>
      <c r="X52" s="13"/>
      <c r="Y52" s="8">
        <f>IF(Table2[[#This Row],[Return/share]]&gt;0, 1, 0)</f>
        <v>1</v>
      </c>
      <c r="Z52" s="8">
        <f>IF(Table2[[#This Row],[Return/share]]&lt;=0,1,0)</f>
        <v>0</v>
      </c>
    </row>
    <row r="53" spans="1:26" x14ac:dyDescent="0.25">
      <c r="A53" s="7">
        <v>42094.283564814818</v>
      </c>
      <c r="B53" s="7">
        <v>42094.284560185188</v>
      </c>
      <c r="C53" s="8"/>
      <c r="D53" s="8"/>
      <c r="E53" s="8"/>
      <c r="O53" s="16" t="s">
        <v>81</v>
      </c>
      <c r="P53" s="14">
        <v>200</v>
      </c>
      <c r="Q53" s="10">
        <v>9.5200004577636719</v>
      </c>
      <c r="R53" s="10">
        <v>9.3999996185302734</v>
      </c>
      <c r="S53" s="11">
        <f>Table2[[#This Row],[Sell price/share]]-Table2[[#This Row],[Buy price/share]]</f>
        <v>-0.12000083923339844</v>
      </c>
      <c r="T53" s="12">
        <f>Table2[[#This Row],[Return/share]]*Table2[[#This Row],[Num Shares]]</f>
        <v>-24.000167846679688</v>
      </c>
      <c r="U53" s="10">
        <v>2.0299999713897705</v>
      </c>
      <c r="V53" s="13"/>
      <c r="W53" s="13"/>
      <c r="X53" s="13"/>
      <c r="Y53" s="8">
        <f>IF(Table2[[#This Row],[Return/share]]&gt;0, 1, 0)</f>
        <v>0</v>
      </c>
      <c r="Z53" s="8">
        <f>IF(Table2[[#This Row],[Return/share]]&lt;=0,1,0)</f>
        <v>1</v>
      </c>
    </row>
    <row r="54" spans="1:26" x14ac:dyDescent="0.25">
      <c r="A54" s="7">
        <v>42094.28974537037</v>
      </c>
      <c r="B54" s="7">
        <v>42094.291574074072</v>
      </c>
      <c r="C54" s="8"/>
      <c r="D54" s="8"/>
      <c r="E54" s="8"/>
      <c r="O54" s="16" t="s">
        <v>81</v>
      </c>
      <c r="P54" s="14">
        <v>200</v>
      </c>
      <c r="Q54" s="10">
        <v>9.5200004577636719</v>
      </c>
      <c r="R54" s="10">
        <v>9.3299999237060547</v>
      </c>
      <c r="S54" s="11">
        <f>Table2[[#This Row],[Sell price/share]]-Table2[[#This Row],[Buy price/share]]</f>
        <v>-0.19000053405761719</v>
      </c>
      <c r="T54" s="12">
        <f>Table2[[#This Row],[Return/share]]*Table2[[#This Row],[Num Shares]]</f>
        <v>-38.000106811523438</v>
      </c>
      <c r="U54" s="10">
        <v>2.0299999713897705</v>
      </c>
      <c r="V54" s="13"/>
      <c r="W54" s="13"/>
      <c r="X54" s="13"/>
      <c r="Y54" s="8">
        <f>IF(Table2[[#This Row],[Return/share]]&gt;0, 1, 0)</f>
        <v>0</v>
      </c>
      <c r="Z54" s="8">
        <f>IF(Table2[[#This Row],[Return/share]]&lt;=0,1,0)</f>
        <v>1</v>
      </c>
    </row>
    <row r="55" spans="1:26" x14ac:dyDescent="0.25">
      <c r="A55" s="7">
        <v>42094.271666666667</v>
      </c>
      <c r="B55" s="7">
        <v>42094.27238425926</v>
      </c>
      <c r="C55" s="8"/>
      <c r="D55" s="8"/>
      <c r="E55" s="8"/>
      <c r="O55" s="16" t="s">
        <v>82</v>
      </c>
      <c r="P55" s="14">
        <v>200</v>
      </c>
      <c r="Q55" s="10">
        <v>3.3849999904632568</v>
      </c>
      <c r="R55" s="10">
        <v>3.059999942779541</v>
      </c>
      <c r="S55" s="11">
        <f>Table2[[#This Row],[Sell price/share]]-Table2[[#This Row],[Buy price/share]]</f>
        <v>-0.32500004768371582</v>
      </c>
      <c r="T55" s="12">
        <f>Table2[[#This Row],[Return/share]]*Table2[[#This Row],[Num Shares]]</f>
        <v>-65.000009536743164</v>
      </c>
      <c r="U55" s="10">
        <v>2.0099999904632568</v>
      </c>
      <c r="V55" s="13"/>
      <c r="W55" s="13"/>
      <c r="X55" s="13"/>
      <c r="Y55" s="8">
        <f>IF(Table2[[#This Row],[Return/share]]&gt;0, 1, 0)</f>
        <v>0</v>
      </c>
      <c r="Z55" s="8">
        <f>IF(Table2[[#This Row],[Return/share]]&lt;=0,1,0)</f>
        <v>1</v>
      </c>
    </row>
    <row r="56" spans="1:26" x14ac:dyDescent="0.25">
      <c r="A56" s="7">
        <v>42093.301712962966</v>
      </c>
      <c r="B56" s="7">
        <v>42093.310798611114</v>
      </c>
      <c r="C56" s="8"/>
      <c r="D56" s="8"/>
      <c r="E56" s="8"/>
      <c r="O56" s="16" t="s">
        <v>83</v>
      </c>
      <c r="P56" s="14">
        <v>500</v>
      </c>
      <c r="Q56" s="10">
        <v>4.4520001411437988</v>
      </c>
      <c r="R56" s="10">
        <v>4.4000000953674316</v>
      </c>
      <c r="S56" s="11">
        <f>Table2[[#This Row],[Sell price/share]]-Table2[[#This Row],[Buy price/share]]</f>
        <v>-5.2000045776367188E-2</v>
      </c>
      <c r="T56" s="12">
        <f>Table2[[#This Row],[Return/share]]*Table2[[#This Row],[Num Shares]]</f>
        <v>-26.000022888183594</v>
      </c>
      <c r="U56" s="10">
        <v>5.5399999618530273</v>
      </c>
      <c r="V56" s="13"/>
      <c r="W56" s="13"/>
      <c r="X56" s="13"/>
      <c r="Y56" s="8">
        <f>IF(Table2[[#This Row],[Return/share]]&gt;0, 1, 0)</f>
        <v>0</v>
      </c>
      <c r="Z56" s="8">
        <f>IF(Table2[[#This Row],[Return/share]]&lt;=0,1,0)</f>
        <v>1</v>
      </c>
    </row>
    <row r="57" spans="1:26" x14ac:dyDescent="0.25">
      <c r="A57" s="7">
        <v>42093.317511574074</v>
      </c>
      <c r="B57" s="7">
        <v>42093.320231481484</v>
      </c>
      <c r="C57" s="8"/>
      <c r="D57" s="8"/>
      <c r="E57" s="8"/>
      <c r="O57" s="16" t="s">
        <v>83</v>
      </c>
      <c r="P57" s="14">
        <v>200</v>
      </c>
      <c r="Q57" s="10">
        <v>4.570000171661377</v>
      </c>
      <c r="R57" s="10">
        <v>4.4800000190734863</v>
      </c>
      <c r="S57" s="11">
        <f>Table2[[#This Row],[Sell price/share]]-Table2[[#This Row],[Buy price/share]]</f>
        <v>-9.0000152587890625E-2</v>
      </c>
      <c r="T57" s="12">
        <f>Table2[[#This Row],[Return/share]]*Table2[[#This Row],[Num Shares]]</f>
        <v>-18.000030517578125</v>
      </c>
      <c r="U57" s="10">
        <v>2.0199999809265137</v>
      </c>
      <c r="V57" s="13"/>
      <c r="W57" s="13"/>
      <c r="X57" s="13"/>
      <c r="Y57" s="8">
        <f>IF(Table2[[#This Row],[Return/share]]&gt;0, 1, 0)</f>
        <v>0</v>
      </c>
      <c r="Z57" s="8">
        <f>IF(Table2[[#This Row],[Return/share]]&lt;=0,1,0)</f>
        <v>1</v>
      </c>
    </row>
    <row r="58" spans="1:26" x14ac:dyDescent="0.25">
      <c r="A58" s="7">
        <v>42093.27747685185</v>
      </c>
      <c r="B58" s="7">
        <v>42093.280162037037</v>
      </c>
      <c r="C58" s="8"/>
      <c r="D58" s="8"/>
      <c r="E58" s="8"/>
      <c r="O58" s="16" t="s">
        <v>84</v>
      </c>
      <c r="P58" s="14">
        <v>400</v>
      </c>
      <c r="Q58" s="10">
        <v>25.104999542236328</v>
      </c>
      <c r="R58" s="10">
        <v>24.959999084472656</v>
      </c>
      <c r="S58" s="11">
        <f>Table2[[#This Row],[Sell price/share]]-Table2[[#This Row],[Buy price/share]]</f>
        <v>-0.14500045776367188</v>
      </c>
      <c r="T58" s="12">
        <f>Table2[[#This Row],[Return/share]]*Table2[[#This Row],[Num Shares]]</f>
        <v>-58.00018310546875</v>
      </c>
      <c r="U58" s="10">
        <v>4.1800003051757812</v>
      </c>
      <c r="V58" s="13"/>
      <c r="W58" s="13"/>
      <c r="X58" s="13"/>
      <c r="Y58" s="8">
        <f>IF(Table2[[#This Row],[Return/share]]&gt;0, 1, 0)</f>
        <v>0</v>
      </c>
      <c r="Z58" s="8">
        <f>IF(Table2[[#This Row],[Return/share]]&lt;=0,1,0)</f>
        <v>1</v>
      </c>
    </row>
    <row r="59" spans="1:26" x14ac:dyDescent="0.25">
      <c r="A59" s="7">
        <v>42093.271192129629</v>
      </c>
      <c r="B59" s="7">
        <v>42093.271284722221</v>
      </c>
      <c r="C59" s="8"/>
      <c r="D59" s="8"/>
      <c r="E59" s="8"/>
      <c r="O59" s="16" t="s">
        <v>86</v>
      </c>
      <c r="P59" s="14">
        <v>200</v>
      </c>
      <c r="Q59" s="10">
        <v>13.470000267028809</v>
      </c>
      <c r="R59" s="10">
        <v>13.340000152587891</v>
      </c>
      <c r="S59" s="11">
        <f>Table2[[#This Row],[Sell price/share]]-Table2[[#This Row],[Buy price/share]]</f>
        <v>-0.13000011444091797</v>
      </c>
      <c r="T59" s="12">
        <f>Table2[[#This Row],[Return/share]]*Table2[[#This Row],[Num Shares]]</f>
        <v>-26.000022888183594</v>
      </c>
      <c r="U59" s="10">
        <v>2.0499999523162842</v>
      </c>
      <c r="V59" s="13"/>
      <c r="W59" s="13"/>
      <c r="X59" s="13"/>
      <c r="Y59" s="8">
        <f>IF(Table2[[#This Row],[Return/share]]&gt;0, 1, 0)</f>
        <v>0</v>
      </c>
      <c r="Z59" s="8">
        <f>IF(Table2[[#This Row],[Return/share]]&lt;=0,1,0)</f>
        <v>1</v>
      </c>
    </row>
    <row r="60" spans="1:26" x14ac:dyDescent="0.25">
      <c r="A60" s="7">
        <v>42093.274525462963</v>
      </c>
      <c r="B60" s="7">
        <v>42093.27484953704</v>
      </c>
      <c r="C60" s="8"/>
      <c r="D60" s="8"/>
      <c r="E60" s="8"/>
      <c r="O60" s="16" t="s">
        <v>86</v>
      </c>
      <c r="P60" s="14">
        <v>200</v>
      </c>
      <c r="Q60" s="10">
        <v>12.939999580383301</v>
      </c>
      <c r="R60" s="10">
        <v>12.819999694824219</v>
      </c>
      <c r="S60" s="11">
        <f>Table2[[#This Row],[Sell price/share]]-Table2[[#This Row],[Buy price/share]]</f>
        <v>-0.11999988555908203</v>
      </c>
      <c r="T60" s="12">
        <f>Table2[[#This Row],[Return/share]]*Table2[[#This Row],[Num Shares]]</f>
        <v>-23.999977111816406</v>
      </c>
      <c r="U60" s="10">
        <v>2.0499999523162842</v>
      </c>
      <c r="V60" s="13"/>
      <c r="W60" s="13"/>
      <c r="X60" s="13"/>
      <c r="Y60" s="8">
        <f>IF(Table2[[#This Row],[Return/share]]&gt;0, 1, 0)</f>
        <v>0</v>
      </c>
      <c r="Z60" s="8">
        <f>IF(Table2[[#This Row],[Return/share]]&lt;=0,1,0)</f>
        <v>1</v>
      </c>
    </row>
  </sheetData>
  <conditionalFormatting sqref="S2:T17 V2:X17">
    <cfRule type="cellIs" dxfId="70" priority="57" operator="lessThan">
      <formula>0</formula>
    </cfRule>
    <cfRule type="cellIs" dxfId="69" priority="58" operator="greaterThan">
      <formula>0</formula>
    </cfRule>
  </conditionalFormatting>
  <conditionalFormatting sqref="S18:T18 V18:X18">
    <cfRule type="cellIs" dxfId="68" priority="55" operator="lessThan">
      <formula>0</formula>
    </cfRule>
    <cfRule type="cellIs" dxfId="67" priority="56" operator="greaterThan">
      <formula>0</formula>
    </cfRule>
  </conditionalFormatting>
  <conditionalFormatting sqref="S19">
    <cfRule type="cellIs" dxfId="66" priority="53" operator="lessThan">
      <formula>0</formula>
    </cfRule>
    <cfRule type="cellIs" dxfId="65" priority="54" operator="greaterThan">
      <formula>0</formula>
    </cfRule>
  </conditionalFormatting>
  <conditionalFormatting sqref="T19">
    <cfRule type="cellIs" dxfId="64" priority="51" operator="lessThan">
      <formula>0</formula>
    </cfRule>
    <cfRule type="cellIs" dxfId="63" priority="52" operator="greaterThan">
      <formula>0</formula>
    </cfRule>
  </conditionalFormatting>
  <conditionalFormatting sqref="S20:S21">
    <cfRule type="cellIs" dxfId="62" priority="49" operator="lessThan">
      <formula>0</formula>
    </cfRule>
    <cfRule type="cellIs" dxfId="61" priority="50" operator="greaterThan">
      <formula>0</formula>
    </cfRule>
  </conditionalFormatting>
  <conditionalFormatting sqref="T20:T21">
    <cfRule type="cellIs" dxfId="60" priority="47" operator="lessThan">
      <formula>0</formula>
    </cfRule>
    <cfRule type="cellIs" dxfId="59" priority="48" operator="greaterThan">
      <formula>0</formula>
    </cfRule>
  </conditionalFormatting>
  <conditionalFormatting sqref="S22:S23">
    <cfRule type="cellIs" dxfId="58" priority="45" operator="lessThan">
      <formula>0</formula>
    </cfRule>
    <cfRule type="cellIs" dxfId="57" priority="46" operator="greaterThan">
      <formula>0</formula>
    </cfRule>
  </conditionalFormatting>
  <conditionalFormatting sqref="T22:T23">
    <cfRule type="cellIs" dxfId="56" priority="43" operator="lessThan">
      <formula>0</formula>
    </cfRule>
    <cfRule type="cellIs" dxfId="55" priority="44" operator="greaterThan">
      <formula>0</formula>
    </cfRule>
  </conditionalFormatting>
  <conditionalFormatting sqref="S24">
    <cfRule type="cellIs" dxfId="54" priority="41" operator="lessThan">
      <formula>0</formula>
    </cfRule>
    <cfRule type="cellIs" dxfId="53" priority="42" operator="greaterThan">
      <formula>0</formula>
    </cfRule>
  </conditionalFormatting>
  <conditionalFormatting sqref="T24">
    <cfRule type="cellIs" dxfId="52" priority="39" operator="lessThan">
      <formula>0</formula>
    </cfRule>
    <cfRule type="cellIs" dxfId="51" priority="40" operator="greaterThan">
      <formula>0</formula>
    </cfRule>
  </conditionalFormatting>
  <conditionalFormatting sqref="S25:S26">
    <cfRule type="cellIs" dxfId="50" priority="37" operator="lessThan">
      <formula>0</formula>
    </cfRule>
    <cfRule type="cellIs" dxfId="49" priority="38" operator="greaterThan">
      <formula>0</formula>
    </cfRule>
  </conditionalFormatting>
  <conditionalFormatting sqref="T25:T26">
    <cfRule type="cellIs" dxfId="48" priority="35" operator="lessThan">
      <formula>0</formula>
    </cfRule>
    <cfRule type="cellIs" dxfId="47" priority="36" operator="greaterThan">
      <formula>0</formula>
    </cfRule>
  </conditionalFormatting>
  <conditionalFormatting sqref="S27:S29">
    <cfRule type="cellIs" dxfId="46" priority="33" operator="lessThan">
      <formula>0</formula>
    </cfRule>
    <cfRule type="cellIs" dxfId="45" priority="34" operator="greaterThan">
      <formula>0</formula>
    </cfRule>
  </conditionalFormatting>
  <conditionalFormatting sqref="T27:T29">
    <cfRule type="cellIs" dxfId="44" priority="31" operator="lessThan">
      <formula>0</formula>
    </cfRule>
    <cfRule type="cellIs" dxfId="43" priority="32" operator="greaterThan">
      <formula>0</formula>
    </cfRule>
  </conditionalFormatting>
  <conditionalFormatting sqref="S30">
    <cfRule type="cellIs" dxfId="42" priority="29" operator="lessThan">
      <formula>0</formula>
    </cfRule>
    <cfRule type="cellIs" dxfId="41" priority="30" operator="greaterThan">
      <formula>0</formula>
    </cfRule>
  </conditionalFormatting>
  <conditionalFormatting sqref="T30">
    <cfRule type="cellIs" dxfId="40" priority="27" operator="lessThan">
      <formula>0</formula>
    </cfRule>
    <cfRule type="cellIs" dxfId="39" priority="28" operator="greaterThan">
      <formula>0</formula>
    </cfRule>
  </conditionalFormatting>
  <conditionalFormatting sqref="S31:S37">
    <cfRule type="cellIs" dxfId="38" priority="25" operator="lessThan">
      <formula>0</formula>
    </cfRule>
    <cfRule type="cellIs" dxfId="37" priority="26" operator="greaterThan">
      <formula>0</formula>
    </cfRule>
  </conditionalFormatting>
  <conditionalFormatting sqref="T31:T37">
    <cfRule type="cellIs" dxfId="36" priority="23" operator="lessThan">
      <formula>0</formula>
    </cfRule>
    <cfRule type="cellIs" dxfId="35" priority="24" operator="greaterThan">
      <formula>0</formula>
    </cfRule>
  </conditionalFormatting>
  <conditionalFormatting sqref="V38">
    <cfRule type="cellIs" dxfId="34" priority="21" operator="lessThan">
      <formula>0</formula>
    </cfRule>
    <cfRule type="cellIs" dxfId="33" priority="22" operator="greaterThan">
      <formula>0</formula>
    </cfRule>
  </conditionalFormatting>
  <conditionalFormatting sqref="S38">
    <cfRule type="cellIs" dxfId="32" priority="19" operator="lessThan">
      <formula>0</formula>
    </cfRule>
    <cfRule type="cellIs" dxfId="31" priority="20" operator="greaterThan">
      <formula>0</formula>
    </cfRule>
  </conditionalFormatting>
  <conditionalFormatting sqref="T38">
    <cfRule type="cellIs" dxfId="30" priority="17" operator="lessThan">
      <formula>0</formula>
    </cfRule>
    <cfRule type="cellIs" dxfId="29" priority="18" operator="greaterThan">
      <formula>0</formula>
    </cfRule>
  </conditionalFormatting>
  <conditionalFormatting sqref="V39:V40">
    <cfRule type="cellIs" dxfId="28" priority="15" operator="lessThan">
      <formula>0</formula>
    </cfRule>
    <cfRule type="cellIs" dxfId="27" priority="16" operator="greaterThan">
      <formula>0</formula>
    </cfRule>
  </conditionalFormatting>
  <conditionalFormatting sqref="S39:S40">
    <cfRule type="cellIs" dxfId="26" priority="13" operator="lessThan">
      <formula>0</formula>
    </cfRule>
    <cfRule type="cellIs" dxfId="25" priority="14" operator="greaterThan">
      <formula>0</formula>
    </cfRule>
  </conditionalFormatting>
  <conditionalFormatting sqref="T39:T40">
    <cfRule type="cellIs" dxfId="24" priority="11" operator="lessThan">
      <formula>0</formula>
    </cfRule>
    <cfRule type="cellIs" dxfId="23" priority="12" operator="greaterThan">
      <formula>0</formula>
    </cfRule>
  </conditionalFormatting>
  <conditionalFormatting sqref="V41">
    <cfRule type="cellIs" dxfId="22" priority="9" operator="lessThan">
      <formula>0</formula>
    </cfRule>
    <cfRule type="cellIs" dxfId="21" priority="10" operator="greaterThan">
      <formula>0</formula>
    </cfRule>
  </conditionalFormatting>
  <conditionalFormatting sqref="S41">
    <cfRule type="cellIs" dxfId="20" priority="7" operator="lessThan">
      <formula>0</formula>
    </cfRule>
    <cfRule type="cellIs" dxfId="19" priority="8" operator="greaterThan">
      <formula>0</formula>
    </cfRule>
  </conditionalFormatting>
  <conditionalFormatting sqref="T41">
    <cfRule type="cellIs" dxfId="18" priority="5" operator="lessThan">
      <formula>0</formula>
    </cfRule>
    <cfRule type="cellIs" dxfId="17" priority="6" operator="greaterThan">
      <formula>0</formula>
    </cfRule>
  </conditionalFormatting>
  <conditionalFormatting sqref="S42:S60">
    <cfRule type="cellIs" dxfId="14" priority="3" operator="lessThan">
      <formula>0</formula>
    </cfRule>
    <cfRule type="cellIs" dxfId="13" priority="4" operator="greaterThan">
      <formula>0</formula>
    </cfRule>
  </conditionalFormatting>
  <conditionalFormatting sqref="T42:T60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2" sqref="H2"/>
    </sheetView>
  </sheetViews>
  <sheetFormatPr defaultRowHeight="15" x14ac:dyDescent="0.25"/>
  <cols>
    <col min="2" max="2" width="13.85546875" bestFit="1" customWidth="1"/>
    <col min="7" max="7" width="15" customWidth="1"/>
    <col min="8" max="8" width="12.5703125" bestFit="1" customWidth="1"/>
  </cols>
  <sheetData>
    <row r="1" spans="1:8" x14ac:dyDescent="0.25">
      <c r="B1" s="4" t="s">
        <v>23</v>
      </c>
      <c r="C1" s="1" t="s">
        <v>24</v>
      </c>
      <c r="D1" s="1" t="s">
        <v>25</v>
      </c>
      <c r="E1" s="1" t="s">
        <v>7</v>
      </c>
      <c r="F1" s="2" t="s">
        <v>27</v>
      </c>
      <c r="G1" s="1" t="s">
        <v>26</v>
      </c>
      <c r="H1" s="2" t="s">
        <v>8</v>
      </c>
    </row>
    <row r="2" spans="1:8" x14ac:dyDescent="0.25">
      <c r="A2" s="3" t="s">
        <v>19</v>
      </c>
      <c r="B2" s="17">
        <v>42095.356956018521</v>
      </c>
      <c r="C2" s="3" t="s">
        <v>76</v>
      </c>
      <c r="D2" s="3" t="s">
        <v>10</v>
      </c>
      <c r="E2" s="3">
        <v>800</v>
      </c>
      <c r="F2" s="3">
        <v>58.25</v>
      </c>
      <c r="G2" s="3" t="s">
        <v>77</v>
      </c>
      <c r="H2" s="18">
        <v>4.8600000000000003</v>
      </c>
    </row>
    <row r="3" spans="1:8" x14ac:dyDescent="0.25">
      <c r="A3" s="3"/>
      <c r="B3" s="17">
        <v>42095.355034722219</v>
      </c>
      <c r="C3" s="3" t="s">
        <v>76</v>
      </c>
      <c r="D3" s="3" t="s">
        <v>12</v>
      </c>
      <c r="E3" s="3">
        <v>200</v>
      </c>
      <c r="F3" s="3">
        <v>58.37</v>
      </c>
      <c r="G3" s="3" t="s">
        <v>13</v>
      </c>
      <c r="H3" s="3">
        <v>1</v>
      </c>
    </row>
    <row r="4" spans="1:8" x14ac:dyDescent="0.25">
      <c r="A4" s="3"/>
      <c r="B4" s="17">
        <v>42095.350729166668</v>
      </c>
      <c r="C4" s="3" t="s">
        <v>76</v>
      </c>
      <c r="D4" s="3" t="s">
        <v>12</v>
      </c>
      <c r="E4" s="3">
        <v>200</v>
      </c>
      <c r="F4" s="3">
        <v>58.35</v>
      </c>
      <c r="G4" s="3" t="s">
        <v>17</v>
      </c>
      <c r="H4" s="3">
        <v>1</v>
      </c>
    </row>
    <row r="5" spans="1:8" x14ac:dyDescent="0.25">
      <c r="A5" s="3"/>
      <c r="B5" s="17">
        <v>42095.344930555555</v>
      </c>
      <c r="C5" s="3" t="s">
        <v>76</v>
      </c>
      <c r="D5" s="3" t="s">
        <v>12</v>
      </c>
      <c r="E5" s="3">
        <v>200</v>
      </c>
      <c r="F5" s="3">
        <v>58.42</v>
      </c>
      <c r="G5" s="3" t="s">
        <v>13</v>
      </c>
      <c r="H5" s="3">
        <v>1</v>
      </c>
    </row>
    <row r="6" spans="1:8" x14ac:dyDescent="0.25">
      <c r="A6" s="3"/>
      <c r="B6" s="17">
        <v>42095.343773148146</v>
      </c>
      <c r="C6" s="3" t="s">
        <v>76</v>
      </c>
      <c r="D6" s="3" t="s">
        <v>12</v>
      </c>
      <c r="E6" s="3">
        <v>200</v>
      </c>
      <c r="F6" s="3">
        <v>58.36</v>
      </c>
      <c r="G6" s="3" t="s">
        <v>13</v>
      </c>
      <c r="H6" s="3">
        <v>1</v>
      </c>
    </row>
    <row r="7" spans="1:8" x14ac:dyDescent="0.25">
      <c r="A7" s="3"/>
      <c r="B7" s="17">
        <v>42095.338159722225</v>
      </c>
      <c r="C7" s="3" t="s">
        <v>78</v>
      </c>
      <c r="D7" s="3" t="s">
        <v>10</v>
      </c>
      <c r="E7" s="3">
        <v>200</v>
      </c>
      <c r="F7" s="3">
        <v>2.4900000000000002</v>
      </c>
      <c r="G7" s="3" t="s">
        <v>14</v>
      </c>
      <c r="H7" s="3">
        <v>1.01</v>
      </c>
    </row>
    <row r="8" spans="1:8" x14ac:dyDescent="0.25">
      <c r="A8" s="3"/>
      <c r="B8" s="17">
        <v>42095.327465277776</v>
      </c>
      <c r="C8" s="3" t="s">
        <v>78</v>
      </c>
      <c r="D8" s="3" t="s">
        <v>12</v>
      </c>
      <c r="E8" s="3">
        <v>200</v>
      </c>
      <c r="F8" s="3">
        <v>2.62</v>
      </c>
      <c r="G8" s="3" t="s">
        <v>79</v>
      </c>
      <c r="H8" s="3">
        <v>1</v>
      </c>
    </row>
    <row r="9" spans="1:8" x14ac:dyDescent="0.25">
      <c r="A9" s="3"/>
      <c r="B9" s="17">
        <v>42095.298854166664</v>
      </c>
      <c r="C9" s="3" t="s">
        <v>78</v>
      </c>
      <c r="D9" s="3" t="s">
        <v>10</v>
      </c>
      <c r="E9" s="3">
        <v>400</v>
      </c>
      <c r="F9" s="3">
        <v>2.5099999999999998</v>
      </c>
      <c r="G9" s="3" t="s">
        <v>13</v>
      </c>
      <c r="H9" s="3">
        <v>2.02</v>
      </c>
    </row>
    <row r="10" spans="1:8" x14ac:dyDescent="0.25">
      <c r="A10" s="3"/>
      <c r="B10" s="17">
        <v>42095.294722222221</v>
      </c>
      <c r="C10" s="3" t="s">
        <v>78</v>
      </c>
      <c r="D10" s="3" t="s">
        <v>12</v>
      </c>
      <c r="E10" s="3">
        <v>200</v>
      </c>
      <c r="F10" s="3">
        <v>2.74</v>
      </c>
      <c r="G10" s="3" t="s">
        <v>13</v>
      </c>
      <c r="H10" s="3">
        <v>1</v>
      </c>
    </row>
    <row r="11" spans="1:8" x14ac:dyDescent="0.25">
      <c r="A11" s="3" t="s">
        <v>19</v>
      </c>
      <c r="B11" s="17">
        <v>42095.290543981479</v>
      </c>
      <c r="C11" s="3" t="s">
        <v>78</v>
      </c>
      <c r="D11" s="3" t="s">
        <v>12</v>
      </c>
      <c r="E11" s="3">
        <v>200</v>
      </c>
      <c r="F11" s="3">
        <v>2.835</v>
      </c>
      <c r="G11" s="3" t="s">
        <v>14</v>
      </c>
      <c r="H11" s="3">
        <v>1</v>
      </c>
    </row>
    <row r="12" spans="1:8" x14ac:dyDescent="0.25">
      <c r="A12" s="3" t="s">
        <v>19</v>
      </c>
      <c r="B12" s="17">
        <v>42095.285995370374</v>
      </c>
      <c r="C12" s="3" t="s">
        <v>78</v>
      </c>
      <c r="D12" s="3" t="s">
        <v>10</v>
      </c>
      <c r="E12" s="3">
        <v>200</v>
      </c>
      <c r="F12" s="3">
        <v>2.6150000000000002</v>
      </c>
      <c r="G12" s="3" t="s">
        <v>14</v>
      </c>
      <c r="H12" s="3">
        <v>1.01</v>
      </c>
    </row>
    <row r="13" spans="1:8" x14ac:dyDescent="0.25">
      <c r="A13" s="3"/>
      <c r="B13" s="17">
        <v>42095.282951388886</v>
      </c>
      <c r="C13" s="3" t="s">
        <v>78</v>
      </c>
      <c r="D13" s="3" t="s">
        <v>12</v>
      </c>
      <c r="E13" s="3">
        <v>200</v>
      </c>
      <c r="F13" s="3">
        <v>2.85</v>
      </c>
      <c r="G13" s="3" t="s">
        <v>14</v>
      </c>
      <c r="H13" s="3">
        <v>1</v>
      </c>
    </row>
    <row r="14" spans="1:8" x14ac:dyDescent="0.25">
      <c r="A14" s="3" t="s">
        <v>19</v>
      </c>
      <c r="B14" s="17">
        <v>42095.27857638889</v>
      </c>
      <c r="C14" s="3" t="s">
        <v>78</v>
      </c>
      <c r="D14" s="3" t="s">
        <v>10</v>
      </c>
      <c r="E14" s="3">
        <v>200</v>
      </c>
      <c r="F14" s="3">
        <v>2.66</v>
      </c>
      <c r="G14" s="3" t="s">
        <v>21</v>
      </c>
      <c r="H14" s="3">
        <v>1.01</v>
      </c>
    </row>
    <row r="15" spans="1:8" x14ac:dyDescent="0.25">
      <c r="A15" s="3"/>
      <c r="B15" s="17">
        <v>42095.275659722225</v>
      </c>
      <c r="C15" s="3" t="s">
        <v>78</v>
      </c>
      <c r="D15" s="3" t="s">
        <v>12</v>
      </c>
      <c r="E15" s="3">
        <v>200</v>
      </c>
      <c r="F15" s="3">
        <v>2.82</v>
      </c>
      <c r="G15" s="3" t="s">
        <v>13</v>
      </c>
      <c r="H15" s="3">
        <v>1</v>
      </c>
    </row>
    <row r="16" spans="1:8" x14ac:dyDescent="0.25">
      <c r="A16" s="3"/>
      <c r="B16" s="17">
        <v>42095.274050925924</v>
      </c>
      <c r="C16" s="3" t="s">
        <v>78</v>
      </c>
      <c r="D16" s="3" t="s">
        <v>10</v>
      </c>
      <c r="E16" s="3">
        <v>400</v>
      </c>
      <c r="F16" s="3">
        <v>2.56</v>
      </c>
      <c r="G16" s="3" t="s">
        <v>14</v>
      </c>
      <c r="H16" s="3">
        <v>2.02</v>
      </c>
    </row>
    <row r="17" spans="1:8" x14ac:dyDescent="0.25">
      <c r="A17" s="3" t="s">
        <v>19</v>
      </c>
      <c r="B17" s="17">
        <v>42095.271493055552</v>
      </c>
      <c r="C17" s="3" t="s">
        <v>78</v>
      </c>
      <c r="D17" s="3" t="s">
        <v>12</v>
      </c>
      <c r="E17" s="3">
        <v>400</v>
      </c>
      <c r="F17" s="3">
        <v>3.0550000000000002</v>
      </c>
      <c r="G17" s="3" t="s">
        <v>80</v>
      </c>
      <c r="H17" s="3">
        <v>2</v>
      </c>
    </row>
    <row r="18" spans="1:8" x14ac:dyDescent="0.25">
      <c r="A18" s="3"/>
      <c r="B18" s="17">
        <v>42094.291574074072</v>
      </c>
      <c r="C18" s="3" t="s">
        <v>81</v>
      </c>
      <c r="D18" s="3" t="s">
        <v>10</v>
      </c>
      <c r="E18" s="3">
        <v>200</v>
      </c>
      <c r="F18" s="3">
        <v>9.33</v>
      </c>
      <c r="G18" s="3" t="s">
        <v>11</v>
      </c>
      <c r="H18" s="3">
        <v>1.03</v>
      </c>
    </row>
    <row r="19" spans="1:8" x14ac:dyDescent="0.25">
      <c r="A19" s="3"/>
      <c r="B19" s="17">
        <v>42094.28974537037</v>
      </c>
      <c r="C19" s="3" t="s">
        <v>81</v>
      </c>
      <c r="D19" s="3" t="s">
        <v>12</v>
      </c>
      <c r="E19" s="3">
        <v>200</v>
      </c>
      <c r="F19" s="3">
        <v>9.52</v>
      </c>
      <c r="G19" s="3" t="s">
        <v>11</v>
      </c>
      <c r="H19" s="3">
        <v>1</v>
      </c>
    </row>
    <row r="20" spans="1:8" x14ac:dyDescent="0.25">
      <c r="A20" s="3"/>
      <c r="B20" s="17">
        <v>42094.284560185188</v>
      </c>
      <c r="C20" s="3" t="s">
        <v>81</v>
      </c>
      <c r="D20" s="3" t="s">
        <v>10</v>
      </c>
      <c r="E20" s="3">
        <v>200</v>
      </c>
      <c r="F20" s="3">
        <v>9.4</v>
      </c>
      <c r="G20" s="3" t="s">
        <v>11</v>
      </c>
      <c r="H20" s="3">
        <v>1.03</v>
      </c>
    </row>
    <row r="21" spans="1:8" x14ac:dyDescent="0.25">
      <c r="A21" s="3"/>
      <c r="B21" s="17">
        <v>42094.283564814818</v>
      </c>
      <c r="C21" s="3" t="s">
        <v>81</v>
      </c>
      <c r="D21" s="3" t="s">
        <v>12</v>
      </c>
      <c r="E21" s="3">
        <v>200</v>
      </c>
      <c r="F21" s="3">
        <v>9.52</v>
      </c>
      <c r="G21" s="3" t="s">
        <v>11</v>
      </c>
      <c r="H21" s="3">
        <v>1</v>
      </c>
    </row>
    <row r="22" spans="1:8" x14ac:dyDescent="0.25">
      <c r="A22" s="3"/>
      <c r="B22" s="17">
        <v>42094.281631944446</v>
      </c>
      <c r="C22" s="3" t="s">
        <v>81</v>
      </c>
      <c r="D22" s="3" t="s">
        <v>10</v>
      </c>
      <c r="E22" s="3">
        <v>250</v>
      </c>
      <c r="F22" s="3">
        <v>9.36</v>
      </c>
      <c r="G22" s="3" t="s">
        <v>11</v>
      </c>
      <c r="H22" s="3">
        <v>1.29</v>
      </c>
    </row>
    <row r="23" spans="1:8" x14ac:dyDescent="0.25">
      <c r="A23" s="3"/>
      <c r="B23" s="17">
        <v>42094.279421296298</v>
      </c>
      <c r="C23" s="3" t="s">
        <v>81</v>
      </c>
      <c r="D23" s="3" t="s">
        <v>10</v>
      </c>
      <c r="E23" s="3">
        <v>50</v>
      </c>
      <c r="F23" s="3">
        <v>9.4700000000000006</v>
      </c>
      <c r="G23" s="3" t="s">
        <v>14</v>
      </c>
      <c r="H23" s="3">
        <v>1.01</v>
      </c>
    </row>
    <row r="24" spans="1:8" x14ac:dyDescent="0.25">
      <c r="A24" s="3"/>
      <c r="B24" s="17">
        <v>42094.278414351851</v>
      </c>
      <c r="C24" s="3" t="s">
        <v>81</v>
      </c>
      <c r="D24" s="3" t="s">
        <v>10</v>
      </c>
      <c r="E24" s="3">
        <v>100</v>
      </c>
      <c r="F24" s="3">
        <v>9.3800000000000008</v>
      </c>
      <c r="G24" s="3" t="s">
        <v>18</v>
      </c>
      <c r="H24" s="3">
        <v>1.02</v>
      </c>
    </row>
    <row r="25" spans="1:8" x14ac:dyDescent="0.25">
      <c r="A25" s="3"/>
      <c r="B25" s="17">
        <v>42094.277939814812</v>
      </c>
      <c r="C25" s="3" t="s">
        <v>81</v>
      </c>
      <c r="D25" s="3" t="s">
        <v>12</v>
      </c>
      <c r="E25" s="3">
        <v>200</v>
      </c>
      <c r="F25" s="3">
        <v>9.3000000000000007</v>
      </c>
      <c r="G25" s="3" t="s">
        <v>11</v>
      </c>
      <c r="H25" s="3">
        <v>1</v>
      </c>
    </row>
    <row r="26" spans="1:8" x14ac:dyDescent="0.25">
      <c r="A26" s="3"/>
      <c r="B26" s="17">
        <v>42094.272789351853</v>
      </c>
      <c r="C26" s="3" t="s">
        <v>81</v>
      </c>
      <c r="D26" s="3" t="s">
        <v>12</v>
      </c>
      <c r="E26" s="3">
        <v>200</v>
      </c>
      <c r="F26" s="3">
        <v>9.1999999999999993</v>
      </c>
      <c r="G26" s="3" t="s">
        <v>11</v>
      </c>
      <c r="H26" s="3">
        <v>1</v>
      </c>
    </row>
    <row r="27" spans="1:8" x14ac:dyDescent="0.25">
      <c r="A27" s="3"/>
      <c r="B27" s="17">
        <v>42094.27238425926</v>
      </c>
      <c r="C27" s="3" t="s">
        <v>82</v>
      </c>
      <c r="D27" s="3" t="s">
        <v>10</v>
      </c>
      <c r="E27" s="3">
        <v>200</v>
      </c>
      <c r="F27" s="3">
        <v>3.06</v>
      </c>
      <c r="G27" s="3" t="s">
        <v>11</v>
      </c>
      <c r="H27" s="3">
        <v>1.01</v>
      </c>
    </row>
    <row r="28" spans="1:8" x14ac:dyDescent="0.25">
      <c r="A28" s="3" t="s">
        <v>19</v>
      </c>
      <c r="B28" s="17">
        <v>42094.271666666667</v>
      </c>
      <c r="C28" s="3" t="s">
        <v>82</v>
      </c>
      <c r="D28" s="3" t="s">
        <v>12</v>
      </c>
      <c r="E28" s="3">
        <v>200</v>
      </c>
      <c r="F28" s="3">
        <v>3.3849999999999998</v>
      </c>
      <c r="G28" s="3" t="s">
        <v>11</v>
      </c>
      <c r="H28" s="3">
        <v>1</v>
      </c>
    </row>
    <row r="29" spans="1:8" x14ac:dyDescent="0.25">
      <c r="A29" s="3"/>
      <c r="B29" s="17">
        <v>42093.320231481484</v>
      </c>
      <c r="C29" s="3" t="s">
        <v>83</v>
      </c>
      <c r="D29" s="3" t="s">
        <v>10</v>
      </c>
      <c r="E29" s="3">
        <v>200</v>
      </c>
      <c r="F29" s="3">
        <v>4.4800000000000004</v>
      </c>
      <c r="G29" s="3" t="s">
        <v>11</v>
      </c>
      <c r="H29" s="3">
        <v>1.02</v>
      </c>
    </row>
    <row r="30" spans="1:8" x14ac:dyDescent="0.25">
      <c r="A30" s="3"/>
      <c r="B30" s="17">
        <v>42093.317511574074</v>
      </c>
      <c r="C30" s="3" t="s">
        <v>83</v>
      </c>
      <c r="D30" s="3" t="s">
        <v>12</v>
      </c>
      <c r="E30" s="3">
        <v>200</v>
      </c>
      <c r="F30" s="3">
        <v>4.57</v>
      </c>
      <c r="G30" s="3" t="s">
        <v>11</v>
      </c>
      <c r="H30" s="3">
        <v>1</v>
      </c>
    </row>
    <row r="31" spans="1:8" x14ac:dyDescent="0.25">
      <c r="A31" s="3" t="s">
        <v>19</v>
      </c>
      <c r="B31" s="17">
        <v>42093.310798611114</v>
      </c>
      <c r="C31" s="3" t="s">
        <v>83</v>
      </c>
      <c r="D31" s="3" t="s">
        <v>10</v>
      </c>
      <c r="E31" s="3">
        <v>400</v>
      </c>
      <c r="F31" s="3">
        <v>4.3849999999999998</v>
      </c>
      <c r="G31" s="3" t="s">
        <v>80</v>
      </c>
      <c r="H31" s="3">
        <v>2.0299999999999998</v>
      </c>
    </row>
    <row r="32" spans="1:8" x14ac:dyDescent="0.25">
      <c r="A32" s="3"/>
      <c r="B32" s="17">
        <v>42093.305289351854</v>
      </c>
      <c r="C32" s="3" t="s">
        <v>83</v>
      </c>
      <c r="D32" s="3" t="s">
        <v>12</v>
      </c>
      <c r="E32" s="3">
        <v>300</v>
      </c>
      <c r="F32" s="3">
        <v>4.5199999999999996</v>
      </c>
      <c r="G32" s="3" t="s">
        <v>14</v>
      </c>
      <c r="H32" s="3">
        <v>1.5</v>
      </c>
    </row>
    <row r="33" spans="1:8" x14ac:dyDescent="0.25">
      <c r="A33" s="3"/>
      <c r="B33" s="17">
        <v>42093.304548611108</v>
      </c>
      <c r="C33" s="3" t="s">
        <v>83</v>
      </c>
      <c r="D33" s="3" t="s">
        <v>10</v>
      </c>
      <c r="E33" s="3">
        <v>100</v>
      </c>
      <c r="F33" s="3">
        <v>4.46</v>
      </c>
      <c r="G33" s="3" t="s">
        <v>13</v>
      </c>
      <c r="H33" s="3">
        <v>1.01</v>
      </c>
    </row>
    <row r="34" spans="1:8" x14ac:dyDescent="0.25">
      <c r="A34" s="3"/>
      <c r="B34" s="17">
        <v>42093.301712962966</v>
      </c>
      <c r="C34" s="3" t="s">
        <v>83</v>
      </c>
      <c r="D34" s="3" t="s">
        <v>12</v>
      </c>
      <c r="E34" s="3">
        <v>200</v>
      </c>
      <c r="F34" s="3">
        <v>4.3499999999999996</v>
      </c>
      <c r="G34" s="3" t="s">
        <v>11</v>
      </c>
      <c r="H34" s="3">
        <v>1</v>
      </c>
    </row>
    <row r="35" spans="1:8" x14ac:dyDescent="0.25">
      <c r="A35" s="3" t="s">
        <v>19</v>
      </c>
      <c r="B35" s="17">
        <v>42093.280162037037</v>
      </c>
      <c r="C35" s="3" t="s">
        <v>84</v>
      </c>
      <c r="D35" s="3" t="s">
        <v>10</v>
      </c>
      <c r="E35" s="3">
        <v>400</v>
      </c>
      <c r="F35" s="3">
        <v>24.96</v>
      </c>
      <c r="G35" s="3" t="s">
        <v>85</v>
      </c>
      <c r="H35" s="3">
        <v>2.1800000000000002</v>
      </c>
    </row>
    <row r="36" spans="1:8" x14ac:dyDescent="0.25">
      <c r="A36" s="3" t="s">
        <v>19</v>
      </c>
      <c r="B36" s="17">
        <v>42093.278703703705</v>
      </c>
      <c r="C36" s="3" t="s">
        <v>84</v>
      </c>
      <c r="D36" s="3" t="s">
        <v>12</v>
      </c>
      <c r="E36" s="3">
        <v>200</v>
      </c>
      <c r="F36" s="3">
        <v>25.05</v>
      </c>
      <c r="G36" s="3" t="s">
        <v>22</v>
      </c>
      <c r="H36" s="3">
        <v>1</v>
      </c>
    </row>
    <row r="37" spans="1:8" x14ac:dyDescent="0.25">
      <c r="A37" s="3"/>
      <c r="B37" s="17">
        <v>42093.27747685185</v>
      </c>
      <c r="C37" s="3" t="s">
        <v>84</v>
      </c>
      <c r="D37" s="3" t="s">
        <v>12</v>
      </c>
      <c r="E37" s="3">
        <v>200</v>
      </c>
      <c r="F37" s="3">
        <v>25.16</v>
      </c>
      <c r="G37" s="3" t="s">
        <v>11</v>
      </c>
      <c r="H37" s="3">
        <v>1</v>
      </c>
    </row>
    <row r="38" spans="1:8" x14ac:dyDescent="0.25">
      <c r="A38" s="3"/>
      <c r="B38" s="17">
        <v>42093.27484953704</v>
      </c>
      <c r="C38" s="3" t="s">
        <v>86</v>
      </c>
      <c r="D38" s="3" t="s">
        <v>10</v>
      </c>
      <c r="E38" s="3">
        <v>200</v>
      </c>
      <c r="F38" s="3">
        <v>12.82</v>
      </c>
      <c r="G38" s="3" t="s">
        <v>11</v>
      </c>
      <c r="H38" s="3">
        <v>1.05</v>
      </c>
    </row>
    <row r="39" spans="1:8" x14ac:dyDescent="0.25">
      <c r="A39" s="3"/>
      <c r="B39" s="17">
        <v>42093.274525462963</v>
      </c>
      <c r="C39" s="3" t="s">
        <v>86</v>
      </c>
      <c r="D39" s="3" t="s">
        <v>12</v>
      </c>
      <c r="E39" s="3">
        <v>200</v>
      </c>
      <c r="F39" s="3">
        <v>12.94</v>
      </c>
      <c r="G39" s="3" t="s">
        <v>11</v>
      </c>
      <c r="H39" s="3">
        <v>1</v>
      </c>
    </row>
    <row r="40" spans="1:8" x14ac:dyDescent="0.25">
      <c r="A40" s="3"/>
      <c r="B40" s="17">
        <v>42093.271284722221</v>
      </c>
      <c r="C40" s="3" t="s">
        <v>86</v>
      </c>
      <c r="D40" s="3" t="s">
        <v>10</v>
      </c>
      <c r="E40" s="3">
        <v>200</v>
      </c>
      <c r="F40" s="3">
        <v>13.34</v>
      </c>
      <c r="G40" s="3" t="s">
        <v>87</v>
      </c>
      <c r="H40" s="3">
        <v>1.05</v>
      </c>
    </row>
    <row r="41" spans="1:8" x14ac:dyDescent="0.25">
      <c r="A41" s="3" t="s">
        <v>19</v>
      </c>
      <c r="B41" s="17">
        <v>42093.271192129629</v>
      </c>
      <c r="C41" s="3" t="s">
        <v>86</v>
      </c>
      <c r="D41" s="3" t="s">
        <v>12</v>
      </c>
      <c r="E41" s="3">
        <v>200</v>
      </c>
      <c r="F41" s="3">
        <v>13.47</v>
      </c>
      <c r="G41" s="3" t="s">
        <v>21</v>
      </c>
      <c r="H41" s="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b 9 9 e 2 2 - 6 e 8 5 - 4 f b b - 9 1 d d - 8 b 1 b 9 1 e 7 d 7 e 5 "   x m l n s = " h t t p : / / s c h e m a s . m i c r o s o f t . c o m / D a t a M a s h u p " > A A A A A E c E A A B Q S w M E F A A C A A g A 5 7 m D R o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O e 5 g 0 Y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5 7 m D R i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D n u Y N G j w Q H b R E B A A D 5 A A A A E g A A A A A A A A A A A A A A A A A A A A A A Q 2 9 u Z m l n L 1 B h Y 2 t h Z 2 U u e G 1 s U E s B A i 0 A F A A C A A g A 5 7 m D R g / K 6 a s I A Q A A 6 Q A A A B M A A A A A A A A A A A A A A A A A X Q E A A F t D b 2 5 0 Z W 5 0 X 1 R 5 c G V z X S 5 4 b W x Q S w E C L Q A U A A I A C A D n u Y N G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q 5 g L 4 Z 4 j Z F l 0 P k P F N C L Q U A A A A A A g A A A A A A A 2 Y A A M A A A A A Q A A A A 3 f w a z S D L m b 0 Z q B 7 x U 0 J B 9 w A A A A A E g A A A o A A A A B A A A A A U E n V v t e z 0 a u F s N N 3 8 0 z 4 6 U A A A A O c Z F 5 o G q I R G T D I s q X 2 L g Z a w R 1 y b / G D Y h Z i L l g I r K R C 4 H k d n N U r Y 3 a K p 1 L d + l p b 8 B d / E N V Q X e G p l p q 8 r j U D F 3 N N X M p J 9 d N x W U P S 0 Q B A Q P 4 j W F A A A A J v H M d S J k q 4 O w v z Y 6 q m z / / P t z + C G < / D a t a M a s h u p > 
</file>

<file path=customXml/itemProps1.xml><?xml version="1.0" encoding="utf-8"?>
<ds:datastoreItem xmlns:ds="http://schemas.openxmlformats.org/officeDocument/2006/customXml" ds:itemID="{51865797-26A7-4375-AE17-AE69397825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ClosedTradesSheet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Baiyya</dc:creator>
  <cp:lastModifiedBy>Vijay Baiyya</cp:lastModifiedBy>
  <dcterms:created xsi:type="dcterms:W3CDTF">2015-03-28T04:34:03Z</dcterms:created>
  <dcterms:modified xsi:type="dcterms:W3CDTF">2015-04-04T06:21:18Z</dcterms:modified>
</cp:coreProperties>
</file>