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baiyya\Documents\ImportTrades\ImportTrades\"/>
    </mc:Choice>
  </mc:AlternateContent>
  <bookViews>
    <workbookView xWindow="0" yWindow="0" windowWidth="17970" windowHeight="7410" activeTab="2"/>
  </bookViews>
  <sheets>
    <sheet name="ClosedTradesSheet" sheetId="2" r:id="rId1"/>
    <sheet name="Sheet4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2" l="1"/>
  <c r="R63" i="2"/>
  <c r="R70" i="2"/>
  <c r="P54" i="2"/>
  <c r="Q54" i="2" s="1"/>
  <c r="P55" i="2"/>
  <c r="Q55" i="2" s="1"/>
  <c r="P56" i="2"/>
  <c r="Q56" i="2" s="1"/>
  <c r="P57" i="2"/>
  <c r="Q57" i="2" s="1"/>
  <c r="P59" i="2"/>
  <c r="Q59" i="2" s="1"/>
  <c r="P60" i="2"/>
  <c r="Q60" i="2" s="1"/>
  <c r="P61" i="2"/>
  <c r="Q61" i="2" s="1"/>
  <c r="P62" i="2"/>
  <c r="Q62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53" i="2"/>
  <c r="Q53" i="2" s="1"/>
  <c r="Q70" i="2" l="1"/>
  <c r="U59" i="2"/>
  <c r="Q58" i="2"/>
  <c r="Q63" i="2"/>
  <c r="U60" i="2"/>
  <c r="U64" i="2"/>
  <c r="U56" i="2"/>
  <c r="U61" i="2"/>
  <c r="V53" i="2"/>
  <c r="U69" i="2"/>
  <c r="V69" i="2"/>
  <c r="V68" i="2"/>
  <c r="U68" i="2"/>
  <c r="U67" i="2"/>
  <c r="V67" i="2"/>
  <c r="V66" i="2"/>
  <c r="U66" i="2"/>
  <c r="U65" i="2"/>
  <c r="V65" i="2"/>
  <c r="V64" i="2"/>
  <c r="U62" i="2"/>
  <c r="V62" i="2"/>
  <c r="V61" i="2"/>
  <c r="V60" i="2"/>
  <c r="V59" i="2"/>
  <c r="U57" i="2"/>
  <c r="V57" i="2"/>
  <c r="V56" i="2"/>
  <c r="U55" i="2"/>
  <c r="V55" i="2"/>
  <c r="U54" i="2"/>
  <c r="V54" i="2"/>
  <c r="U53" i="2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8" i="2"/>
  <c r="Q18" i="2" s="1"/>
  <c r="P21" i="2"/>
  <c r="Q21" i="2" s="1"/>
  <c r="P22" i="2"/>
  <c r="Q22" i="2" s="1"/>
  <c r="P23" i="2"/>
  <c r="Q23" i="2" s="1"/>
  <c r="P28" i="2"/>
  <c r="Q28" i="2" s="1"/>
  <c r="P32" i="2"/>
  <c r="Q32" i="2" s="1"/>
  <c r="P34" i="2"/>
  <c r="Q34" i="2" s="1"/>
  <c r="P36" i="2"/>
  <c r="Q36" i="2" s="1"/>
  <c r="P39" i="2"/>
  <c r="Q39" i="2" s="1"/>
  <c r="P41" i="2"/>
  <c r="Q41" i="2" s="1"/>
  <c r="P43" i="2"/>
  <c r="Q43" i="2" s="1"/>
  <c r="P45" i="2"/>
  <c r="Q45" i="2" s="1"/>
  <c r="P46" i="2"/>
  <c r="Q46" i="2" s="1"/>
  <c r="P48" i="2"/>
  <c r="Q48" i="2" s="1"/>
  <c r="P49" i="2"/>
  <c r="Q49" i="2" s="1"/>
  <c r="P50" i="2"/>
  <c r="Q50" i="2" s="1"/>
  <c r="P51" i="2"/>
  <c r="Q51" i="2" s="1"/>
  <c r="Q52" i="2" l="1"/>
  <c r="Q17" i="2"/>
  <c r="R51" i="2"/>
  <c r="U51" i="2"/>
  <c r="R50" i="2"/>
  <c r="V50" i="2"/>
  <c r="R49" i="2"/>
  <c r="V49" i="2"/>
  <c r="R48" i="2"/>
  <c r="R52" i="2" s="1"/>
  <c r="R46" i="2"/>
  <c r="U46" i="2"/>
  <c r="R45" i="2"/>
  <c r="V45" i="2"/>
  <c r="R44" i="2"/>
  <c r="O44" i="2"/>
  <c r="N44" i="2"/>
  <c r="R43" i="2"/>
  <c r="V43" i="2"/>
  <c r="R42" i="2"/>
  <c r="O42" i="2"/>
  <c r="P42" i="2" s="1"/>
  <c r="Q42" i="2" s="1"/>
  <c r="R41" i="2"/>
  <c r="U41" i="2"/>
  <c r="R40" i="2"/>
  <c r="O40" i="2"/>
  <c r="R39" i="2"/>
  <c r="R38" i="2"/>
  <c r="O38" i="2"/>
  <c r="R37" i="2"/>
  <c r="O37" i="2"/>
  <c r="N37" i="2"/>
  <c r="R36" i="2"/>
  <c r="V36" i="2"/>
  <c r="R34" i="2"/>
  <c r="V34" i="2"/>
  <c r="R33" i="2"/>
  <c r="O33" i="2"/>
  <c r="N33" i="2"/>
  <c r="R32" i="2"/>
  <c r="R31" i="2"/>
  <c r="O31" i="2"/>
  <c r="P31" i="2" s="1"/>
  <c r="Q31" i="2" s="1"/>
  <c r="R29" i="2"/>
  <c r="O29" i="2"/>
  <c r="P29" i="2" s="1"/>
  <c r="Q29" i="2" s="1"/>
  <c r="R28" i="2"/>
  <c r="R27" i="2"/>
  <c r="O27" i="2"/>
  <c r="R26" i="2"/>
  <c r="O26" i="2"/>
  <c r="P26" i="2" s="1"/>
  <c r="Q26" i="2" s="1"/>
  <c r="R25" i="2"/>
  <c r="R30" i="2" s="1"/>
  <c r="O25" i="2"/>
  <c r="R23" i="2"/>
  <c r="R22" i="2"/>
  <c r="R21" i="2"/>
  <c r="U21" i="2"/>
  <c r="R20" i="2"/>
  <c r="O20" i="2"/>
  <c r="P20" i="2" s="1"/>
  <c r="Q20" i="2" s="1"/>
  <c r="R19" i="2"/>
  <c r="O19" i="2"/>
  <c r="P19" i="2" s="1"/>
  <c r="Q19" i="2" s="1"/>
  <c r="R18" i="2"/>
  <c r="V18" i="2"/>
  <c r="R16" i="2"/>
  <c r="R15" i="2"/>
  <c r="V15" i="2"/>
  <c r="R14" i="2"/>
  <c r="U14" i="2"/>
  <c r="R13" i="2"/>
  <c r="V13" i="2"/>
  <c r="R12" i="2"/>
  <c r="R11" i="2"/>
  <c r="V11" i="2"/>
  <c r="R10" i="2"/>
  <c r="U10" i="2"/>
  <c r="R9" i="2"/>
  <c r="V9" i="2"/>
  <c r="R8" i="2"/>
  <c r="R7" i="2"/>
  <c r="V7" i="2"/>
  <c r="R6" i="2"/>
  <c r="U6" i="2"/>
  <c r="R5" i="2"/>
  <c r="V5" i="2"/>
  <c r="R4" i="2"/>
  <c r="R2" i="2"/>
  <c r="R3" i="2" s="1"/>
  <c r="N2" i="2"/>
  <c r="P2" i="2" s="1"/>
  <c r="M2" i="2"/>
  <c r="R35" i="2" l="1"/>
  <c r="R47" i="2"/>
  <c r="R24" i="2"/>
  <c r="R17" i="2"/>
  <c r="P44" i="2"/>
  <c r="Q44" i="2" s="1"/>
  <c r="Q2" i="2"/>
  <c r="Q3" i="2" s="1"/>
  <c r="Q24" i="2"/>
  <c r="P33" i="2"/>
  <c r="Q33" i="2" s="1"/>
  <c r="Q35" i="2" s="1"/>
  <c r="P25" i="2"/>
  <c r="Q25" i="2" s="1"/>
  <c r="P27" i="2"/>
  <c r="Q27" i="2" s="1"/>
  <c r="P37" i="2"/>
  <c r="Q37" i="2" s="1"/>
  <c r="P40" i="2"/>
  <c r="Q40" i="2" s="1"/>
  <c r="P38" i="2"/>
  <c r="Q38" i="2" s="1"/>
  <c r="U5" i="2"/>
  <c r="U39" i="2"/>
  <c r="U13" i="2"/>
  <c r="U11" i="2"/>
  <c r="U7" i="2"/>
  <c r="U18" i="2"/>
  <c r="U28" i="2"/>
  <c r="U9" i="2"/>
  <c r="U15" i="2"/>
  <c r="U48" i="2"/>
  <c r="U22" i="2"/>
  <c r="V31" i="2"/>
  <c r="U31" i="2"/>
  <c r="V42" i="2"/>
  <c r="U42" i="2"/>
  <c r="V20" i="2"/>
  <c r="U20" i="2"/>
  <c r="V26" i="2"/>
  <c r="U26" i="2"/>
  <c r="V29" i="2"/>
  <c r="U29" i="2"/>
  <c r="U37" i="2"/>
  <c r="V44" i="2"/>
  <c r="U44" i="2"/>
  <c r="U2" i="2"/>
  <c r="V2" i="2"/>
  <c r="U19" i="2"/>
  <c r="V19" i="2"/>
  <c r="V6" i="2"/>
  <c r="V51" i="2"/>
  <c r="U4" i="2"/>
  <c r="U8" i="2"/>
  <c r="U12" i="2"/>
  <c r="U16" i="2"/>
  <c r="V22" i="2"/>
  <c r="U23" i="2"/>
  <c r="V28" i="2"/>
  <c r="U32" i="2"/>
  <c r="U34" i="2"/>
  <c r="V39" i="2"/>
  <c r="V48" i="2"/>
  <c r="U49" i="2"/>
  <c r="V21" i="2"/>
  <c r="V41" i="2"/>
  <c r="V4" i="2"/>
  <c r="V8" i="2"/>
  <c r="V12" i="2"/>
  <c r="V16" i="2"/>
  <c r="V23" i="2"/>
  <c r="V32" i="2"/>
  <c r="U36" i="2"/>
  <c r="U43" i="2"/>
  <c r="U45" i="2"/>
  <c r="U50" i="2"/>
  <c r="V10" i="2"/>
  <c r="V14" i="2"/>
  <c r="V46" i="2"/>
  <c r="Q47" i="2" l="1"/>
  <c r="Q30" i="2"/>
  <c r="U40" i="2"/>
  <c r="V33" i="2"/>
  <c r="V38" i="2"/>
  <c r="V25" i="2"/>
  <c r="V37" i="2"/>
  <c r="U38" i="2"/>
  <c r="V40" i="2"/>
  <c r="U27" i="2"/>
  <c r="V27" i="2"/>
  <c r="U25" i="2"/>
  <c r="U33" i="2"/>
</calcChain>
</file>

<file path=xl/sharedStrings.xml><?xml version="1.0" encoding="utf-8"?>
<sst xmlns="http://schemas.openxmlformats.org/spreadsheetml/2006/main" count="163" uniqueCount="89">
  <si>
    <t>EEP</t>
  </si>
  <si>
    <t>GERN</t>
  </si>
  <si>
    <t>NVAX</t>
  </si>
  <si>
    <t>QCOM</t>
  </si>
  <si>
    <t>QIHU</t>
  </si>
  <si>
    <t>RTI</t>
  </si>
  <si>
    <t>URBN</t>
  </si>
  <si>
    <t>Number of Shares</t>
  </si>
  <si>
    <t>Commissions</t>
  </si>
  <si>
    <t>VRNT</t>
  </si>
  <si>
    <t>DPLO</t>
  </si>
  <si>
    <t>RHT</t>
  </si>
  <si>
    <t>+</t>
  </si>
  <si>
    <t>FIVE</t>
  </si>
  <si>
    <t>DateTime</t>
  </si>
  <si>
    <t>Symbol</t>
  </si>
  <si>
    <t>Action</t>
  </si>
  <si>
    <t>Excg</t>
  </si>
  <si>
    <t>Price</t>
  </si>
  <si>
    <t>Morning Gapper</t>
  </si>
  <si>
    <t>PreMarket High b/o</t>
  </si>
  <si>
    <t>Openrange b/o</t>
  </si>
  <si>
    <t>1st Flag</t>
  </si>
  <si>
    <t>HOD Breakout</t>
  </si>
  <si>
    <t>Flat Top Breakout</t>
  </si>
  <si>
    <t>Momentum</t>
  </si>
  <si>
    <t>Ascending Triangle</t>
  </si>
  <si>
    <t>Freakout</t>
  </si>
  <si>
    <t>Num Shares</t>
  </si>
  <si>
    <t>Buy price/share</t>
  </si>
  <si>
    <t>Sell price/share</t>
  </si>
  <si>
    <t>Return/share</t>
  </si>
  <si>
    <t>Net</t>
  </si>
  <si>
    <t>Monthly</t>
  </si>
  <si>
    <t>Win</t>
  </si>
  <si>
    <t>Loss</t>
  </si>
  <si>
    <t>Was stratergy correct?</t>
  </si>
  <si>
    <t>Comments</t>
  </si>
  <si>
    <t>Yes</t>
  </si>
  <si>
    <t>No</t>
  </si>
  <si>
    <t>Went in early without actual breakout confirmation</t>
  </si>
  <si>
    <t>CAPN</t>
  </si>
  <si>
    <t>IMGN</t>
  </si>
  <si>
    <t>COH</t>
  </si>
  <si>
    <t>RADA</t>
  </si>
  <si>
    <t>YELP</t>
  </si>
  <si>
    <t>DGLY</t>
  </si>
  <si>
    <t>ORMP</t>
  </si>
  <si>
    <t>Did not pay attention to volume and level 2.</t>
  </si>
  <si>
    <t>GPRO</t>
  </si>
  <si>
    <t>LL</t>
  </si>
  <si>
    <t>Bad exit. Should have been little more patient</t>
  </si>
  <si>
    <t>PURE LUCK</t>
  </si>
  <si>
    <t>VBLT</t>
  </si>
  <si>
    <t>Had to exit fast to go to work</t>
  </si>
  <si>
    <t>PURE LUCK. Bought at peek and then freaked out</t>
  </si>
  <si>
    <t>Gave away all the profits</t>
  </si>
  <si>
    <t>GLOB</t>
  </si>
  <si>
    <t>BBRY</t>
  </si>
  <si>
    <t>Accidental short. Sent order in the wrong window</t>
  </si>
  <si>
    <t>Buy DateTime</t>
  </si>
  <si>
    <t>Sell DateTime</t>
  </si>
  <si>
    <t>MYL</t>
  </si>
  <si>
    <t>VLTC</t>
  </si>
  <si>
    <t>DANG</t>
  </si>
  <si>
    <t>GBSN</t>
  </si>
  <si>
    <t>GENE</t>
  </si>
  <si>
    <t>HZNP</t>
  </si>
  <si>
    <t>ZIOP</t>
  </si>
  <si>
    <t>Monday</t>
  </si>
  <si>
    <t>Tuesday</t>
  </si>
  <si>
    <t>Buy</t>
  </si>
  <si>
    <t>Time</t>
  </si>
  <si>
    <t>Sell</t>
  </si>
  <si>
    <t>Gapper</t>
  </si>
  <si>
    <t>Pre-Market</t>
  </si>
  <si>
    <t>High b/o</t>
  </si>
  <si>
    <t>Open</t>
  </si>
  <si>
    <t>Range b/o</t>
  </si>
  <si>
    <t>Flag</t>
  </si>
  <si>
    <t>Flat</t>
  </si>
  <si>
    <t>Top b/o</t>
  </si>
  <si>
    <t>HOD</t>
  </si>
  <si>
    <t>b/o</t>
  </si>
  <si>
    <t>Panic</t>
  </si>
  <si>
    <t>Label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</si>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</sst>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h:mm:ss"/>
    <numFmt numFmtId="165" formatCode="0.0000"/>
    <numFmt numFmtId="166" formatCode="#,##0.0000"/>
    <numFmt numFmtId="167" formatCode="0.0000000000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Lucida Sans Unicode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164" fontId="1" fillId="2" borderId="1" xfId="0" applyNumberFormat="1" applyFont="1" applyFill="1" applyBorder="1" applyAlignme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>
      <alignment wrapText="1"/>
    </xf>
    <xf numFmtId="166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/>
    <xf numFmtId="0" fontId="0" fillId="0" borderId="0" xfId="0" quotePrefix="1" applyAlignment="1"/>
    <xf numFmtId="22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166" fontId="2" fillId="0" borderId="0" xfId="0" applyNumberFormat="1" applyFont="1" applyAlignment="1"/>
    <xf numFmtId="166" fontId="5" fillId="0" borderId="0" xfId="0" applyNumberFormat="1" applyFont="1" applyAlignment="1"/>
    <xf numFmtId="2" fontId="6" fillId="4" borderId="0" xfId="2" applyNumberFormat="1" applyFont="1" applyAlignment="1"/>
    <xf numFmtId="2" fontId="7" fillId="3" borderId="0" xfId="1" applyNumberFormat="1" applyFont="1" applyAlignment="1"/>
    <xf numFmtId="0" fontId="7" fillId="3" borderId="0" xfId="1" applyFont="1"/>
  </cellXfs>
  <cellStyles count="3">
    <cellStyle name="Bad" xfId="2" builtinId="27"/>
    <cellStyle name="Good" xfId="1" builtinId="26"/>
    <cellStyle name="Normal" xfId="0" builtinId="0"/>
  </cellStyles>
  <dxfs count="4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"/>
      <alignment horizontal="general" vertical="bottom" textRotation="0" wrapText="0" indent="0" justifyLastLine="0" shrinkToFit="0" readingOrder="0"/>
    </dxf>
    <dxf>
      <numFmt numFmtId="166" formatCode="#,##0.0000"/>
      <alignment horizontal="general" vertical="bottom" textRotation="0" wrapText="1" indent="0" justifyLastLine="0" shrinkToFit="0" readingOrder="0"/>
    </dxf>
    <dxf>
      <numFmt numFmtId="165" formatCode="0.0000"/>
      <alignment horizontal="general" vertical="bottom" textRotation="0" wrapText="0" indent="0" justifyLastLine="0" shrinkToFit="0" readingOrder="0"/>
    </dxf>
    <dxf>
      <numFmt numFmtId="165" formatCode="0.00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#,##0.0000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#,##0.0000"/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dotted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 Unicode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459"/>
      <tableStyleElement type="headerRow" dxfId="458"/>
      <tableStyleElement type="firstRowStripe" dxfId="457"/>
    </tableStyle>
    <tableStyle name="TableStyleQueryInfo" pivot="0" count="3">
      <tableStyleElement type="wholeTable" dxfId="456"/>
      <tableStyleElement type="headerRow" dxfId="455"/>
      <tableStyleElement type="firstRowStripe" dxfId="454"/>
    </tableStyle>
    <tableStyle name="TableStyleQueryPreview" pivot="0" count="3">
      <tableStyleElement type="wholeTable" dxfId="453"/>
      <tableStyleElement type="headerRow" dxfId="452"/>
      <tableStyleElement type="firstRowStripe" dxfId="451"/>
    </tableStyle>
    <tableStyle name="TableStyleQueryResult" pivot="0" count="3">
      <tableStyleElement type="wholeTable" dxfId="450"/>
      <tableStyleElement type="headerRow" dxfId="449"/>
      <tableStyleElement type="firstRowStripe" dxfId="4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X71" totalsRowCount="1" headerRowDxfId="447" dataDxfId="446">
  <autoFilter ref="A1:X70"/>
  <tableColumns count="24">
    <tableColumn id="1" name="Buy DateTime" dataDxfId="445" totalsRowDxfId="81"/>
    <tableColumn id="28" name="Sell DateTime" dataDxfId="444" totalsRowDxfId="80"/>
    <tableColumn id="19" name="Morning Gapper" dataDxfId="443" totalsRowDxfId="79"/>
    <tableColumn id="24" name="PreMarket High b/o" dataDxfId="442" totalsRowDxfId="78"/>
    <tableColumn id="23" name="Openrange b/o" dataDxfId="441" totalsRowDxfId="77"/>
    <tableColumn id="2" name="1st Flag" dataDxfId="440" totalsRowDxfId="76"/>
    <tableColumn id="17" name="HOD Breakout" dataDxfId="439" totalsRowDxfId="75"/>
    <tableColumn id="18" name="Flat Top Breakout" dataDxfId="438" totalsRowDxfId="74"/>
    <tableColumn id="22" name="Momentum" dataDxfId="437" totalsRowDxfId="73"/>
    <tableColumn id="25" name="Ascending Triangle" dataDxfId="436" totalsRowDxfId="72"/>
    <tableColumn id="15" name="Freakout" dataDxfId="435" totalsRowDxfId="71"/>
    <tableColumn id="3" name="Symbol" dataDxfId="434" totalsRowDxfId="70"/>
    <tableColumn id="4" name="Num Shares" dataDxfId="433" totalsRowDxfId="69">
      <calculatedColumnFormula>400+400</calculatedColumnFormula>
    </tableColumn>
    <tableColumn id="5" name="Buy price/share" dataDxfId="432" totalsRowDxfId="68">
      <calculatedColumnFormula>(38.76+38.438)/2</calculatedColumnFormula>
    </tableColumn>
    <tableColumn id="6" name="Sell price/share" dataDxfId="431" totalsRowDxfId="67"/>
    <tableColumn id="7" name="Return/share" dataDxfId="414" totalsRowDxfId="66">
      <calculatedColumnFormula>Table2[[#This Row],[Sell price/share]]-Table2[[#This Row],[Buy price/share]]</calculatedColumnFormula>
    </tableColumn>
    <tableColumn id="8" name="Net" dataDxfId="393" totalsRowDxfId="65">
      <calculatedColumnFormula>Table2[[#This Row],[Return/share]]*Table2[[#This Row],[Num Shares]]</calculatedColumnFormula>
    </tableColumn>
    <tableColumn id="12" name="Commissions" dataDxfId="388" totalsRowDxfId="64">
      <calculatedColumnFormula>4.56+2+2</calculatedColumnFormula>
    </tableColumn>
    <tableColumn id="10" name="Label" dataDxfId="430" totalsRowDxfId="63"/>
    <tableColumn id="11" name="Monthly" dataDxfId="429" totalsRowDxfId="62"/>
    <tableColumn id="26" name="Win" dataDxfId="428" totalsRowDxfId="61">
      <calculatedColumnFormula>IF(Table2[[#This Row],[Return/share]]&gt;0, 1, 0)</calculatedColumnFormula>
    </tableColumn>
    <tableColumn id="27" name="Loss" dataDxfId="427" totalsRowDxfId="60">
      <calculatedColumnFormula>IF(Table2[[#This Row],[Return/share]]&lt;=0,1,0)</calculatedColumnFormula>
    </tableColumn>
    <tableColumn id="13" name="Was stratergy correct?" dataDxfId="426" totalsRowDxfId="59"/>
    <tableColumn id="14" name="Comments" dataDxfId="425" totalsRow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H41" totalsRowShown="0" headerRowDxfId="424" dataDxfId="422" headerRowBorderDxfId="423">
  <autoFilter ref="B1:H41"/>
  <sortState ref="B2:H32">
    <sortCondition ref="B2:B33"/>
  </sortState>
  <tableColumns count="7">
    <tableColumn id="1" name="DateTime" dataDxfId="421"/>
    <tableColumn id="2" name="Symbol" dataDxfId="420"/>
    <tableColumn id="3" name="Action" dataDxfId="419"/>
    <tableColumn id="4" name="Number of Shares" dataDxfId="418"/>
    <tableColumn id="5" name="Price" dataDxfId="417"/>
    <tableColumn id="6" name="Excg" dataDxfId="416"/>
    <tableColumn id="7" name="Commissions" dataDxfId="4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1"/>
  <sheetViews>
    <sheetView topLeftCell="A49" workbookViewId="0">
      <selection activeCell="Q70" activeCellId="2" sqref="Q58 Q63 Q70"/>
    </sheetView>
  </sheetViews>
  <sheetFormatPr defaultRowHeight="15" x14ac:dyDescent="0.25"/>
  <cols>
    <col min="1" max="1" width="11.28515625" style="9" customWidth="1"/>
    <col min="2" max="2" width="9.7109375" style="9" customWidth="1"/>
    <col min="3" max="3" width="7.140625" style="9" customWidth="1"/>
    <col min="4" max="7" width="6.42578125" style="9" customWidth="1"/>
    <col min="8" max="8" width="5.5703125" style="9" customWidth="1"/>
    <col min="9" max="9" width="4.5703125" style="9" customWidth="1"/>
    <col min="10" max="10" width="7.28515625" style="9" customWidth="1"/>
    <col min="11" max="11" width="6.7109375" style="9" customWidth="1"/>
    <col min="12" max="12" width="7" style="9" customWidth="1"/>
    <col min="13" max="13" width="6.28515625" style="9" customWidth="1"/>
    <col min="14" max="14" width="7.140625" style="9" customWidth="1"/>
    <col min="15" max="15" width="10.5703125" style="9" customWidth="1"/>
    <col min="16" max="16" width="9.140625" style="9"/>
    <col min="17" max="17" width="11.7109375" style="9" customWidth="1"/>
    <col min="18" max="18" width="12.140625" style="9" customWidth="1"/>
    <col min="19" max="23" width="9.140625" style="9"/>
    <col min="24" max="25" width="9.140625" style="8"/>
    <col min="26" max="16384" width="9.140625" style="9"/>
  </cols>
  <sheetData>
    <row r="1" spans="1:25" s="5" customFormat="1" ht="77.25" customHeight="1" x14ac:dyDescent="0.25">
      <c r="A1" s="5" t="s">
        <v>60</v>
      </c>
      <c r="B1" s="5" t="s">
        <v>61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15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8</v>
      </c>
      <c r="S1" s="5" t="s">
        <v>85</v>
      </c>
      <c r="T1" s="5" t="s">
        <v>33</v>
      </c>
      <c r="U1" s="6" t="s">
        <v>34</v>
      </c>
      <c r="V1" s="6" t="s">
        <v>35</v>
      </c>
      <c r="W1" s="5" t="s">
        <v>36</v>
      </c>
      <c r="X1" s="5" t="s">
        <v>37</v>
      </c>
    </row>
    <row r="2" spans="1:25" x14ac:dyDescent="0.25">
      <c r="A2" s="7">
        <v>42072</v>
      </c>
      <c r="B2" s="7"/>
      <c r="C2" s="8">
        <v>1</v>
      </c>
      <c r="D2" s="8"/>
      <c r="E2" s="8"/>
      <c r="L2" s="9" t="s">
        <v>5</v>
      </c>
      <c r="M2" s="9">
        <f t="shared" ref="M2" si="0">400+400</f>
        <v>800</v>
      </c>
      <c r="N2" s="10">
        <f t="shared" ref="N2" si="1">(38.76+38.438)/2</f>
        <v>38.599000000000004</v>
      </c>
      <c r="O2" s="10">
        <v>37.96</v>
      </c>
      <c r="P2" s="11">
        <f>Table2[[#This Row],[Sell price/share]]-Table2[[#This Row],[Buy price/share]]</f>
        <v>-0.6390000000000029</v>
      </c>
      <c r="Q2" s="12">
        <f>Table2[[#This Row],[Return/share]]*Table2[[#This Row],[Num Shares]]</f>
        <v>-511.20000000000232</v>
      </c>
      <c r="R2" s="10">
        <f>(4.56+2+2)</f>
        <v>8.5599999999999987</v>
      </c>
      <c r="S2" s="13"/>
      <c r="T2" s="13"/>
      <c r="U2" s="8">
        <f>IF(Table2[[#This Row],[Return/share]]&gt;0, 1, 0)</f>
        <v>0</v>
      </c>
      <c r="V2" s="8">
        <f>IF(Table2[[#This Row],[Return/share]]&lt;=0,1,0)</f>
        <v>1</v>
      </c>
      <c r="X2" s="9"/>
      <c r="Y2" s="9"/>
    </row>
    <row r="3" spans="1:25" ht="15.75" x14ac:dyDescent="0.25">
      <c r="A3" s="7"/>
      <c r="B3" s="7"/>
      <c r="C3" s="8"/>
      <c r="D3" s="8"/>
      <c r="E3" s="8"/>
      <c r="M3" s="14"/>
      <c r="N3" s="10"/>
      <c r="O3" s="10"/>
      <c r="P3" s="11"/>
      <c r="Q3" s="19">
        <f>Q2</f>
        <v>-511.20000000000232</v>
      </c>
      <c r="R3">
        <f>R2</f>
        <v>8.5599999999999987</v>
      </c>
      <c r="S3" s="20" t="s">
        <v>69</v>
      </c>
      <c r="T3" s="13"/>
      <c r="U3" s="8"/>
      <c r="V3" s="8"/>
      <c r="X3" s="9"/>
      <c r="Y3" s="9"/>
    </row>
    <row r="4" spans="1:25" x14ac:dyDescent="0.25">
      <c r="A4" s="7">
        <v>42073</v>
      </c>
      <c r="B4" s="7"/>
      <c r="C4" s="8">
        <v>1</v>
      </c>
      <c r="D4" s="8"/>
      <c r="E4" s="8"/>
      <c r="G4" s="9">
        <v>1</v>
      </c>
      <c r="L4" s="9" t="s">
        <v>0</v>
      </c>
      <c r="M4" s="9">
        <v>200</v>
      </c>
      <c r="N4" s="10">
        <v>36.42</v>
      </c>
      <c r="O4" s="10">
        <v>36.44</v>
      </c>
      <c r="P4" s="11">
        <f>Table2[[#This Row],[Sell price/share]]-Table2[[#This Row],[Buy price/share]]</f>
        <v>1.9999999999996021E-2</v>
      </c>
      <c r="Q4" s="12">
        <f>Table2[[#This Row],[Return/share]]*Table2[[#This Row],[Num Shares]]</f>
        <v>3.9999999999992042</v>
      </c>
      <c r="R4" s="10">
        <f>(1+1.13)</f>
        <v>2.13</v>
      </c>
      <c r="S4" s="13"/>
      <c r="T4" s="13"/>
      <c r="U4" s="8">
        <f>IF(Table2[[#This Row],[Return/share]]&gt;0, 1, 0)</f>
        <v>1</v>
      </c>
      <c r="V4" s="8">
        <f>IF(Table2[[#This Row],[Return/share]]&lt;=0,1,0)</f>
        <v>0</v>
      </c>
      <c r="W4" s="9" t="s">
        <v>38</v>
      </c>
      <c r="X4" s="9"/>
      <c r="Y4" s="9"/>
    </row>
    <row r="5" spans="1:25" x14ac:dyDescent="0.25">
      <c r="A5" s="7">
        <v>42073</v>
      </c>
      <c r="B5" s="7"/>
      <c r="C5" s="8">
        <v>1</v>
      </c>
      <c r="D5" s="8"/>
      <c r="E5" s="8"/>
      <c r="H5" s="9">
        <v>1</v>
      </c>
      <c r="L5" s="9" t="s">
        <v>0</v>
      </c>
      <c r="M5" s="9">
        <v>200</v>
      </c>
      <c r="N5" s="10">
        <v>36.51</v>
      </c>
      <c r="O5" s="10">
        <v>36.4</v>
      </c>
      <c r="P5" s="11">
        <f>Table2[[#This Row],[Sell price/share]]-Table2[[#This Row],[Buy price/share]]</f>
        <v>-0.10999999999999943</v>
      </c>
      <c r="Q5" s="12">
        <f>Table2[[#This Row],[Return/share]]*Table2[[#This Row],[Num Shares]]</f>
        <v>-21.999999999999886</v>
      </c>
      <c r="R5" s="10">
        <f>(1+1.13)</f>
        <v>2.13</v>
      </c>
      <c r="S5" s="13"/>
      <c r="T5" s="13"/>
      <c r="U5" s="8">
        <f>IF(Table2[[#This Row],[Return/share]]&gt;0, 1, 0)</f>
        <v>0</v>
      </c>
      <c r="V5" s="8">
        <f>IF(Table2[[#This Row],[Return/share]]&lt;=0,1,0)</f>
        <v>1</v>
      </c>
      <c r="W5" s="9" t="s">
        <v>38</v>
      </c>
      <c r="X5" s="9"/>
      <c r="Y5" s="9"/>
    </row>
    <row r="6" spans="1:25" x14ac:dyDescent="0.25">
      <c r="A6" s="7">
        <v>42073</v>
      </c>
      <c r="B6" s="7"/>
      <c r="C6" s="8"/>
      <c r="D6" s="8"/>
      <c r="E6" s="8"/>
      <c r="F6" s="9">
        <v>2</v>
      </c>
      <c r="I6" s="9">
        <v>1</v>
      </c>
      <c r="L6" s="9" t="s">
        <v>6</v>
      </c>
      <c r="M6" s="9">
        <v>200</v>
      </c>
      <c r="N6" s="10">
        <v>42.78</v>
      </c>
      <c r="O6" s="10">
        <v>42.56</v>
      </c>
      <c r="P6" s="11">
        <f>Table2[[#This Row],[Sell price/share]]-Table2[[#This Row],[Buy price/share]]</f>
        <v>-0.21999999999999886</v>
      </c>
      <c r="Q6" s="12">
        <f>Table2[[#This Row],[Return/share]]*Table2[[#This Row],[Num Shares]]</f>
        <v>-43.999999999999773</v>
      </c>
      <c r="R6" s="10">
        <f>(1+1.16)</f>
        <v>2.16</v>
      </c>
      <c r="S6" s="13"/>
      <c r="T6" s="13"/>
      <c r="U6" s="8">
        <f>IF(Table2[[#This Row],[Return/share]]&gt;0, 1, 0)</f>
        <v>0</v>
      </c>
      <c r="V6" s="8">
        <f>IF(Table2[[#This Row],[Return/share]]&lt;=0,1,0)</f>
        <v>1</v>
      </c>
      <c r="W6" s="9" t="s">
        <v>38</v>
      </c>
      <c r="X6" s="9"/>
      <c r="Y6" s="9"/>
    </row>
    <row r="7" spans="1:25" x14ac:dyDescent="0.25">
      <c r="A7" s="7">
        <v>42073</v>
      </c>
      <c r="B7" s="7"/>
      <c r="C7" s="8"/>
      <c r="D7" s="8"/>
      <c r="E7" s="8"/>
      <c r="F7" s="9">
        <v>3</v>
      </c>
      <c r="I7" s="9">
        <v>1</v>
      </c>
      <c r="L7" s="9" t="s">
        <v>6</v>
      </c>
      <c r="M7" s="14">
        <v>200</v>
      </c>
      <c r="N7" s="10">
        <v>42.93</v>
      </c>
      <c r="O7" s="10">
        <v>43.2</v>
      </c>
      <c r="P7" s="11">
        <f>Table2[[#This Row],[Sell price/share]]-Table2[[#This Row],[Buy price/share]]</f>
        <v>0.27000000000000313</v>
      </c>
      <c r="Q7" s="12">
        <f>Table2[[#This Row],[Return/share]]*Table2[[#This Row],[Num Shares]]</f>
        <v>54.000000000000625</v>
      </c>
      <c r="R7" s="10">
        <f t="shared" ref="R7:R10" si="2">(1+1.16)</f>
        <v>2.16</v>
      </c>
      <c r="S7" s="13"/>
      <c r="T7" s="13"/>
      <c r="U7" s="8">
        <f>IF(Table2[[#This Row],[Return/share]]&gt;0, 1, 0)</f>
        <v>1</v>
      </c>
      <c r="V7" s="8">
        <f>IF(Table2[[#This Row],[Return/share]]&lt;=0,1,0)</f>
        <v>0</v>
      </c>
      <c r="W7" s="9" t="s">
        <v>38</v>
      </c>
      <c r="X7" s="9"/>
      <c r="Y7" s="9"/>
    </row>
    <row r="8" spans="1:25" x14ac:dyDescent="0.25">
      <c r="A8" s="7">
        <v>42073</v>
      </c>
      <c r="B8" s="7"/>
      <c r="C8" s="8"/>
      <c r="D8" s="8"/>
      <c r="E8" s="8"/>
      <c r="G8" s="9">
        <v>1</v>
      </c>
      <c r="H8" s="9">
        <v>1</v>
      </c>
      <c r="I8" s="9">
        <v>1</v>
      </c>
      <c r="L8" s="9" t="s">
        <v>6</v>
      </c>
      <c r="M8" s="14">
        <v>200</v>
      </c>
      <c r="N8" s="10">
        <v>43.32</v>
      </c>
      <c r="O8" s="10">
        <v>43.085000000000001</v>
      </c>
      <c r="P8" s="11">
        <f>Table2[[#This Row],[Sell price/share]]-Table2[[#This Row],[Buy price/share]]</f>
        <v>-0.23499999999999943</v>
      </c>
      <c r="Q8" s="12">
        <f>Table2[[#This Row],[Return/share]]*Table2[[#This Row],[Num Shares]]</f>
        <v>-46.999999999999886</v>
      </c>
      <c r="R8" s="10">
        <f t="shared" si="2"/>
        <v>2.16</v>
      </c>
      <c r="S8" s="13"/>
      <c r="T8" s="13"/>
      <c r="U8" s="8">
        <f>IF(Table2[[#This Row],[Return/share]]&gt;0, 1, 0)</f>
        <v>0</v>
      </c>
      <c r="V8" s="8">
        <f>IF(Table2[[#This Row],[Return/share]]&lt;=0,1,0)</f>
        <v>1</v>
      </c>
      <c r="W8" s="9" t="s">
        <v>38</v>
      </c>
      <c r="X8" s="9"/>
      <c r="Y8" s="9"/>
    </row>
    <row r="9" spans="1:25" x14ac:dyDescent="0.25">
      <c r="A9" s="7">
        <v>42073</v>
      </c>
      <c r="B9" s="7"/>
      <c r="C9" s="8"/>
      <c r="D9" s="8"/>
      <c r="E9" s="8"/>
      <c r="H9" s="9">
        <v>1</v>
      </c>
      <c r="I9" s="9">
        <v>1</v>
      </c>
      <c r="L9" s="9" t="s">
        <v>6</v>
      </c>
      <c r="M9" s="14">
        <v>200</v>
      </c>
      <c r="N9" s="10">
        <v>43.09</v>
      </c>
      <c r="O9" s="10">
        <v>43.13</v>
      </c>
      <c r="P9" s="11">
        <f>Table2[[#This Row],[Sell price/share]]-Table2[[#This Row],[Buy price/share]]</f>
        <v>3.9999999999999147E-2</v>
      </c>
      <c r="Q9" s="12">
        <f>Table2[[#This Row],[Return/share]]*Table2[[#This Row],[Num Shares]]</f>
        <v>7.9999999999998295</v>
      </c>
      <c r="R9" s="10">
        <f t="shared" si="2"/>
        <v>2.16</v>
      </c>
      <c r="S9" s="13"/>
      <c r="T9" s="13"/>
      <c r="U9" s="8">
        <f>IF(Table2[[#This Row],[Return/share]]&gt;0, 1, 0)</f>
        <v>1</v>
      </c>
      <c r="V9" s="8">
        <f>IF(Table2[[#This Row],[Return/share]]&lt;=0,1,0)</f>
        <v>0</v>
      </c>
      <c r="W9" s="9" t="s">
        <v>38</v>
      </c>
      <c r="X9" s="9"/>
      <c r="Y9" s="9"/>
    </row>
    <row r="10" spans="1:25" x14ac:dyDescent="0.25">
      <c r="A10" s="7">
        <v>42073</v>
      </c>
      <c r="B10" s="7"/>
      <c r="C10" s="8"/>
      <c r="D10" s="8"/>
      <c r="E10" s="8"/>
      <c r="G10" s="9">
        <v>1</v>
      </c>
      <c r="I10" s="9">
        <v>1</v>
      </c>
      <c r="L10" s="9" t="s">
        <v>6</v>
      </c>
      <c r="M10" s="14">
        <v>200</v>
      </c>
      <c r="N10" s="10">
        <v>43.29</v>
      </c>
      <c r="O10" s="10">
        <v>43.13</v>
      </c>
      <c r="P10" s="11">
        <f>Table2[[#This Row],[Sell price/share]]-Table2[[#This Row],[Buy price/share]]</f>
        <v>-0.15999999999999659</v>
      </c>
      <c r="Q10" s="12">
        <f>Table2[[#This Row],[Return/share]]*Table2[[#This Row],[Num Shares]]</f>
        <v>-31.999999999999318</v>
      </c>
      <c r="R10" s="10">
        <f t="shared" si="2"/>
        <v>2.16</v>
      </c>
      <c r="S10" s="13"/>
      <c r="T10" s="13"/>
      <c r="U10" s="8">
        <f>IF(Table2[[#This Row],[Return/share]]&gt;0, 1, 0)</f>
        <v>0</v>
      </c>
      <c r="V10" s="8">
        <f>IF(Table2[[#This Row],[Return/share]]&lt;=0,1,0)</f>
        <v>1</v>
      </c>
      <c r="W10" s="9" t="s">
        <v>39</v>
      </c>
      <c r="X10" s="9" t="s">
        <v>40</v>
      </c>
      <c r="Y10" s="9"/>
    </row>
    <row r="11" spans="1:25" x14ac:dyDescent="0.25">
      <c r="A11" s="7">
        <v>42073</v>
      </c>
      <c r="B11" s="7"/>
      <c r="C11" s="8"/>
      <c r="D11" s="8"/>
      <c r="E11" s="8"/>
      <c r="G11" s="9">
        <v>1</v>
      </c>
      <c r="I11" s="9">
        <v>1</v>
      </c>
      <c r="L11" s="9" t="s">
        <v>4</v>
      </c>
      <c r="M11" s="14">
        <v>200</v>
      </c>
      <c r="N11" s="10">
        <v>48.784999999999997</v>
      </c>
      <c r="O11" s="10">
        <v>48.94</v>
      </c>
      <c r="P11" s="11">
        <f>Table2[[#This Row],[Sell price/share]]-Table2[[#This Row],[Buy price/share]]</f>
        <v>0.15500000000000114</v>
      </c>
      <c r="Q11" s="12">
        <f>Table2[[#This Row],[Return/share]]*Table2[[#This Row],[Num Shares]]</f>
        <v>31.000000000000227</v>
      </c>
      <c r="R11" s="10">
        <f>(1+2.18)</f>
        <v>3.18</v>
      </c>
      <c r="S11" s="13"/>
      <c r="T11" s="13"/>
      <c r="U11" s="8">
        <f>IF(Table2[[#This Row],[Return/share]]&gt;0, 1, 0)</f>
        <v>1</v>
      </c>
      <c r="V11" s="8">
        <f>IF(Table2[[#This Row],[Return/share]]&lt;=0,1,0)</f>
        <v>0</v>
      </c>
      <c r="W11" s="9" t="s">
        <v>38</v>
      </c>
      <c r="X11" s="9"/>
      <c r="Y11" s="9"/>
    </row>
    <row r="12" spans="1:25" x14ac:dyDescent="0.25">
      <c r="A12" s="7">
        <v>42073</v>
      </c>
      <c r="B12" s="7"/>
      <c r="C12" s="8">
        <v>1</v>
      </c>
      <c r="D12" s="8"/>
      <c r="E12" s="8"/>
      <c r="H12" s="9">
        <v>1</v>
      </c>
      <c r="L12" s="9" t="s">
        <v>3</v>
      </c>
      <c r="M12" s="14">
        <v>200</v>
      </c>
      <c r="N12" s="10">
        <v>73.03</v>
      </c>
      <c r="O12" s="10">
        <v>72.88</v>
      </c>
      <c r="P12" s="11">
        <f>Table2[[#This Row],[Sell price/share]]-Table2[[#This Row],[Buy price/share]]</f>
        <v>-0.15000000000000568</v>
      </c>
      <c r="Q12" s="12">
        <f>Table2[[#This Row],[Return/share]]*Table2[[#This Row],[Num Shares]]</f>
        <v>-30.000000000001137</v>
      </c>
      <c r="R12" s="10">
        <f>(1+1.27)</f>
        <v>2.27</v>
      </c>
      <c r="S12" s="13"/>
      <c r="T12" s="13"/>
      <c r="U12" s="8">
        <f>IF(Table2[[#This Row],[Return/share]]&gt;0, 1, 0)</f>
        <v>0</v>
      </c>
      <c r="V12" s="8">
        <f>IF(Table2[[#This Row],[Return/share]]&lt;=0,1,0)</f>
        <v>1</v>
      </c>
      <c r="W12" s="9" t="s">
        <v>39</v>
      </c>
      <c r="X12" s="9" t="s">
        <v>40</v>
      </c>
      <c r="Y12" s="9"/>
    </row>
    <row r="13" spans="1:25" x14ac:dyDescent="0.25">
      <c r="A13" s="7">
        <v>42073</v>
      </c>
      <c r="B13" s="7"/>
      <c r="C13" s="8">
        <v>1</v>
      </c>
      <c r="D13" s="8"/>
      <c r="E13" s="8"/>
      <c r="F13" s="9">
        <v>4</v>
      </c>
      <c r="L13" s="9" t="s">
        <v>1</v>
      </c>
      <c r="M13" s="14">
        <v>200</v>
      </c>
      <c r="N13" s="10">
        <v>4.01</v>
      </c>
      <c r="O13" s="10">
        <v>4.05</v>
      </c>
      <c r="P13" s="11">
        <f>Table2[[#This Row],[Sell price/share]]-Table2[[#This Row],[Buy price/share]]</f>
        <v>4.0000000000000036E-2</v>
      </c>
      <c r="Q13" s="12">
        <f>Table2[[#This Row],[Return/share]]*Table2[[#This Row],[Num Shares]]</f>
        <v>8.0000000000000071</v>
      </c>
      <c r="R13" s="10">
        <f>(1+1.01)</f>
        <v>2.0099999999999998</v>
      </c>
      <c r="S13" s="13"/>
      <c r="T13" s="13"/>
      <c r="U13" s="8">
        <f>IF(Table2[[#This Row],[Return/share]]&gt;0, 1, 0)</f>
        <v>1</v>
      </c>
      <c r="V13" s="8">
        <f>IF(Table2[[#This Row],[Return/share]]&lt;=0,1,0)</f>
        <v>0</v>
      </c>
      <c r="W13" s="9" t="s">
        <v>38</v>
      </c>
      <c r="X13" s="9"/>
      <c r="Y13" s="9"/>
    </row>
    <row r="14" spans="1:25" x14ac:dyDescent="0.25">
      <c r="A14" s="7">
        <v>42073</v>
      </c>
      <c r="B14" s="7"/>
      <c r="C14" s="8">
        <v>1</v>
      </c>
      <c r="D14" s="8"/>
      <c r="E14" s="8"/>
      <c r="H14" s="9">
        <v>1</v>
      </c>
      <c r="L14" s="9" t="s">
        <v>1</v>
      </c>
      <c r="M14" s="14">
        <v>200</v>
      </c>
      <c r="N14" s="10">
        <v>4.17</v>
      </c>
      <c r="O14" s="10">
        <v>4.21</v>
      </c>
      <c r="P14" s="11">
        <f>Table2[[#This Row],[Sell price/share]]-Table2[[#This Row],[Buy price/share]]</f>
        <v>4.0000000000000036E-2</v>
      </c>
      <c r="Q14" s="12">
        <f>Table2[[#This Row],[Return/share]]*Table2[[#This Row],[Num Shares]]</f>
        <v>8.0000000000000071</v>
      </c>
      <c r="R14" s="10">
        <f>(1+1.02)</f>
        <v>2.02</v>
      </c>
      <c r="S14" s="13"/>
      <c r="T14" s="13"/>
      <c r="U14" s="8">
        <f>IF(Table2[[#This Row],[Return/share]]&gt;0, 1, 0)</f>
        <v>1</v>
      </c>
      <c r="V14" s="8">
        <f>IF(Table2[[#This Row],[Return/share]]&lt;=0,1,0)</f>
        <v>0</v>
      </c>
      <c r="W14" s="9" t="s">
        <v>38</v>
      </c>
      <c r="X14" s="9"/>
      <c r="Y14" s="9"/>
    </row>
    <row r="15" spans="1:25" x14ac:dyDescent="0.25">
      <c r="A15" s="7">
        <v>42073</v>
      </c>
      <c r="B15" s="7"/>
      <c r="C15" s="8">
        <v>1</v>
      </c>
      <c r="D15" s="8"/>
      <c r="E15" s="8"/>
      <c r="G15" s="9">
        <v>1</v>
      </c>
      <c r="L15" s="9" t="s">
        <v>1</v>
      </c>
      <c r="M15" s="14">
        <v>200</v>
      </c>
      <c r="N15" s="10">
        <v>4.2300000000000004</v>
      </c>
      <c r="O15" s="10">
        <v>4.24</v>
      </c>
      <c r="P15" s="11">
        <f>Table2[[#This Row],[Sell price/share]]-Table2[[#This Row],[Buy price/share]]</f>
        <v>9.9999999999997868E-3</v>
      </c>
      <c r="Q15" s="12">
        <f>Table2[[#This Row],[Return/share]]*Table2[[#This Row],[Num Shares]]</f>
        <v>1.9999999999999574</v>
      </c>
      <c r="R15" s="10">
        <f>(1+1.02)</f>
        <v>2.02</v>
      </c>
      <c r="S15" s="13"/>
      <c r="T15" s="13"/>
      <c r="U15" s="8">
        <f>IF(Table2[[#This Row],[Return/share]]&gt;0, 1, 0)</f>
        <v>1</v>
      </c>
      <c r="V15" s="8">
        <f>IF(Table2[[#This Row],[Return/share]]&lt;=0,1,0)</f>
        <v>0</v>
      </c>
      <c r="W15" s="9" t="s">
        <v>38</v>
      </c>
      <c r="X15" s="9"/>
      <c r="Y15" s="9"/>
    </row>
    <row r="16" spans="1:25" x14ac:dyDescent="0.25">
      <c r="A16" s="7">
        <v>42073</v>
      </c>
      <c r="B16" s="7"/>
      <c r="C16" s="8"/>
      <c r="D16" s="8"/>
      <c r="E16" s="8"/>
      <c r="G16" s="9">
        <v>1</v>
      </c>
      <c r="L16" s="9" t="s">
        <v>2</v>
      </c>
      <c r="M16" s="14">
        <v>200</v>
      </c>
      <c r="N16" s="10">
        <v>8.9700000000000006</v>
      </c>
      <c r="O16" s="10">
        <v>9.08</v>
      </c>
      <c r="P16" s="11">
        <f>Table2[[#This Row],[Sell price/share]]-Table2[[#This Row],[Buy price/share]]</f>
        <v>0.10999999999999943</v>
      </c>
      <c r="Q16" s="12">
        <f>Table2[[#This Row],[Return/share]]*Table2[[#This Row],[Num Shares]]</f>
        <v>21.999999999999886</v>
      </c>
      <c r="R16" s="10">
        <f>(1+1.03)</f>
        <v>2.0300000000000002</v>
      </c>
      <c r="S16" s="13"/>
      <c r="T16" s="13"/>
      <c r="U16" s="8">
        <f>IF(Table2[[#This Row],[Return/share]]&gt;0, 1, 0)</f>
        <v>1</v>
      </c>
      <c r="V16" s="8">
        <f>IF(Table2[[#This Row],[Return/share]]&lt;=0,1,0)</f>
        <v>0</v>
      </c>
      <c r="W16" s="9" t="s">
        <v>38</v>
      </c>
      <c r="X16" s="9"/>
      <c r="Y16" s="9"/>
    </row>
    <row r="17" spans="1:25" ht="15.75" x14ac:dyDescent="0.25">
      <c r="A17" s="7"/>
      <c r="B17" s="7"/>
      <c r="C17" s="8"/>
      <c r="D17" s="8"/>
      <c r="E17" s="8"/>
      <c r="M17" s="14"/>
      <c r="N17" s="10"/>
      <c r="O17" s="10"/>
      <c r="P17" s="11"/>
      <c r="Q17" s="19">
        <f>SUM(Q4:Q16)</f>
        <v>-38.000000000000263</v>
      </c>
      <c r="R17">
        <f>SUM(R4:R16)</f>
        <v>28.590000000000003</v>
      </c>
      <c r="S17" s="20" t="s">
        <v>70</v>
      </c>
      <c r="T17" s="13"/>
      <c r="U17" s="8"/>
      <c r="V17" s="8"/>
      <c r="X17" s="9"/>
      <c r="Y17" s="9"/>
    </row>
    <row r="18" spans="1:25" x14ac:dyDescent="0.25">
      <c r="A18" s="7">
        <v>42086</v>
      </c>
      <c r="B18" s="7"/>
      <c r="C18" s="8">
        <v>1</v>
      </c>
      <c r="D18" s="8"/>
      <c r="E18" s="8">
        <v>1</v>
      </c>
      <c r="L18" s="9" t="s">
        <v>41</v>
      </c>
      <c r="M18" s="14">
        <v>200</v>
      </c>
      <c r="N18" s="10">
        <v>6.34</v>
      </c>
      <c r="O18" s="10">
        <v>6.63</v>
      </c>
      <c r="P18" s="11">
        <f>Table2[[#This Row],[Sell price/share]]-Table2[[#This Row],[Buy price/share]]</f>
        <v>0.29000000000000004</v>
      </c>
      <c r="Q18" s="12">
        <f>Table2[[#This Row],[Return/share]]*Table2[[#This Row],[Num Shares]]</f>
        <v>58.000000000000007</v>
      </c>
      <c r="R18" s="10">
        <f>(1+1.02)</f>
        <v>2.02</v>
      </c>
      <c r="S18" s="13"/>
      <c r="T18" s="13"/>
      <c r="U18" s="8">
        <f>IF(Table2[[#This Row],[Return/share]]&gt;0, 1, 0)</f>
        <v>1</v>
      </c>
      <c r="V18" s="8">
        <f>IF(Table2[[#This Row],[Return/share]]&lt;=0,1,0)</f>
        <v>0</v>
      </c>
      <c r="W18" s="9" t="s">
        <v>38</v>
      </c>
      <c r="X18" s="9"/>
      <c r="Y18" s="9"/>
    </row>
    <row r="19" spans="1:25" x14ac:dyDescent="0.25">
      <c r="A19" s="7">
        <v>42086</v>
      </c>
      <c r="B19" s="7"/>
      <c r="C19" s="8">
        <v>1</v>
      </c>
      <c r="D19" s="8"/>
      <c r="E19" s="8"/>
      <c r="F19" s="9">
        <v>2</v>
      </c>
      <c r="G19" s="9">
        <v>1</v>
      </c>
      <c r="L19" s="9" t="s">
        <v>41</v>
      </c>
      <c r="M19" s="14">
        <v>200</v>
      </c>
      <c r="N19" s="10">
        <v>6.76</v>
      </c>
      <c r="O19" s="10">
        <f>(6.85+6.925)/2</f>
        <v>6.8874999999999993</v>
      </c>
      <c r="P19" s="11">
        <f>Table2[[#This Row],[Sell price/share]]-Table2[[#This Row],[Buy price/share]]</f>
        <v>0.1274999999999995</v>
      </c>
      <c r="Q19" s="12">
        <f>Table2[[#This Row],[Return/share]]*Table2[[#This Row],[Num Shares]]</f>
        <v>25.499999999999901</v>
      </c>
      <c r="R19" s="10">
        <f>(1.01+1.03+1)</f>
        <v>3.04</v>
      </c>
      <c r="S19" s="13"/>
      <c r="T19" s="13"/>
      <c r="U19" s="8">
        <f>IF(Table2[[#This Row],[Return/share]]&gt;0, 1, 0)</f>
        <v>1</v>
      </c>
      <c r="V19" s="8">
        <f>IF(Table2[[#This Row],[Return/share]]&lt;=0,1,0)</f>
        <v>0</v>
      </c>
      <c r="W19" s="9" t="s">
        <v>38</v>
      </c>
      <c r="X19" s="9"/>
      <c r="Y19" s="9"/>
    </row>
    <row r="20" spans="1:25" x14ac:dyDescent="0.25">
      <c r="A20" s="7">
        <v>42086</v>
      </c>
      <c r="B20" s="7"/>
      <c r="C20" s="8">
        <v>1</v>
      </c>
      <c r="D20" s="8"/>
      <c r="E20" s="8"/>
      <c r="I20" s="9">
        <v>1</v>
      </c>
      <c r="L20" s="9" t="s">
        <v>42</v>
      </c>
      <c r="M20" s="14">
        <v>200</v>
      </c>
      <c r="N20" s="10">
        <v>8.68</v>
      </c>
      <c r="O20" s="10">
        <f>(8.73+8.77)/2</f>
        <v>8.75</v>
      </c>
      <c r="P20" s="11">
        <f>Table2[[#This Row],[Sell price/share]]-Table2[[#This Row],[Buy price/share]]</f>
        <v>7.0000000000000284E-2</v>
      </c>
      <c r="Q20" s="12">
        <f>Table2[[#This Row],[Return/share]]*Table2[[#This Row],[Num Shares]]</f>
        <v>14.000000000000057</v>
      </c>
      <c r="R20" s="10">
        <f>(1.01+1.03+1)</f>
        <v>3.04</v>
      </c>
      <c r="S20" s="13"/>
      <c r="T20" s="13"/>
      <c r="U20" s="8">
        <f>IF(Table2[[#This Row],[Return/share]]&gt;0, 1, 0)</f>
        <v>1</v>
      </c>
      <c r="V20" s="8">
        <f>IF(Table2[[#This Row],[Return/share]]&lt;=0,1,0)</f>
        <v>0</v>
      </c>
      <c r="W20" s="9" t="s">
        <v>38</v>
      </c>
      <c r="X20" s="9"/>
      <c r="Y20" s="9"/>
    </row>
    <row r="21" spans="1:25" x14ac:dyDescent="0.25">
      <c r="A21" s="7">
        <v>42086</v>
      </c>
      <c r="B21" s="7"/>
      <c r="C21" s="8"/>
      <c r="D21" s="8"/>
      <c r="E21" s="8"/>
      <c r="G21" s="9">
        <v>1</v>
      </c>
      <c r="H21" s="9">
        <v>1</v>
      </c>
      <c r="L21" s="9" t="s">
        <v>43</v>
      </c>
      <c r="M21" s="14">
        <v>200</v>
      </c>
      <c r="N21" s="10">
        <v>42.43</v>
      </c>
      <c r="O21" s="10">
        <v>42.36</v>
      </c>
      <c r="P21" s="11">
        <f>Table2[[#This Row],[Sell price/share]]-Table2[[#This Row],[Buy price/share]]</f>
        <v>-7.0000000000000284E-2</v>
      </c>
      <c r="Q21" s="12">
        <f>Table2[[#This Row],[Return/share]]*Table2[[#This Row],[Num Shares]]</f>
        <v>-14.000000000000057</v>
      </c>
      <c r="R21" s="10">
        <f>(1+1.16)</f>
        <v>2.16</v>
      </c>
      <c r="S21" s="13"/>
      <c r="T21" s="13"/>
      <c r="U21" s="8">
        <f>IF(Table2[[#This Row],[Return/share]]&gt;0, 1, 0)</f>
        <v>0</v>
      </c>
      <c r="V21" s="8">
        <f>IF(Table2[[#This Row],[Return/share]]&lt;=0,1,0)</f>
        <v>1</v>
      </c>
      <c r="W21" s="9" t="s">
        <v>38</v>
      </c>
      <c r="X21" s="9"/>
      <c r="Y21" s="9"/>
    </row>
    <row r="22" spans="1:25" x14ac:dyDescent="0.25">
      <c r="A22" s="7">
        <v>42086</v>
      </c>
      <c r="B22" s="7"/>
      <c r="C22" s="8"/>
      <c r="D22" s="8"/>
      <c r="E22" s="8"/>
      <c r="G22" s="9">
        <v>1</v>
      </c>
      <c r="I22" s="9">
        <v>1</v>
      </c>
      <c r="L22" s="9" t="s">
        <v>44</v>
      </c>
      <c r="M22" s="14">
        <v>200</v>
      </c>
      <c r="N22" s="10">
        <v>3.14</v>
      </c>
      <c r="O22" s="10">
        <v>3.05</v>
      </c>
      <c r="P22" s="11">
        <f>Table2[[#This Row],[Sell price/share]]-Table2[[#This Row],[Buy price/share]]</f>
        <v>-9.0000000000000302E-2</v>
      </c>
      <c r="Q22" s="12">
        <f>Table2[[#This Row],[Return/share]]*Table2[[#This Row],[Num Shares]]</f>
        <v>-18.00000000000006</v>
      </c>
      <c r="R22" s="10">
        <f>(1+1.01)</f>
        <v>2.0099999999999998</v>
      </c>
      <c r="S22" s="13"/>
      <c r="T22" s="13"/>
      <c r="U22" s="8">
        <f>IF(Table2[[#This Row],[Return/share]]&gt;0, 1, 0)</f>
        <v>0</v>
      </c>
      <c r="V22" s="8">
        <f>IF(Table2[[#This Row],[Return/share]]&lt;=0,1,0)</f>
        <v>1</v>
      </c>
      <c r="W22" s="9" t="s">
        <v>38</v>
      </c>
      <c r="X22" s="9"/>
      <c r="Y22" s="9"/>
    </row>
    <row r="23" spans="1:25" x14ac:dyDescent="0.25">
      <c r="A23" s="7">
        <v>42086</v>
      </c>
      <c r="B23" s="7"/>
      <c r="C23" s="8"/>
      <c r="D23" s="8"/>
      <c r="E23" s="8"/>
      <c r="G23" s="9">
        <v>1</v>
      </c>
      <c r="I23" s="9">
        <v>1</v>
      </c>
      <c r="L23" s="9" t="s">
        <v>45</v>
      </c>
      <c r="M23" s="14">
        <v>200</v>
      </c>
      <c r="N23" s="10">
        <v>47.12</v>
      </c>
      <c r="O23" s="10">
        <v>46.99</v>
      </c>
      <c r="P23" s="11">
        <f>Table2[[#This Row],[Sell price/share]]-Table2[[#This Row],[Buy price/share]]</f>
        <v>-0.12999999999999545</v>
      </c>
      <c r="Q23" s="12">
        <f>Table2[[#This Row],[Return/share]]*Table2[[#This Row],[Num Shares]]</f>
        <v>-25.999999999999091</v>
      </c>
      <c r="R23" s="10">
        <f>(1.17)</f>
        <v>1.17</v>
      </c>
      <c r="S23" s="13"/>
      <c r="T23" s="13"/>
      <c r="U23" s="8">
        <f>IF(Table2[[#This Row],[Return/share]]&gt;0, 1, 0)</f>
        <v>0</v>
      </c>
      <c r="V23" s="8">
        <f>IF(Table2[[#This Row],[Return/share]]&lt;=0,1,0)</f>
        <v>1</v>
      </c>
      <c r="W23" s="9" t="s">
        <v>38</v>
      </c>
      <c r="X23" s="9"/>
      <c r="Y23" s="9"/>
    </row>
    <row r="24" spans="1:25" ht="15.75" x14ac:dyDescent="0.25">
      <c r="A24" s="7"/>
      <c r="B24" s="7"/>
      <c r="C24" s="8"/>
      <c r="D24" s="8"/>
      <c r="E24" s="8"/>
      <c r="M24" s="14"/>
      <c r="N24" s="10"/>
      <c r="O24" s="10"/>
      <c r="P24" s="11"/>
      <c r="Q24" s="19">
        <f>SUM(Q18:Q23)</f>
        <v>39.500000000000767</v>
      </c>
      <c r="R24">
        <f>SUM(R18:R23)</f>
        <v>13.440000000000001</v>
      </c>
      <c r="S24" s="21" t="s">
        <v>69</v>
      </c>
      <c r="T24" s="13"/>
      <c r="U24" s="8"/>
      <c r="V24" s="8"/>
      <c r="X24" s="9"/>
      <c r="Y24" s="9"/>
    </row>
    <row r="25" spans="1:25" x14ac:dyDescent="0.25">
      <c r="A25" s="7">
        <v>42087</v>
      </c>
      <c r="B25" s="7"/>
      <c r="C25" s="8">
        <v>1</v>
      </c>
      <c r="D25" s="8">
        <v>1</v>
      </c>
      <c r="E25" s="8"/>
      <c r="L25" s="9" t="s">
        <v>46</v>
      </c>
      <c r="M25" s="14">
        <v>200</v>
      </c>
      <c r="N25" s="10">
        <v>15.46</v>
      </c>
      <c r="O25" s="10">
        <f>(15.49+15.72)/2</f>
        <v>15.605</v>
      </c>
      <c r="P25" s="11">
        <f>Table2[[#This Row],[Sell price/share]]-Table2[[#This Row],[Buy price/share]]</f>
        <v>0.14499999999999957</v>
      </c>
      <c r="Q25" s="12">
        <f>Table2[[#This Row],[Return/share]]*Table2[[#This Row],[Num Shares]]</f>
        <v>28.999999999999915</v>
      </c>
      <c r="R25" s="10">
        <f>(1+1.03*2)</f>
        <v>3.06</v>
      </c>
      <c r="S25" s="13"/>
      <c r="T25" s="13"/>
      <c r="U25" s="8">
        <f>IF(Table2[[#This Row],[Return/share]]&gt;0, 1, 0)</f>
        <v>1</v>
      </c>
      <c r="V25" s="8">
        <f>IF(Table2[[#This Row],[Return/share]]&lt;=0,1,0)</f>
        <v>0</v>
      </c>
      <c r="W25" s="9" t="s">
        <v>38</v>
      </c>
      <c r="X25" s="9"/>
      <c r="Y25" s="9"/>
    </row>
    <row r="26" spans="1:25" x14ac:dyDescent="0.25">
      <c r="A26" s="7">
        <v>42087</v>
      </c>
      <c r="B26" s="7"/>
      <c r="C26" s="8">
        <v>1</v>
      </c>
      <c r="D26" s="8"/>
      <c r="E26" s="8"/>
      <c r="F26" s="9">
        <v>1</v>
      </c>
      <c r="L26" s="9" t="s">
        <v>46</v>
      </c>
      <c r="M26" s="14">
        <v>200</v>
      </c>
      <c r="N26" s="10">
        <v>15.67</v>
      </c>
      <c r="O26" s="10">
        <f>(15.8+16.06)/2</f>
        <v>15.93</v>
      </c>
      <c r="P26" s="11">
        <f>Table2[[#This Row],[Sell price/share]]-Table2[[#This Row],[Buy price/share]]</f>
        <v>0.25999999999999979</v>
      </c>
      <c r="Q26" s="12">
        <f>Table2[[#This Row],[Return/share]]*Table2[[#This Row],[Num Shares]]</f>
        <v>51.999999999999957</v>
      </c>
      <c r="R26" s="10">
        <f>(1+1.03*2)</f>
        <v>3.06</v>
      </c>
      <c r="S26" s="13"/>
      <c r="T26" s="13"/>
      <c r="U26" s="8">
        <f>IF(Table2[[#This Row],[Return/share]]&gt;0, 1, 0)</f>
        <v>1</v>
      </c>
      <c r="V26" s="8">
        <f>IF(Table2[[#This Row],[Return/share]]&lt;=0,1,0)</f>
        <v>0</v>
      </c>
      <c r="W26" s="9" t="s">
        <v>38</v>
      </c>
      <c r="X26" s="9"/>
      <c r="Y26" s="9"/>
    </row>
    <row r="27" spans="1:25" x14ac:dyDescent="0.25">
      <c r="A27" s="7">
        <v>42087</v>
      </c>
      <c r="B27" s="7"/>
      <c r="C27" s="8"/>
      <c r="D27" s="8"/>
      <c r="E27" s="8"/>
      <c r="I27" s="9">
        <v>1</v>
      </c>
      <c r="J27" s="9">
        <v>1</v>
      </c>
      <c r="L27" s="9" t="s">
        <v>47</v>
      </c>
      <c r="M27" s="14">
        <v>200</v>
      </c>
      <c r="N27" s="10">
        <v>7.46</v>
      </c>
      <c r="O27" s="10">
        <f>(7.56+7.75)/2</f>
        <v>7.6549999999999994</v>
      </c>
      <c r="P27" s="11">
        <f>Table2[[#This Row],[Sell price/share]]-Table2[[#This Row],[Buy price/share]]</f>
        <v>0.1949999999999994</v>
      </c>
      <c r="Q27" s="12">
        <f>Table2[[#This Row],[Return/share]]*Table2[[#This Row],[Num Shares]]</f>
        <v>38.999999999999879</v>
      </c>
      <c r="R27" s="10">
        <f>(1+1.01*2)</f>
        <v>3.02</v>
      </c>
      <c r="S27" s="13"/>
      <c r="T27" s="13"/>
      <c r="U27" s="8">
        <f>IF(Table2[[#This Row],[Return/share]]&gt;0, 1, 0)</f>
        <v>1</v>
      </c>
      <c r="V27" s="8">
        <f>IF(Table2[[#This Row],[Return/share]]&lt;=0,1,0)</f>
        <v>0</v>
      </c>
      <c r="W27" s="9" t="s">
        <v>38</v>
      </c>
      <c r="X27" s="9"/>
      <c r="Y27" s="9"/>
    </row>
    <row r="28" spans="1:25" x14ac:dyDescent="0.25">
      <c r="A28" s="7">
        <v>42087</v>
      </c>
      <c r="B28" s="7"/>
      <c r="C28" s="8"/>
      <c r="D28" s="8"/>
      <c r="E28" s="8"/>
      <c r="G28" s="9">
        <v>1</v>
      </c>
      <c r="L28" s="9" t="s">
        <v>47</v>
      </c>
      <c r="M28" s="14">
        <v>200</v>
      </c>
      <c r="N28" s="10">
        <v>7.96</v>
      </c>
      <c r="O28" s="10">
        <v>7.75</v>
      </c>
      <c r="P28" s="11">
        <f>Table2[[#This Row],[Sell price/share]]-Table2[[#This Row],[Buy price/share]]</f>
        <v>-0.20999999999999996</v>
      </c>
      <c r="Q28" s="12">
        <f>Table2[[#This Row],[Return/share]]*Table2[[#This Row],[Num Shares]]</f>
        <v>-41.999999999999993</v>
      </c>
      <c r="R28" s="10">
        <f>(1+1.03)</f>
        <v>2.0300000000000002</v>
      </c>
      <c r="S28" s="13"/>
      <c r="T28" s="13"/>
      <c r="U28" s="8">
        <f>IF(Table2[[#This Row],[Return/share]]&gt;0, 1, 0)</f>
        <v>0</v>
      </c>
      <c r="V28" s="8">
        <f>IF(Table2[[#This Row],[Return/share]]&lt;=0,1,0)</f>
        <v>1</v>
      </c>
      <c r="W28" s="9" t="s">
        <v>38</v>
      </c>
      <c r="X28" s="9" t="s">
        <v>48</v>
      </c>
      <c r="Y28" s="9"/>
    </row>
    <row r="29" spans="1:25" x14ac:dyDescent="0.25">
      <c r="A29" s="7">
        <v>42087</v>
      </c>
      <c r="B29" s="7"/>
      <c r="C29" s="8"/>
      <c r="D29" s="8"/>
      <c r="E29" s="8"/>
      <c r="I29" s="9">
        <v>1</v>
      </c>
      <c r="J29" s="9">
        <v>1</v>
      </c>
      <c r="L29" s="9" t="s">
        <v>47</v>
      </c>
      <c r="M29" s="14">
        <v>200</v>
      </c>
      <c r="N29" s="10">
        <v>7.375</v>
      </c>
      <c r="O29" s="10">
        <f>(7.55+7.59)/2</f>
        <v>7.57</v>
      </c>
      <c r="P29" s="11">
        <f>Table2[[#This Row],[Sell price/share]]-Table2[[#This Row],[Buy price/share]]</f>
        <v>0.19500000000000028</v>
      </c>
      <c r="Q29" s="12">
        <f>Table2[[#This Row],[Return/share]]*Table2[[#This Row],[Num Shares]]</f>
        <v>39.000000000000057</v>
      </c>
      <c r="R29" s="10">
        <f>(1+1.01*2)</f>
        <v>3.02</v>
      </c>
      <c r="S29" s="13"/>
      <c r="T29" s="13"/>
      <c r="U29" s="8">
        <f>IF(Table2[[#This Row],[Return/share]]&gt;0, 1, 0)</f>
        <v>1</v>
      </c>
      <c r="V29" s="8">
        <f>IF(Table2[[#This Row],[Return/share]]&lt;=0,1,0)</f>
        <v>0</v>
      </c>
      <c r="W29" s="9" t="s">
        <v>38</v>
      </c>
      <c r="X29" s="9"/>
      <c r="Y29" s="9"/>
    </row>
    <row r="30" spans="1:25" ht="15.75" x14ac:dyDescent="0.25">
      <c r="A30" s="7"/>
      <c r="B30" s="7"/>
      <c r="C30" s="8"/>
      <c r="D30" s="8"/>
      <c r="E30" s="8"/>
      <c r="M30" s="14"/>
      <c r="N30" s="10"/>
      <c r="O30" s="10"/>
      <c r="P30" s="11"/>
      <c r="Q30" s="19">
        <f>SUM(Q25:Q29)</f>
        <v>116.9999999999998</v>
      </c>
      <c r="R30">
        <f>SUM(R25:R29)</f>
        <v>14.190000000000001</v>
      </c>
      <c r="S30" s="21" t="s">
        <v>70</v>
      </c>
      <c r="T30" s="13"/>
      <c r="U30" s="8"/>
      <c r="V30" s="8"/>
      <c r="X30" s="9"/>
      <c r="Y30" s="9"/>
    </row>
    <row r="31" spans="1:25" x14ac:dyDescent="0.25">
      <c r="A31" s="7">
        <v>42088</v>
      </c>
      <c r="B31" s="7"/>
      <c r="C31" s="8">
        <v>1</v>
      </c>
      <c r="D31" s="8">
        <v>1</v>
      </c>
      <c r="E31" s="8"/>
      <c r="L31" s="9" t="s">
        <v>49</v>
      </c>
      <c r="M31" s="14">
        <v>200</v>
      </c>
      <c r="N31" s="10">
        <v>43.76</v>
      </c>
      <c r="O31" s="10">
        <f>(43.86+44.11)/2</f>
        <v>43.984999999999999</v>
      </c>
      <c r="P31" s="11">
        <f>Table2[[#This Row],[Sell price/share]]-Table2[[#This Row],[Buy price/share]]</f>
        <v>0.22500000000000142</v>
      </c>
      <c r="Q31" s="12">
        <f>Table2[[#This Row],[Return/share]]*Table2[[#This Row],[Num Shares]]</f>
        <v>45.000000000000284</v>
      </c>
      <c r="R31" s="10">
        <f>1+1.08*2</f>
        <v>3.16</v>
      </c>
      <c r="S31" s="13"/>
      <c r="T31" s="13"/>
      <c r="U31" s="8">
        <f>IF(Table2[[#This Row],[Return/share]]&gt;0, 1, 0)</f>
        <v>1</v>
      </c>
      <c r="V31" s="8">
        <f>IF(Table2[[#This Row],[Return/share]]&lt;=0,1,0)</f>
        <v>0</v>
      </c>
      <c r="X31" s="9"/>
      <c r="Y31" s="9"/>
    </row>
    <row r="32" spans="1:25" x14ac:dyDescent="0.25">
      <c r="A32" s="7">
        <v>42088</v>
      </c>
      <c r="B32" s="7"/>
      <c r="C32" s="8">
        <v>1</v>
      </c>
      <c r="D32" s="8">
        <v>1</v>
      </c>
      <c r="E32" s="8"/>
      <c r="L32" s="9" t="s">
        <v>50</v>
      </c>
      <c r="M32" s="14">
        <v>200</v>
      </c>
      <c r="N32" s="10">
        <v>31.45</v>
      </c>
      <c r="O32" s="10">
        <v>31.5</v>
      </c>
      <c r="P32" s="11">
        <f>Table2[[#This Row],[Sell price/share]]-Table2[[#This Row],[Buy price/share]]</f>
        <v>5.0000000000000711E-2</v>
      </c>
      <c r="Q32" s="12">
        <f>Table2[[#This Row],[Return/share]]*Table2[[#This Row],[Num Shares]]</f>
        <v>10.000000000000142</v>
      </c>
      <c r="R32" s="10">
        <f>1+1.12</f>
        <v>2.12</v>
      </c>
      <c r="S32" s="13"/>
      <c r="T32" s="13"/>
      <c r="U32" s="8">
        <f>IF(Table2[[#This Row],[Return/share]]&gt;0, 1, 0)</f>
        <v>1</v>
      </c>
      <c r="V32" s="8">
        <f>IF(Table2[[#This Row],[Return/share]]&lt;=0,1,0)</f>
        <v>0</v>
      </c>
      <c r="W32" s="9" t="s">
        <v>38</v>
      </c>
      <c r="X32" s="9" t="s">
        <v>51</v>
      </c>
      <c r="Y32" s="9"/>
    </row>
    <row r="33" spans="1:25" x14ac:dyDescent="0.25">
      <c r="A33" s="7">
        <v>42088</v>
      </c>
      <c r="B33" s="7"/>
      <c r="C33" s="8">
        <v>1</v>
      </c>
      <c r="D33" s="8"/>
      <c r="E33" s="8"/>
      <c r="F33" s="9">
        <v>2</v>
      </c>
      <c r="G33" s="9">
        <v>1</v>
      </c>
      <c r="K33" s="9">
        <v>1</v>
      </c>
      <c r="L33" s="9" t="s">
        <v>50</v>
      </c>
      <c r="M33" s="14">
        <v>400</v>
      </c>
      <c r="N33" s="10">
        <f>(31.53+31.91)/2</f>
        <v>31.72</v>
      </c>
      <c r="O33" s="10">
        <f>(31.89+31.67)/2</f>
        <v>31.78</v>
      </c>
      <c r="P33" s="11">
        <f>Table2[[#This Row],[Sell price/share]]-Table2[[#This Row],[Buy price/share]]</f>
        <v>6.0000000000002274E-2</v>
      </c>
      <c r="Q33" s="12">
        <f>Table2[[#This Row],[Return/share]]*Table2[[#This Row],[Num Shares]]</f>
        <v>24.000000000000909</v>
      </c>
      <c r="R33" s="10">
        <f>1*2+1.12*2</f>
        <v>4.24</v>
      </c>
      <c r="S33" s="13"/>
      <c r="T33" s="13"/>
      <c r="U33" s="8">
        <f>IF(Table2[[#This Row],[Return/share]]&gt;0, 1, 0)</f>
        <v>1</v>
      </c>
      <c r="V33" s="8">
        <f>IF(Table2[[#This Row],[Return/share]]&lt;=0,1,0)</f>
        <v>0</v>
      </c>
      <c r="W33" s="9" t="s">
        <v>39</v>
      </c>
      <c r="X33" s="9" t="s">
        <v>52</v>
      </c>
      <c r="Y33" s="9"/>
    </row>
    <row r="34" spans="1:25" x14ac:dyDescent="0.25">
      <c r="A34" s="7">
        <v>42088</v>
      </c>
      <c r="B34" s="7"/>
      <c r="C34" s="8">
        <v>1</v>
      </c>
      <c r="D34" s="8"/>
      <c r="E34" s="8"/>
      <c r="G34" s="9">
        <v>1</v>
      </c>
      <c r="L34" s="9" t="s">
        <v>53</v>
      </c>
      <c r="M34" s="14">
        <v>200</v>
      </c>
      <c r="N34" s="10">
        <v>7.49</v>
      </c>
      <c r="O34" s="10">
        <v>7.51</v>
      </c>
      <c r="P34" s="11">
        <f>Table2[[#This Row],[Sell price/share]]-Table2[[#This Row],[Buy price/share]]</f>
        <v>1.9999999999999574E-2</v>
      </c>
      <c r="Q34" s="12">
        <f>Table2[[#This Row],[Return/share]]*Table2[[#This Row],[Num Shares]]</f>
        <v>3.9999999999999147</v>
      </c>
      <c r="R34" s="10">
        <f>1+1.03</f>
        <v>2.0300000000000002</v>
      </c>
      <c r="S34" s="13"/>
      <c r="T34" s="13"/>
      <c r="U34" s="8">
        <f>IF(Table2[[#This Row],[Return/share]]&gt;0, 1, 0)</f>
        <v>1</v>
      </c>
      <c r="V34" s="8">
        <f>IF(Table2[[#This Row],[Return/share]]&lt;=0,1,0)</f>
        <v>0</v>
      </c>
      <c r="W34" s="9" t="s">
        <v>38</v>
      </c>
      <c r="X34" s="9" t="s">
        <v>54</v>
      </c>
      <c r="Y34" s="9"/>
    </row>
    <row r="35" spans="1:25" ht="15.75" x14ac:dyDescent="0.25">
      <c r="A35" s="7"/>
      <c r="B35" s="7"/>
      <c r="C35" s="8"/>
      <c r="D35" s="8"/>
      <c r="E35" s="8"/>
      <c r="M35" s="14"/>
      <c r="N35" s="10"/>
      <c r="O35" s="10"/>
      <c r="P35" s="11"/>
      <c r="Q35" s="19">
        <f>SUM(Q31:Q34)</f>
        <v>83.000000000001251</v>
      </c>
      <c r="R35">
        <f>SUM(R31:R34)</f>
        <v>11.55</v>
      </c>
      <c r="S35" s="21" t="s">
        <v>86</v>
      </c>
      <c r="T35" s="13"/>
      <c r="U35" s="8"/>
      <c r="V35" s="8"/>
      <c r="X35" s="9"/>
      <c r="Y35" s="9"/>
    </row>
    <row r="36" spans="1:25" x14ac:dyDescent="0.25">
      <c r="A36" s="7">
        <v>42089</v>
      </c>
      <c r="B36" s="7"/>
      <c r="C36" s="8">
        <v>1</v>
      </c>
      <c r="D36" s="8"/>
      <c r="E36" s="8"/>
      <c r="F36" s="9">
        <v>1</v>
      </c>
      <c r="L36" s="9" t="s">
        <v>11</v>
      </c>
      <c r="M36" s="14">
        <v>200</v>
      </c>
      <c r="N36" s="10">
        <v>73.05</v>
      </c>
      <c r="O36" s="10">
        <v>73.400000000000006</v>
      </c>
      <c r="P36" s="11">
        <f>Table2[[#This Row],[Sell price/share]]-Table2[[#This Row],[Buy price/share]]</f>
        <v>0.35000000000000853</v>
      </c>
      <c r="Q36" s="12">
        <f>Table2[[#This Row],[Return/share]]*Table2[[#This Row],[Num Shares]]</f>
        <v>70.000000000001705</v>
      </c>
      <c r="R36" s="10">
        <f>1+1.27</f>
        <v>2.27</v>
      </c>
      <c r="S36" s="13"/>
      <c r="T36" s="13"/>
      <c r="U36" s="8">
        <f>IF(Table2[[#This Row],[Return/share]]&gt;0, 1, 0)</f>
        <v>1</v>
      </c>
      <c r="V36" s="8">
        <f>IF(Table2[[#This Row],[Return/share]]&lt;=0,1,0)</f>
        <v>0</v>
      </c>
      <c r="W36" s="9" t="s">
        <v>38</v>
      </c>
      <c r="X36" s="9"/>
      <c r="Y36" s="9"/>
    </row>
    <row r="37" spans="1:25" x14ac:dyDescent="0.25">
      <c r="A37" s="7">
        <v>42089</v>
      </c>
      <c r="B37" s="7"/>
      <c r="C37" s="8">
        <v>1</v>
      </c>
      <c r="D37" s="8"/>
      <c r="E37" s="8"/>
      <c r="G37" s="9">
        <v>1</v>
      </c>
      <c r="K37" s="9">
        <v>1</v>
      </c>
      <c r="L37" s="9" t="s">
        <v>11</v>
      </c>
      <c r="M37" s="14">
        <v>600</v>
      </c>
      <c r="N37" s="10">
        <f>(73.97+73.575+73.55)/3</f>
        <v>73.698333333333338</v>
      </c>
      <c r="O37" s="10">
        <f>(73.7+73.62+73.74)/3</f>
        <v>73.686666666666667</v>
      </c>
      <c r="P37" s="11">
        <f>Table2[[#This Row],[Sell price/share]]-Table2[[#This Row],[Buy price/share]]</f>
        <v>-1.1666666666670267E-2</v>
      </c>
      <c r="Q37" s="12">
        <f>Table2[[#This Row],[Return/share]]*Table2[[#This Row],[Num Shares]]</f>
        <v>-7.00000000000216</v>
      </c>
      <c r="R37" s="10">
        <f>1*3+1.27*3</f>
        <v>6.8100000000000005</v>
      </c>
      <c r="S37" s="13"/>
      <c r="T37" s="13"/>
      <c r="U37" s="8">
        <f>IF(Table2[[#This Row],[Return/share]]&gt;0, 1, 0)</f>
        <v>0</v>
      </c>
      <c r="V37" s="8">
        <f>IF(Table2[[#This Row],[Return/share]]&lt;=0,1,0)</f>
        <v>1</v>
      </c>
      <c r="W37" s="9" t="s">
        <v>39</v>
      </c>
      <c r="X37" s="9" t="s">
        <v>55</v>
      </c>
      <c r="Y37" s="9"/>
    </row>
    <row r="38" spans="1:25" x14ac:dyDescent="0.25">
      <c r="A38" s="7">
        <v>42089</v>
      </c>
      <c r="B38" s="7"/>
      <c r="C38" s="8">
        <v>1</v>
      </c>
      <c r="D38" s="8"/>
      <c r="E38" s="8"/>
      <c r="G38" s="9">
        <v>1</v>
      </c>
      <c r="L38" s="9" t="s">
        <v>13</v>
      </c>
      <c r="M38" s="14">
        <v>200</v>
      </c>
      <c r="N38" s="10">
        <v>36.25</v>
      </c>
      <c r="O38" s="10">
        <f>(36.34+36.07)/2</f>
        <v>36.204999999999998</v>
      </c>
      <c r="P38" s="11">
        <f>Table2[[#This Row],[Sell price/share]]-Table2[[#This Row],[Buy price/share]]</f>
        <v>-4.5000000000001705E-2</v>
      </c>
      <c r="Q38" s="12">
        <f>Table2[[#This Row],[Return/share]]*Table2[[#This Row],[Num Shares]]</f>
        <v>-9.0000000000003411</v>
      </c>
      <c r="R38" s="10">
        <f>(1+1.07*2)</f>
        <v>3.14</v>
      </c>
      <c r="S38" s="13"/>
      <c r="T38" s="13"/>
      <c r="U38" s="8">
        <f>IF(Table2[[#This Row],[Return/share]]&gt;0, 1, 0)</f>
        <v>0</v>
      </c>
      <c r="V38" s="8">
        <f>IF(Table2[[#This Row],[Return/share]]&lt;=0,1,0)</f>
        <v>1</v>
      </c>
      <c r="X38" s="9"/>
      <c r="Y38" s="9"/>
    </row>
    <row r="39" spans="1:25" x14ac:dyDescent="0.25">
      <c r="A39" s="7">
        <v>42089</v>
      </c>
      <c r="B39" s="7"/>
      <c r="C39" s="8"/>
      <c r="D39" s="8"/>
      <c r="E39" s="8"/>
      <c r="I39" s="9">
        <v>1</v>
      </c>
      <c r="J39" s="9">
        <v>1</v>
      </c>
      <c r="L39" s="9" t="s">
        <v>10</v>
      </c>
      <c r="M39" s="14">
        <v>200</v>
      </c>
      <c r="N39" s="10">
        <v>33.049999999999997</v>
      </c>
      <c r="O39" s="10">
        <v>33.14</v>
      </c>
      <c r="P39" s="11">
        <f>Table2[[#This Row],[Sell price/share]]-Table2[[#This Row],[Buy price/share]]</f>
        <v>9.0000000000003411E-2</v>
      </c>
      <c r="Q39" s="12">
        <f>Table2[[#This Row],[Return/share]]*Table2[[#This Row],[Num Shares]]</f>
        <v>18.000000000000682</v>
      </c>
      <c r="R39" s="10">
        <f>1+1.12</f>
        <v>2.12</v>
      </c>
      <c r="S39" s="13"/>
      <c r="T39" s="13"/>
      <c r="U39" s="8">
        <f>IF(Table2[[#This Row],[Return/share]]&gt;0, 1, 0)</f>
        <v>1</v>
      </c>
      <c r="V39" s="8">
        <f>IF(Table2[[#This Row],[Return/share]]&lt;=0,1,0)</f>
        <v>0</v>
      </c>
      <c r="X39" s="9"/>
      <c r="Y39" s="9"/>
    </row>
    <row r="40" spans="1:25" x14ac:dyDescent="0.25">
      <c r="A40" s="7">
        <v>42089</v>
      </c>
      <c r="B40" s="7"/>
      <c r="C40" s="8">
        <v>1</v>
      </c>
      <c r="D40" s="8"/>
      <c r="E40" s="8"/>
      <c r="J40" s="9">
        <v>1</v>
      </c>
      <c r="L40" s="9" t="s">
        <v>11</v>
      </c>
      <c r="M40" s="14">
        <v>200</v>
      </c>
      <c r="N40" s="10">
        <v>73.849999999999994</v>
      </c>
      <c r="O40" s="10">
        <f>(73.98+73.88)/2</f>
        <v>73.930000000000007</v>
      </c>
      <c r="P40" s="11">
        <f>Table2[[#This Row],[Sell price/share]]-Table2[[#This Row],[Buy price/share]]</f>
        <v>8.0000000000012506E-2</v>
      </c>
      <c r="Q40" s="12">
        <f>Table2[[#This Row],[Return/share]]*Table2[[#This Row],[Num Shares]]</f>
        <v>16.000000000002501</v>
      </c>
      <c r="R40" s="10">
        <f>1+1.14*2</f>
        <v>3.28</v>
      </c>
      <c r="S40" s="13"/>
      <c r="T40" s="13"/>
      <c r="U40" s="8">
        <f>IF(Table2[[#This Row],[Return/share]]&gt;0, 1, 0)</f>
        <v>1</v>
      </c>
      <c r="V40" s="8">
        <f>IF(Table2[[#This Row],[Return/share]]&lt;=0,1,0)</f>
        <v>0</v>
      </c>
      <c r="X40" s="9"/>
      <c r="Y40" s="9"/>
    </row>
    <row r="41" spans="1:25" x14ac:dyDescent="0.25">
      <c r="A41" s="7">
        <v>42089</v>
      </c>
      <c r="B41" s="7"/>
      <c r="C41" s="8">
        <v>1</v>
      </c>
      <c r="D41" s="8"/>
      <c r="E41" s="8"/>
      <c r="J41" s="9">
        <v>1</v>
      </c>
      <c r="L41" s="9" t="s">
        <v>11</v>
      </c>
      <c r="M41" s="14">
        <v>200</v>
      </c>
      <c r="N41" s="10">
        <v>74.069999999999993</v>
      </c>
      <c r="O41" s="10">
        <v>74</v>
      </c>
      <c r="P41" s="11">
        <f>Table2[[#This Row],[Sell price/share]]-Table2[[#This Row],[Buy price/share]]</f>
        <v>-6.9999999999993179E-2</v>
      </c>
      <c r="Q41" s="12">
        <f>Table2[[#This Row],[Return/share]]*Table2[[#This Row],[Num Shares]]</f>
        <v>-13.999999999998636</v>
      </c>
      <c r="R41" s="10">
        <f>1+1.27</f>
        <v>2.27</v>
      </c>
      <c r="S41" s="13"/>
      <c r="T41" s="13"/>
      <c r="U41" s="8">
        <f>IF(Table2[[#This Row],[Return/share]]&gt;0, 1, 0)</f>
        <v>0</v>
      </c>
      <c r="V41" s="8">
        <f>IF(Table2[[#This Row],[Return/share]]&lt;=0,1,0)</f>
        <v>1</v>
      </c>
      <c r="X41" s="9"/>
      <c r="Y41" s="9"/>
    </row>
    <row r="42" spans="1:25" x14ac:dyDescent="0.25">
      <c r="A42" s="7">
        <v>42089</v>
      </c>
      <c r="B42" s="7"/>
      <c r="C42" s="8">
        <v>1</v>
      </c>
      <c r="D42" s="8"/>
      <c r="E42" s="8"/>
      <c r="G42" s="9">
        <v>1</v>
      </c>
      <c r="J42" s="9">
        <v>1</v>
      </c>
      <c r="L42" s="9" t="s">
        <v>11</v>
      </c>
      <c r="M42" s="14">
        <v>200</v>
      </c>
      <c r="N42" s="10">
        <v>74.25</v>
      </c>
      <c r="O42" s="10">
        <f>(74.32+74.29)/2</f>
        <v>74.305000000000007</v>
      </c>
      <c r="P42" s="11">
        <f>Table2[[#This Row],[Sell price/share]]-Table2[[#This Row],[Buy price/share]]</f>
        <v>5.5000000000006821E-2</v>
      </c>
      <c r="Q42" s="12">
        <f>Table2[[#This Row],[Return/share]]*Table2[[#This Row],[Num Shares]]</f>
        <v>11.000000000001364</v>
      </c>
      <c r="R42" s="10">
        <f>1+1.14*2</f>
        <v>3.28</v>
      </c>
      <c r="S42" s="13"/>
      <c r="T42" s="13"/>
      <c r="U42" s="8">
        <f>IF(Table2[[#This Row],[Return/share]]&gt;0, 1, 0)</f>
        <v>1</v>
      </c>
      <c r="V42" s="8">
        <f>IF(Table2[[#This Row],[Return/share]]&lt;=0,1,0)</f>
        <v>0</v>
      </c>
      <c r="X42" s="9"/>
      <c r="Y42" s="9"/>
    </row>
    <row r="43" spans="1:25" x14ac:dyDescent="0.25">
      <c r="A43" s="7">
        <v>42089</v>
      </c>
      <c r="B43" s="7"/>
      <c r="C43" s="8"/>
      <c r="D43" s="8"/>
      <c r="E43" s="8"/>
      <c r="H43" s="9">
        <v>1</v>
      </c>
      <c r="I43" s="9">
        <v>1</v>
      </c>
      <c r="L43" s="9" t="s">
        <v>10</v>
      </c>
      <c r="M43" s="14">
        <v>100</v>
      </c>
      <c r="N43" s="10">
        <v>34.1</v>
      </c>
      <c r="O43" s="10">
        <v>34.36</v>
      </c>
      <c r="P43" s="11">
        <f>Table2[[#This Row],[Sell price/share]]-Table2[[#This Row],[Buy price/share]]</f>
        <v>0.25999999999999801</v>
      </c>
      <c r="Q43" s="12">
        <f>Table2[[#This Row],[Return/share]]*Table2[[#This Row],[Num Shares]]</f>
        <v>25.999999999999801</v>
      </c>
      <c r="R43" s="10">
        <f>1+1.06</f>
        <v>2.06</v>
      </c>
      <c r="S43" s="13"/>
      <c r="T43" s="13"/>
      <c r="U43" s="8">
        <f>IF(Table2[[#This Row],[Return/share]]&gt;0, 1, 0)</f>
        <v>1</v>
      </c>
      <c r="V43" s="8">
        <f>IF(Table2[[#This Row],[Return/share]]&lt;=0,1,0)</f>
        <v>0</v>
      </c>
      <c r="X43" s="9"/>
      <c r="Y43" s="9"/>
    </row>
    <row r="44" spans="1:25" x14ac:dyDescent="0.25">
      <c r="A44" s="7">
        <v>42089</v>
      </c>
      <c r="B44" s="7"/>
      <c r="C44" s="8"/>
      <c r="D44" s="8"/>
      <c r="E44" s="8"/>
      <c r="G44" s="9">
        <v>1</v>
      </c>
      <c r="I44" s="9">
        <v>1</v>
      </c>
      <c r="K44" s="9">
        <v>1</v>
      </c>
      <c r="L44" s="9" t="s">
        <v>9</v>
      </c>
      <c r="M44" s="14">
        <v>200</v>
      </c>
      <c r="N44" s="10">
        <f>(61.97+61.51)/2</f>
        <v>61.739999999999995</v>
      </c>
      <c r="O44" s="10">
        <f>(61.87+61.8)/2</f>
        <v>61.834999999999994</v>
      </c>
      <c r="P44" s="11">
        <f>Table2[[#This Row],[Sell price/share]]-Table2[[#This Row],[Buy price/share]]</f>
        <v>9.4999999999998863E-2</v>
      </c>
      <c r="Q44" s="12">
        <f>Table2[[#This Row],[Return/share]]*Table2[[#This Row],[Num Shares]]</f>
        <v>18.999999999999773</v>
      </c>
      <c r="R44" s="10">
        <f>(1*2+1.11*2)</f>
        <v>4.2200000000000006</v>
      </c>
      <c r="S44" s="13"/>
      <c r="T44" s="13"/>
      <c r="U44" s="8">
        <f>IF(Table2[[#This Row],[Return/share]]&gt;0, 1, 0)</f>
        <v>1</v>
      </c>
      <c r="V44" s="8">
        <f>IF(Table2[[#This Row],[Return/share]]&lt;=0,1,0)</f>
        <v>0</v>
      </c>
      <c r="X44" s="9"/>
      <c r="Y44" s="9"/>
    </row>
    <row r="45" spans="1:25" x14ac:dyDescent="0.25">
      <c r="A45" s="7">
        <v>42089</v>
      </c>
      <c r="B45" s="7"/>
      <c r="C45" s="8"/>
      <c r="D45" s="8"/>
      <c r="E45" s="8"/>
      <c r="G45" s="9">
        <v>1</v>
      </c>
      <c r="I45" s="9">
        <v>1</v>
      </c>
      <c r="K45" s="9">
        <v>1</v>
      </c>
      <c r="L45" s="9" t="s">
        <v>9</v>
      </c>
      <c r="M45" s="14">
        <v>50</v>
      </c>
      <c r="N45" s="10">
        <v>62.15</v>
      </c>
      <c r="O45" s="10">
        <v>61.09</v>
      </c>
      <c r="P45" s="11">
        <f>Table2[[#This Row],[Sell price/share]]-Table2[[#This Row],[Buy price/share]]</f>
        <v>-1.0599999999999952</v>
      </c>
      <c r="Q45" s="12">
        <f>Table2[[#This Row],[Return/share]]*Table2[[#This Row],[Num Shares]]</f>
        <v>-52.999999999999758</v>
      </c>
      <c r="R45" s="10">
        <f>1+1.06</f>
        <v>2.06</v>
      </c>
      <c r="S45" s="13"/>
      <c r="T45" s="13"/>
      <c r="U45" s="8">
        <f>IF(Table2[[#This Row],[Return/share]]&gt;0, 1, 0)</f>
        <v>0</v>
      </c>
      <c r="V45" s="8">
        <f>IF(Table2[[#This Row],[Return/share]]&lt;=0,1,0)</f>
        <v>1</v>
      </c>
      <c r="X45" s="9" t="s">
        <v>56</v>
      </c>
      <c r="Y45" s="9"/>
    </row>
    <row r="46" spans="1:25" x14ac:dyDescent="0.25">
      <c r="A46" s="7">
        <v>42089</v>
      </c>
      <c r="B46" s="7"/>
      <c r="C46" s="8"/>
      <c r="D46" s="8"/>
      <c r="E46" s="8"/>
      <c r="I46" s="9">
        <v>1</v>
      </c>
      <c r="L46" s="9" t="s">
        <v>9</v>
      </c>
      <c r="M46" s="14">
        <v>50</v>
      </c>
      <c r="N46" s="10">
        <v>61.45</v>
      </c>
      <c r="O46" s="10">
        <v>61.82</v>
      </c>
      <c r="P46" s="11">
        <f>Table2[[#This Row],[Sell price/share]]-Table2[[#This Row],[Buy price/share]]</f>
        <v>0.36999999999999744</v>
      </c>
      <c r="Q46" s="12">
        <f>Table2[[#This Row],[Return/share]]*Table2[[#This Row],[Num Shares]]</f>
        <v>18.499999999999872</v>
      </c>
      <c r="R46" s="10">
        <f>1+1.06</f>
        <v>2.06</v>
      </c>
      <c r="S46" s="13"/>
      <c r="T46" s="13"/>
      <c r="U46" s="8">
        <f>IF(Table2[[#This Row],[Return/share]]&gt;0, 1, 0)</f>
        <v>1</v>
      </c>
      <c r="V46" s="8">
        <f>IF(Table2[[#This Row],[Return/share]]&lt;=0,1,0)</f>
        <v>0</v>
      </c>
      <c r="X46" s="9"/>
      <c r="Y46" s="9"/>
    </row>
    <row r="47" spans="1:25" ht="15.75" x14ac:dyDescent="0.25">
      <c r="A47" s="7"/>
      <c r="B47" s="7"/>
      <c r="C47" s="8"/>
      <c r="D47" s="8"/>
      <c r="E47" s="8"/>
      <c r="M47" s="14"/>
      <c r="N47" s="10"/>
      <c r="O47" s="10"/>
      <c r="P47" s="11"/>
      <c r="Q47" s="19">
        <f>SUM(Q36:Q46)</f>
        <v>95.500000000004803</v>
      </c>
      <c r="R47">
        <f>SUM(R36:R46)</f>
        <v>33.57</v>
      </c>
      <c r="S47" s="22" t="s">
        <v>87</v>
      </c>
      <c r="T47" s="13"/>
      <c r="U47" s="8"/>
      <c r="V47" s="8"/>
      <c r="X47" s="9"/>
      <c r="Y47" s="9"/>
    </row>
    <row r="48" spans="1:25" x14ac:dyDescent="0.25">
      <c r="A48" s="7">
        <v>42090</v>
      </c>
      <c r="B48" s="7"/>
      <c r="C48" s="8">
        <v>1</v>
      </c>
      <c r="D48" s="8"/>
      <c r="E48" s="8">
        <v>1</v>
      </c>
      <c r="L48" s="9" t="s">
        <v>57</v>
      </c>
      <c r="M48" s="14">
        <v>200</v>
      </c>
      <c r="N48" s="10">
        <v>19.46</v>
      </c>
      <c r="O48" s="10">
        <v>19.670000000000002</v>
      </c>
      <c r="P48" s="11">
        <f>Table2[[#This Row],[Sell price/share]]-Table2[[#This Row],[Buy price/share]]</f>
        <v>0.21000000000000085</v>
      </c>
      <c r="Q48" s="12">
        <f>Table2[[#This Row],[Return/share]]*Table2[[#This Row],[Num Shares]]</f>
        <v>42.000000000000171</v>
      </c>
      <c r="R48" s="10">
        <f>(1+1.04+1.02*2)</f>
        <v>4.08</v>
      </c>
      <c r="S48" s="13"/>
      <c r="T48" s="13"/>
      <c r="U48" s="8">
        <f>IF(Table2[[#This Row],[Return/share]]&gt;0, 1, 0)</f>
        <v>1</v>
      </c>
      <c r="V48" s="8">
        <f>IF(Table2[[#This Row],[Return/share]]&lt;=0,1,0)</f>
        <v>0</v>
      </c>
      <c r="X48" s="9"/>
      <c r="Y48" s="9"/>
    </row>
    <row r="49" spans="1:25" x14ac:dyDescent="0.25">
      <c r="A49" s="7">
        <v>42090</v>
      </c>
      <c r="B49" s="7"/>
      <c r="C49" s="8">
        <v>1</v>
      </c>
      <c r="D49" s="8"/>
      <c r="E49" s="8"/>
      <c r="L49" s="9" t="s">
        <v>58</v>
      </c>
      <c r="M49" s="14">
        <v>100</v>
      </c>
      <c r="N49" s="10">
        <v>9.67</v>
      </c>
      <c r="O49" s="10">
        <v>9.64</v>
      </c>
      <c r="P49" s="11">
        <f>Table2[[#This Row],[Sell price/share]]-Table2[[#This Row],[Buy price/share]]</f>
        <v>-2.9999999999999361E-2</v>
      </c>
      <c r="Q49" s="12">
        <f>Table2[[#This Row],[Return/share]]*Table2[[#This Row],[Num Shares]]</f>
        <v>-2.9999999999999361</v>
      </c>
      <c r="R49" s="10">
        <f>1+1.02</f>
        <v>2.02</v>
      </c>
      <c r="S49" s="13"/>
      <c r="T49" s="13"/>
      <c r="U49" s="8">
        <f>IF(Table2[[#This Row],[Return/share]]&gt;0, 1, 0)</f>
        <v>0</v>
      </c>
      <c r="V49" s="8">
        <f>IF(Table2[[#This Row],[Return/share]]&lt;=0,1,0)</f>
        <v>1</v>
      </c>
      <c r="X49" s="9" t="s">
        <v>59</v>
      </c>
      <c r="Y49" s="9"/>
    </row>
    <row r="50" spans="1:25" x14ac:dyDescent="0.25">
      <c r="A50" s="7">
        <v>42090</v>
      </c>
      <c r="B50" s="7"/>
      <c r="C50" s="8">
        <v>1</v>
      </c>
      <c r="D50" s="8"/>
      <c r="E50" s="8"/>
      <c r="G50" s="9">
        <v>1</v>
      </c>
      <c r="L50" s="9" t="s">
        <v>57</v>
      </c>
      <c r="M50" s="14">
        <v>100</v>
      </c>
      <c r="N50" s="10">
        <v>19.72</v>
      </c>
      <c r="O50" s="10">
        <v>19.78</v>
      </c>
      <c r="P50" s="11">
        <f>Table2[[#This Row],[Sell price/share]]-Table2[[#This Row],[Buy price/share]]</f>
        <v>6.0000000000002274E-2</v>
      </c>
      <c r="Q50" s="12">
        <f>Table2[[#This Row],[Return/share]]*Table2[[#This Row],[Num Shares]]</f>
        <v>6.0000000000002274</v>
      </c>
      <c r="R50" s="10">
        <f>(1+1.04)</f>
        <v>2.04</v>
      </c>
      <c r="S50" s="13"/>
      <c r="T50" s="13"/>
      <c r="U50" s="8">
        <f>IF(Table2[[#This Row],[Return/share]]&gt;0, 1, 0)</f>
        <v>1</v>
      </c>
      <c r="V50" s="8">
        <f>IF(Table2[[#This Row],[Return/share]]&lt;=0,1,0)</f>
        <v>0</v>
      </c>
      <c r="X50" s="9"/>
      <c r="Y50" s="9"/>
    </row>
    <row r="51" spans="1:25" x14ac:dyDescent="0.25">
      <c r="A51" s="7">
        <v>42090</v>
      </c>
      <c r="B51" s="7"/>
      <c r="C51" s="8">
        <v>1</v>
      </c>
      <c r="D51" s="8"/>
      <c r="E51" s="8"/>
      <c r="G51" s="9">
        <v>1</v>
      </c>
      <c r="L51" s="9" t="s">
        <v>57</v>
      </c>
      <c r="M51" s="14">
        <v>100</v>
      </c>
      <c r="N51" s="10">
        <v>19.86</v>
      </c>
      <c r="O51" s="10">
        <v>19.88</v>
      </c>
      <c r="P51" s="11">
        <f>Table2[[#This Row],[Sell price/share]]-Table2[[#This Row],[Buy price/share]]</f>
        <v>1.9999999999999574E-2</v>
      </c>
      <c r="Q51" s="12">
        <f>Table2[[#This Row],[Return/share]]*Table2[[#This Row],[Num Shares]]</f>
        <v>1.9999999999999574</v>
      </c>
      <c r="R51" s="10">
        <f>1+1.04</f>
        <v>2.04</v>
      </c>
      <c r="S51" s="13"/>
      <c r="T51" s="13"/>
      <c r="U51" s="8">
        <f>IF(Table2[[#This Row],[Return/share]]&gt;0, 1, 0)</f>
        <v>1</v>
      </c>
      <c r="V51" s="8">
        <f>IF(Table2[[#This Row],[Return/share]]&lt;=0,1,0)</f>
        <v>0</v>
      </c>
      <c r="X51" s="9"/>
    </row>
    <row r="52" spans="1:25" ht="15.75" x14ac:dyDescent="0.25">
      <c r="A52" s="7"/>
      <c r="B52" s="7"/>
      <c r="C52" s="8"/>
      <c r="D52" s="8"/>
      <c r="E52" s="8"/>
      <c r="M52" s="14"/>
      <c r="N52" s="10"/>
      <c r="O52" s="10"/>
      <c r="P52" s="11"/>
      <c r="Q52" s="19">
        <f>SUM(Q48:Q51)</f>
        <v>47.000000000000419</v>
      </c>
      <c r="R52">
        <f>SUM(R48:R51)</f>
        <v>10.18</v>
      </c>
      <c r="S52" s="21" t="s">
        <v>88</v>
      </c>
      <c r="T52" s="13"/>
      <c r="U52" s="8"/>
      <c r="V52" s="8"/>
    </row>
    <row r="53" spans="1:25" x14ac:dyDescent="0.25">
      <c r="A53" s="7">
        <v>42093.271192129629</v>
      </c>
      <c r="B53" s="7">
        <v>42093.271284722221</v>
      </c>
      <c r="C53" s="8"/>
      <c r="D53" s="8"/>
      <c r="E53" s="8"/>
      <c r="L53" s="15" t="s">
        <v>68</v>
      </c>
      <c r="M53" s="14">
        <v>200</v>
      </c>
      <c r="N53" s="10">
        <v>13.470000267028809</v>
      </c>
      <c r="O53" s="10">
        <v>13.340000152587891</v>
      </c>
      <c r="P53" s="11">
        <f>Table2[[#This Row],[Sell price/share]]-Table2[[#This Row],[Buy price/share]]</f>
        <v>-0.13000011444091797</v>
      </c>
      <c r="Q53" s="12">
        <f>Table2[[#This Row],[Return/share]]*Table2[[#This Row],[Num Shares]]</f>
        <v>-26.000022888183594</v>
      </c>
      <c r="R53" s="10">
        <v>2.0499999523162842</v>
      </c>
      <c r="S53" s="13"/>
      <c r="T53" s="13"/>
      <c r="U53" s="8">
        <f>IF(Table2[[#This Row],[Return/share]]&gt;0, 1, 0)</f>
        <v>0</v>
      </c>
      <c r="V53" s="8">
        <f>IF(Table2[[#This Row],[Return/share]]&lt;=0,1,0)</f>
        <v>1</v>
      </c>
    </row>
    <row r="54" spans="1:25" x14ac:dyDescent="0.25">
      <c r="A54" s="7">
        <v>42093.274525462963</v>
      </c>
      <c r="B54" s="7">
        <v>42093.27484953704</v>
      </c>
      <c r="C54" s="8"/>
      <c r="D54" s="8"/>
      <c r="E54" s="8"/>
      <c r="L54" s="15" t="s">
        <v>68</v>
      </c>
      <c r="M54" s="14">
        <v>200</v>
      </c>
      <c r="N54" s="10">
        <v>12.939999580383301</v>
      </c>
      <c r="O54" s="10">
        <v>12.819999694824219</v>
      </c>
      <c r="P54" s="11">
        <f>Table2[[#This Row],[Sell price/share]]-Table2[[#This Row],[Buy price/share]]</f>
        <v>-0.11999988555908203</v>
      </c>
      <c r="Q54" s="12">
        <f>Table2[[#This Row],[Return/share]]*Table2[[#This Row],[Num Shares]]</f>
        <v>-23.999977111816406</v>
      </c>
      <c r="R54" s="10">
        <v>2.0499999523162842</v>
      </c>
      <c r="S54" s="13"/>
      <c r="T54" s="13"/>
      <c r="U54" s="8">
        <f>IF(Table2[[#This Row],[Return/share]]&gt;0, 1, 0)</f>
        <v>0</v>
      </c>
      <c r="V54" s="8">
        <f>IF(Table2[[#This Row],[Return/share]]&lt;=0,1,0)</f>
        <v>1</v>
      </c>
    </row>
    <row r="55" spans="1:25" x14ac:dyDescent="0.25">
      <c r="A55" s="7">
        <v>42093.27747685185</v>
      </c>
      <c r="B55" s="7">
        <v>42093.280162037037</v>
      </c>
      <c r="C55" s="8"/>
      <c r="D55" s="8"/>
      <c r="E55" s="8"/>
      <c r="L55" s="15" t="s">
        <v>67</v>
      </c>
      <c r="M55" s="14">
        <v>400</v>
      </c>
      <c r="N55" s="10">
        <v>25.104999542236328</v>
      </c>
      <c r="O55" s="10">
        <v>24.959999084472656</v>
      </c>
      <c r="P55" s="11">
        <f>Table2[[#This Row],[Sell price/share]]-Table2[[#This Row],[Buy price/share]]</f>
        <v>-0.14500045776367188</v>
      </c>
      <c r="Q55" s="12">
        <f>Table2[[#This Row],[Return/share]]*Table2[[#This Row],[Num Shares]]</f>
        <v>-58.00018310546875</v>
      </c>
      <c r="R55" s="10">
        <v>4.1800003051757812</v>
      </c>
      <c r="S55" s="13"/>
      <c r="T55" s="13"/>
      <c r="U55" s="8">
        <f>IF(Table2[[#This Row],[Return/share]]&gt;0, 1, 0)</f>
        <v>0</v>
      </c>
      <c r="V55" s="8">
        <f>IF(Table2[[#This Row],[Return/share]]&lt;=0,1,0)</f>
        <v>1</v>
      </c>
    </row>
    <row r="56" spans="1:25" x14ac:dyDescent="0.25">
      <c r="A56" s="7">
        <v>42093.301712962966</v>
      </c>
      <c r="B56" s="7">
        <v>42093.310798611114</v>
      </c>
      <c r="C56" s="8"/>
      <c r="D56" s="8"/>
      <c r="E56" s="8"/>
      <c r="L56" s="15" t="s">
        <v>66</v>
      </c>
      <c r="M56" s="14">
        <v>500</v>
      </c>
      <c r="N56" s="10">
        <v>4.4520001411437988</v>
      </c>
      <c r="O56" s="10">
        <v>4.4000000953674316</v>
      </c>
      <c r="P56" s="11">
        <f>Table2[[#This Row],[Sell price/share]]-Table2[[#This Row],[Buy price/share]]</f>
        <v>-5.2000045776367188E-2</v>
      </c>
      <c r="Q56" s="12">
        <f>Table2[[#This Row],[Return/share]]*Table2[[#This Row],[Num Shares]]</f>
        <v>-26.000022888183594</v>
      </c>
      <c r="R56" s="10">
        <v>5.5399999618530273</v>
      </c>
      <c r="S56" s="13"/>
      <c r="T56" s="13"/>
      <c r="U56" s="8">
        <f>IF(Table2[[#This Row],[Return/share]]&gt;0, 1, 0)</f>
        <v>0</v>
      </c>
      <c r="V56" s="8">
        <f>IF(Table2[[#This Row],[Return/share]]&lt;=0,1,0)</f>
        <v>1</v>
      </c>
    </row>
    <row r="57" spans="1:25" x14ac:dyDescent="0.25">
      <c r="A57" s="7">
        <v>42093.317511574074</v>
      </c>
      <c r="B57" s="7">
        <v>42093.320231481484</v>
      </c>
      <c r="C57" s="8"/>
      <c r="D57" s="8"/>
      <c r="E57" s="8"/>
      <c r="L57" s="15" t="s">
        <v>66</v>
      </c>
      <c r="M57" s="14">
        <v>200</v>
      </c>
      <c r="N57" s="10">
        <v>4.570000171661377</v>
      </c>
      <c r="O57" s="10">
        <v>4.4800000190734863</v>
      </c>
      <c r="P57" s="11">
        <f>Table2[[#This Row],[Sell price/share]]-Table2[[#This Row],[Buy price/share]]</f>
        <v>-9.0000152587890625E-2</v>
      </c>
      <c r="Q57" s="12">
        <f>Table2[[#This Row],[Return/share]]*Table2[[#This Row],[Num Shares]]</f>
        <v>-18.000030517578125</v>
      </c>
      <c r="R57" s="10">
        <v>2.0199999809265137</v>
      </c>
      <c r="S57" s="13"/>
      <c r="T57" s="13"/>
      <c r="U57" s="8">
        <f>IF(Table2[[#This Row],[Return/share]]&gt;0, 1, 0)</f>
        <v>0</v>
      </c>
      <c r="V57" s="8">
        <f>IF(Table2[[#This Row],[Return/share]]&lt;=0,1,0)</f>
        <v>1</v>
      </c>
    </row>
    <row r="58" spans="1:25" ht="15.75" x14ac:dyDescent="0.25">
      <c r="A58" s="7"/>
      <c r="B58" s="7"/>
      <c r="C58" s="8"/>
      <c r="D58" s="8"/>
      <c r="E58" s="8"/>
      <c r="L58" s="15"/>
      <c r="M58" s="14"/>
      <c r="N58" s="10"/>
      <c r="O58" s="10"/>
      <c r="P58" s="11"/>
      <c r="Q58" s="19">
        <f>SUM(Q53:Q57)</f>
        <v>-152.00023651123047</v>
      </c>
      <c r="R58">
        <f>SUM(R53:R57)</f>
        <v>15.840000152587891</v>
      </c>
      <c r="S58" s="20" t="s">
        <v>69</v>
      </c>
      <c r="T58" s="13"/>
      <c r="U58" s="8"/>
      <c r="V58" s="8"/>
    </row>
    <row r="59" spans="1:25" x14ac:dyDescent="0.25">
      <c r="A59" s="7">
        <v>42094.271666666667</v>
      </c>
      <c r="B59" s="7">
        <v>42094.27238425926</v>
      </c>
      <c r="C59" s="8"/>
      <c r="D59" s="8"/>
      <c r="E59" s="8"/>
      <c r="L59" s="15" t="s">
        <v>65</v>
      </c>
      <c r="M59" s="14">
        <v>200</v>
      </c>
      <c r="N59" s="10">
        <v>3.3849999904632568</v>
      </c>
      <c r="O59" s="10">
        <v>3.059999942779541</v>
      </c>
      <c r="P59" s="11">
        <f>Table2[[#This Row],[Sell price/share]]-Table2[[#This Row],[Buy price/share]]</f>
        <v>-0.32500004768371582</v>
      </c>
      <c r="Q59" s="12">
        <f>Table2[[#This Row],[Return/share]]*Table2[[#This Row],[Num Shares]]</f>
        <v>-65.000009536743164</v>
      </c>
      <c r="R59" s="10">
        <v>2.0099999904632568</v>
      </c>
      <c r="S59" s="13"/>
      <c r="T59" s="13"/>
      <c r="U59" s="8">
        <f>IF(Table2[[#This Row],[Return/share]]&gt;0, 1, 0)</f>
        <v>0</v>
      </c>
      <c r="V59" s="8">
        <f>IF(Table2[[#This Row],[Return/share]]&lt;=0,1,0)</f>
        <v>1</v>
      </c>
    </row>
    <row r="60" spans="1:25" x14ac:dyDescent="0.25">
      <c r="A60" s="7">
        <v>42094.272789351853</v>
      </c>
      <c r="B60" s="7">
        <v>42094.281631944446</v>
      </c>
      <c r="C60" s="8"/>
      <c r="D60" s="8"/>
      <c r="E60" s="8"/>
      <c r="L60" s="15" t="s">
        <v>64</v>
      </c>
      <c r="M60" s="14">
        <v>400</v>
      </c>
      <c r="N60" s="10">
        <v>9.25</v>
      </c>
      <c r="O60" s="10">
        <v>9.3787498474121094</v>
      </c>
      <c r="P60" s="11">
        <f>Table2[[#This Row],[Sell price/share]]-Table2[[#This Row],[Buy price/share]]</f>
        <v>0.12874984741210938</v>
      </c>
      <c r="Q60" s="12">
        <f>Table2[[#This Row],[Return/share]]*Table2[[#This Row],[Num Shares]]</f>
        <v>51.49993896484375</v>
      </c>
      <c r="R60" s="10">
        <v>5.3199996948242187</v>
      </c>
      <c r="S60" s="13"/>
      <c r="T60" s="13"/>
      <c r="U60" s="8">
        <f>IF(Table2[[#This Row],[Return/share]]&gt;0, 1, 0)</f>
        <v>1</v>
      </c>
      <c r="V60" s="8">
        <f>IF(Table2[[#This Row],[Return/share]]&lt;=0,1,0)</f>
        <v>0</v>
      </c>
    </row>
    <row r="61" spans="1:25" x14ac:dyDescent="0.25">
      <c r="A61" s="7">
        <v>42094.283564814818</v>
      </c>
      <c r="B61" s="7">
        <v>42094.284560185188</v>
      </c>
      <c r="C61" s="8"/>
      <c r="D61" s="8"/>
      <c r="E61" s="8"/>
      <c r="L61" s="15" t="s">
        <v>64</v>
      </c>
      <c r="M61" s="14">
        <v>200</v>
      </c>
      <c r="N61" s="10">
        <v>9.5200004577636719</v>
      </c>
      <c r="O61" s="10">
        <v>9.3999996185302734</v>
      </c>
      <c r="P61" s="11">
        <f>Table2[[#This Row],[Sell price/share]]-Table2[[#This Row],[Buy price/share]]</f>
        <v>-0.12000083923339844</v>
      </c>
      <c r="Q61" s="12">
        <f>Table2[[#This Row],[Return/share]]*Table2[[#This Row],[Num Shares]]</f>
        <v>-24.000167846679688</v>
      </c>
      <c r="R61" s="10">
        <v>2.0299999713897705</v>
      </c>
      <c r="S61" s="13"/>
      <c r="T61" s="13"/>
      <c r="U61" s="8">
        <f>IF(Table2[[#This Row],[Return/share]]&gt;0, 1, 0)</f>
        <v>0</v>
      </c>
      <c r="V61" s="8">
        <f>IF(Table2[[#This Row],[Return/share]]&lt;=0,1,0)</f>
        <v>1</v>
      </c>
    </row>
    <row r="62" spans="1:25" x14ac:dyDescent="0.25">
      <c r="A62" s="7">
        <v>42094.28974537037</v>
      </c>
      <c r="B62" s="7">
        <v>42094.291574074072</v>
      </c>
      <c r="C62" s="8"/>
      <c r="D62" s="8"/>
      <c r="E62" s="8"/>
      <c r="L62" s="15" t="s">
        <v>64</v>
      </c>
      <c r="M62" s="14">
        <v>200</v>
      </c>
      <c r="N62" s="10">
        <v>9.5200004577636719</v>
      </c>
      <c r="O62" s="10">
        <v>9.3299999237060547</v>
      </c>
      <c r="P62" s="11">
        <f>Table2[[#This Row],[Sell price/share]]-Table2[[#This Row],[Buy price/share]]</f>
        <v>-0.19000053405761719</v>
      </c>
      <c r="Q62" s="12">
        <f>Table2[[#This Row],[Return/share]]*Table2[[#This Row],[Num Shares]]</f>
        <v>-38.000106811523438</v>
      </c>
      <c r="R62" s="10">
        <v>2.0299999713897705</v>
      </c>
      <c r="S62" s="13"/>
      <c r="T62" s="13"/>
      <c r="U62" s="8">
        <f>IF(Table2[[#This Row],[Return/share]]&gt;0, 1, 0)</f>
        <v>0</v>
      </c>
      <c r="V62" s="8">
        <f>IF(Table2[[#This Row],[Return/share]]&lt;=0,1,0)</f>
        <v>1</v>
      </c>
    </row>
    <row r="63" spans="1:25" ht="15.75" x14ac:dyDescent="0.25">
      <c r="A63" s="7"/>
      <c r="B63" s="7"/>
      <c r="C63" s="8"/>
      <c r="D63" s="8"/>
      <c r="E63" s="8"/>
      <c r="L63" s="15"/>
      <c r="M63" s="14"/>
      <c r="N63" s="10"/>
      <c r="O63" s="10"/>
      <c r="P63" s="11"/>
      <c r="Q63" s="19">
        <f>SUM(Q59:Q62)</f>
        <v>-75.500345230102539</v>
      </c>
      <c r="R63">
        <f>SUM(R59:R62)</f>
        <v>11.389999628067017</v>
      </c>
      <c r="S63" s="20" t="s">
        <v>70</v>
      </c>
      <c r="T63" s="13"/>
      <c r="U63" s="8"/>
      <c r="V63" s="8"/>
    </row>
    <row r="64" spans="1:25" x14ac:dyDescent="0.25">
      <c r="A64" s="7">
        <v>42095.271493055552</v>
      </c>
      <c r="B64" s="7">
        <v>42095.274050925924</v>
      </c>
      <c r="C64" s="8"/>
      <c r="D64" s="8"/>
      <c r="E64" s="8"/>
      <c r="L64" s="15" t="s">
        <v>63</v>
      </c>
      <c r="M64" s="14">
        <v>400</v>
      </c>
      <c r="N64" s="10">
        <v>3.0550000667572021</v>
      </c>
      <c r="O64" s="10">
        <v>2.559999942779541</v>
      </c>
      <c r="P64" s="11">
        <f>Table2[[#This Row],[Sell price/share]]-Table2[[#This Row],[Buy price/share]]</f>
        <v>-0.49500012397766113</v>
      </c>
      <c r="Q64" s="12">
        <f>Table2[[#This Row],[Return/share]]*Table2[[#This Row],[Num Shares]]</f>
        <v>-198.00004959106445</v>
      </c>
      <c r="R64" s="10">
        <v>4.0199999809265137</v>
      </c>
      <c r="S64" s="13"/>
      <c r="T64" s="13"/>
      <c r="U64" s="8">
        <f>IF(Table2[[#This Row],[Return/share]]&gt;0, 1, 0)</f>
        <v>0</v>
      </c>
      <c r="V64" s="8">
        <f>IF(Table2[[#This Row],[Return/share]]&lt;=0,1,0)</f>
        <v>1</v>
      </c>
    </row>
    <row r="65" spans="1:22" x14ac:dyDescent="0.25">
      <c r="A65" s="7">
        <v>42095.275659722225</v>
      </c>
      <c r="B65" s="7">
        <v>42095.27857638889</v>
      </c>
      <c r="C65" s="8"/>
      <c r="D65" s="8"/>
      <c r="E65" s="8"/>
      <c r="L65" s="15" t="s">
        <v>63</v>
      </c>
      <c r="M65" s="14">
        <v>200</v>
      </c>
      <c r="N65" s="10">
        <v>2.8199999332427979</v>
      </c>
      <c r="O65" s="10">
        <v>2.6600000858306885</v>
      </c>
      <c r="P65" s="11">
        <f>Table2[[#This Row],[Sell price/share]]-Table2[[#This Row],[Buy price/share]]</f>
        <v>-0.15999984741210938</v>
      </c>
      <c r="Q65" s="12">
        <f>Table2[[#This Row],[Return/share]]*Table2[[#This Row],[Num Shares]]</f>
        <v>-31.999969482421875</v>
      </c>
      <c r="R65" s="10">
        <v>2.0099999904632568</v>
      </c>
      <c r="S65" s="13"/>
      <c r="T65" s="13"/>
      <c r="U65" s="8">
        <f>IF(Table2[[#This Row],[Return/share]]&gt;0, 1, 0)</f>
        <v>0</v>
      </c>
      <c r="V65" s="8">
        <f>IF(Table2[[#This Row],[Return/share]]&lt;=0,1,0)</f>
        <v>1</v>
      </c>
    </row>
    <row r="66" spans="1:22" x14ac:dyDescent="0.25">
      <c r="A66" s="7">
        <v>42095.282951388886</v>
      </c>
      <c r="B66" s="7">
        <v>42095.285995370374</v>
      </c>
      <c r="C66" s="8"/>
      <c r="D66" s="8"/>
      <c r="E66" s="8"/>
      <c r="L66" s="15" t="s">
        <v>63</v>
      </c>
      <c r="M66" s="14">
        <v>200</v>
      </c>
      <c r="N66" s="10">
        <v>2.8499999046325684</v>
      </c>
      <c r="O66" s="10">
        <v>2.6150000095367432</v>
      </c>
      <c r="P66" s="11">
        <f>Table2[[#This Row],[Sell price/share]]-Table2[[#This Row],[Buy price/share]]</f>
        <v>-0.2349998950958252</v>
      </c>
      <c r="Q66" s="12">
        <f>Table2[[#This Row],[Return/share]]*Table2[[#This Row],[Num Shares]]</f>
        <v>-46.999979019165039</v>
      </c>
      <c r="R66" s="10">
        <v>2.0099999904632568</v>
      </c>
      <c r="S66" s="13"/>
      <c r="T66" s="13"/>
      <c r="U66" s="8">
        <f>IF(Table2[[#This Row],[Return/share]]&gt;0, 1, 0)</f>
        <v>0</v>
      </c>
      <c r="V66" s="8">
        <f>IF(Table2[[#This Row],[Return/share]]&lt;=0,1,0)</f>
        <v>1</v>
      </c>
    </row>
    <row r="67" spans="1:22" x14ac:dyDescent="0.25">
      <c r="A67" s="7">
        <v>42095.290543981479</v>
      </c>
      <c r="B67" s="7">
        <v>42095.298854166664</v>
      </c>
      <c r="C67" s="8"/>
      <c r="D67" s="8"/>
      <c r="E67" s="8"/>
      <c r="L67" s="15" t="s">
        <v>63</v>
      </c>
      <c r="M67" s="14">
        <v>400</v>
      </c>
      <c r="N67" s="10">
        <v>2.7874999046325684</v>
      </c>
      <c r="O67" s="10">
        <v>2.5099999904632568</v>
      </c>
      <c r="P67" s="11">
        <f>Table2[[#This Row],[Sell price/share]]-Table2[[#This Row],[Buy price/share]]</f>
        <v>-0.27749991416931152</v>
      </c>
      <c r="Q67" s="12">
        <f>Table2[[#This Row],[Return/share]]*Table2[[#This Row],[Num Shares]]</f>
        <v>-110.99996566772461</v>
      </c>
      <c r="R67" s="10">
        <v>4.0199999809265137</v>
      </c>
      <c r="S67" s="13"/>
      <c r="T67" s="13"/>
      <c r="U67" s="8">
        <f>IF(Table2[[#This Row],[Return/share]]&gt;0, 1, 0)</f>
        <v>0</v>
      </c>
      <c r="V67" s="8">
        <f>IF(Table2[[#This Row],[Return/share]]&lt;=0,1,0)</f>
        <v>1</v>
      </c>
    </row>
    <row r="68" spans="1:22" x14ac:dyDescent="0.25">
      <c r="A68" s="7">
        <v>42095.327465277776</v>
      </c>
      <c r="B68" s="7">
        <v>42095.338159722225</v>
      </c>
      <c r="C68" s="8"/>
      <c r="D68" s="8"/>
      <c r="E68" s="8"/>
      <c r="L68" s="15" t="s">
        <v>63</v>
      </c>
      <c r="M68" s="14">
        <v>200</v>
      </c>
      <c r="N68" s="10">
        <v>2.619999885559082</v>
      </c>
      <c r="O68" s="10">
        <v>2.4900000095367432</v>
      </c>
      <c r="P68" s="11">
        <f>Table2[[#This Row],[Sell price/share]]-Table2[[#This Row],[Buy price/share]]</f>
        <v>-0.12999987602233887</v>
      </c>
      <c r="Q68" s="12">
        <f>Table2[[#This Row],[Return/share]]*Table2[[#This Row],[Num Shares]]</f>
        <v>-25.999975204467773</v>
      </c>
      <c r="R68" s="10">
        <v>2.0099999904632568</v>
      </c>
      <c r="S68" s="13"/>
      <c r="T68" s="13"/>
      <c r="U68" s="8">
        <f>IF(Table2[[#This Row],[Return/share]]&gt;0, 1, 0)</f>
        <v>0</v>
      </c>
      <c r="V68" s="8">
        <f>IF(Table2[[#This Row],[Return/share]]&lt;=0,1,0)</f>
        <v>1</v>
      </c>
    </row>
    <row r="69" spans="1:22" x14ac:dyDescent="0.25">
      <c r="A69" s="7">
        <v>42095.343773148146</v>
      </c>
      <c r="B69" s="7">
        <v>42095.356956018521</v>
      </c>
      <c r="C69" s="8"/>
      <c r="D69" s="8"/>
      <c r="E69" s="8"/>
      <c r="L69" s="15" t="s">
        <v>62</v>
      </c>
      <c r="M69" s="14">
        <v>800</v>
      </c>
      <c r="N69" s="10">
        <v>58.375</v>
      </c>
      <c r="O69" s="10">
        <v>58.25</v>
      </c>
      <c r="P69" s="11">
        <f>Table2[[#This Row],[Sell price/share]]-Table2[[#This Row],[Buy price/share]]</f>
        <v>-0.125</v>
      </c>
      <c r="Q69" s="12">
        <f>Table2[[#This Row],[Return/share]]*Table2[[#This Row],[Num Shares]]</f>
        <v>-100</v>
      </c>
      <c r="R69" s="10">
        <v>8.8600006103515625</v>
      </c>
      <c r="S69" s="13"/>
      <c r="T69" s="13"/>
      <c r="U69" s="8">
        <f>IF(Table2[[#This Row],[Return/share]]&gt;0, 1, 0)</f>
        <v>0</v>
      </c>
      <c r="V69" s="8">
        <f>IF(Table2[[#This Row],[Return/share]]&lt;=0,1,0)</f>
        <v>1</v>
      </c>
    </row>
    <row r="70" spans="1:22" ht="15.75" x14ac:dyDescent="0.25">
      <c r="A70" s="7"/>
      <c r="B70" s="7"/>
      <c r="C70" s="8"/>
      <c r="D70" s="8"/>
      <c r="E70" s="8"/>
      <c r="M70" s="14"/>
      <c r="N70" s="10"/>
      <c r="O70" s="10"/>
      <c r="P70" s="11"/>
      <c r="Q70" s="19">
        <f>SUM(Q64:Q69)</f>
        <v>-513.99993896484375</v>
      </c>
      <c r="R70">
        <f>SUM(R64:R69)</f>
        <v>22.93000054359436</v>
      </c>
      <c r="S70" s="20" t="s">
        <v>86</v>
      </c>
      <c r="T70" s="13"/>
      <c r="U70" s="8"/>
      <c r="V70" s="8"/>
    </row>
    <row r="71" spans="1:22" x14ac:dyDescent="0.25">
      <c r="A71" s="7"/>
      <c r="B71" s="7"/>
      <c r="C71" s="8"/>
      <c r="D71" s="8"/>
      <c r="E71" s="8"/>
      <c r="M71" s="14"/>
      <c r="N71" s="10"/>
      <c r="O71" s="10"/>
      <c r="P71" s="11"/>
      <c r="Q71" s="18"/>
      <c r="R71" s="18"/>
      <c r="S71" s="13"/>
      <c r="T71" s="13"/>
      <c r="U71" s="8"/>
      <c r="V71" s="8"/>
    </row>
  </sheetData>
  <conditionalFormatting sqref="P2:Q19 P24:Q24 T3 T17 S2:T2 S4:T16 S18:T20 P53:Q69">
    <cfRule type="cellIs" dxfId="57" priority="107" operator="lessThan">
      <formula>0</formula>
    </cfRule>
    <cfRule type="cellIs" dxfId="56" priority="108" operator="greaterThan">
      <formula>0</formula>
    </cfRule>
  </conditionalFormatting>
  <conditionalFormatting sqref="P20:Q20">
    <cfRule type="cellIs" dxfId="55" priority="105" operator="lessThan">
      <formula>0</formula>
    </cfRule>
    <cfRule type="cellIs" dxfId="54" priority="106" operator="greaterThan">
      <formula>0</formula>
    </cfRule>
  </conditionalFormatting>
  <conditionalFormatting sqref="P21">
    <cfRule type="cellIs" dxfId="53" priority="103" operator="lessThan">
      <formula>0</formula>
    </cfRule>
    <cfRule type="cellIs" dxfId="52" priority="104" operator="greaterThan">
      <formula>0</formula>
    </cfRule>
  </conditionalFormatting>
  <conditionalFormatting sqref="Q21">
    <cfRule type="cellIs" dxfId="51" priority="101" operator="lessThan">
      <formula>0</formula>
    </cfRule>
    <cfRule type="cellIs" dxfId="50" priority="102" operator="greaterThan">
      <formula>0</formula>
    </cfRule>
  </conditionalFormatting>
  <conditionalFormatting sqref="P22:P23">
    <cfRule type="cellIs" dxfId="49" priority="99" operator="lessThan">
      <formula>0</formula>
    </cfRule>
    <cfRule type="cellIs" dxfId="48" priority="100" operator="greaterThan">
      <formula>0</formula>
    </cfRule>
  </conditionalFormatting>
  <conditionalFormatting sqref="Q22:Q23">
    <cfRule type="cellIs" dxfId="47" priority="97" operator="lessThan">
      <formula>0</formula>
    </cfRule>
    <cfRule type="cellIs" dxfId="46" priority="98" operator="greaterThan">
      <formula>0</formula>
    </cfRule>
  </conditionalFormatting>
  <conditionalFormatting sqref="P25:P26">
    <cfRule type="cellIs" dxfId="45" priority="95" operator="lessThan">
      <formula>0</formula>
    </cfRule>
    <cfRule type="cellIs" dxfId="44" priority="96" operator="greaterThan">
      <formula>0</formula>
    </cfRule>
  </conditionalFormatting>
  <conditionalFormatting sqref="Q25:Q26">
    <cfRule type="cellIs" dxfId="43" priority="93" operator="lessThan">
      <formula>0</formula>
    </cfRule>
    <cfRule type="cellIs" dxfId="42" priority="94" operator="greaterThan">
      <formula>0</formula>
    </cfRule>
  </conditionalFormatting>
  <conditionalFormatting sqref="P27">
    <cfRule type="cellIs" dxfId="41" priority="91" operator="lessThan">
      <formula>0</formula>
    </cfRule>
    <cfRule type="cellIs" dxfId="40" priority="92" operator="greaterThan">
      <formula>0</formula>
    </cfRule>
  </conditionalFormatting>
  <conditionalFormatting sqref="Q27">
    <cfRule type="cellIs" dxfId="39" priority="89" operator="lessThan">
      <formula>0</formula>
    </cfRule>
    <cfRule type="cellIs" dxfId="38" priority="90" operator="greaterThan">
      <formula>0</formula>
    </cfRule>
  </conditionalFormatting>
  <conditionalFormatting sqref="P28:P30">
    <cfRule type="cellIs" dxfId="37" priority="87" operator="lessThan">
      <formula>0</formula>
    </cfRule>
    <cfRule type="cellIs" dxfId="36" priority="88" operator="greaterThan">
      <formula>0</formula>
    </cfRule>
  </conditionalFormatting>
  <conditionalFormatting sqref="Q28:Q30">
    <cfRule type="cellIs" dxfId="35" priority="85" operator="lessThan">
      <formula>0</formula>
    </cfRule>
    <cfRule type="cellIs" dxfId="34" priority="86" operator="greaterThan">
      <formula>0</formula>
    </cfRule>
  </conditionalFormatting>
  <conditionalFormatting sqref="P31:P33">
    <cfRule type="cellIs" dxfId="33" priority="83" operator="lessThan">
      <formula>0</formula>
    </cfRule>
    <cfRule type="cellIs" dxfId="32" priority="84" operator="greaterThan">
      <formula>0</formula>
    </cfRule>
  </conditionalFormatting>
  <conditionalFormatting sqref="Q31:Q33">
    <cfRule type="cellIs" dxfId="31" priority="81" operator="lessThan">
      <formula>0</formula>
    </cfRule>
    <cfRule type="cellIs" dxfId="30" priority="82" operator="greaterThan">
      <formula>0</formula>
    </cfRule>
  </conditionalFormatting>
  <conditionalFormatting sqref="P34:P35">
    <cfRule type="cellIs" dxfId="29" priority="79" operator="lessThan">
      <formula>0</formula>
    </cfRule>
    <cfRule type="cellIs" dxfId="28" priority="80" operator="greaterThan">
      <formula>0</formula>
    </cfRule>
  </conditionalFormatting>
  <conditionalFormatting sqref="Q34:Q35">
    <cfRule type="cellIs" dxfId="27" priority="77" operator="lessThan">
      <formula>0</formula>
    </cfRule>
    <cfRule type="cellIs" dxfId="26" priority="78" operator="greaterThan">
      <formula>0</formula>
    </cfRule>
  </conditionalFormatting>
  <conditionalFormatting sqref="P36:P42">
    <cfRule type="cellIs" dxfId="25" priority="75" operator="lessThan">
      <formula>0</formula>
    </cfRule>
    <cfRule type="cellIs" dxfId="24" priority="76" operator="greaterThan">
      <formula>0</formula>
    </cfRule>
  </conditionalFormatting>
  <conditionalFormatting sqref="Q36:Q42">
    <cfRule type="cellIs" dxfId="23" priority="73" operator="lessThan">
      <formula>0</formula>
    </cfRule>
    <cfRule type="cellIs" dxfId="22" priority="74" operator="greaterThan">
      <formula>0</formula>
    </cfRule>
  </conditionalFormatting>
  <conditionalFormatting sqref="P43">
    <cfRule type="cellIs" dxfId="21" priority="69" operator="lessThan">
      <formula>0</formula>
    </cfRule>
    <cfRule type="cellIs" dxfId="20" priority="70" operator="greaterThan">
      <formula>0</formula>
    </cfRule>
  </conditionalFormatting>
  <conditionalFormatting sqref="Q43">
    <cfRule type="cellIs" dxfId="19" priority="67" operator="lessThan">
      <formula>0</formula>
    </cfRule>
    <cfRule type="cellIs" dxfId="18" priority="68" operator="greaterThan">
      <formula>0</formula>
    </cfRule>
  </conditionalFormatting>
  <conditionalFormatting sqref="P44:P45">
    <cfRule type="cellIs" dxfId="17" priority="63" operator="lessThan">
      <formula>0</formula>
    </cfRule>
    <cfRule type="cellIs" dxfId="16" priority="64" operator="greaterThan">
      <formula>0</formula>
    </cfRule>
  </conditionalFormatting>
  <conditionalFormatting sqref="Q44:Q45">
    <cfRule type="cellIs" dxfId="15" priority="61" operator="lessThan">
      <formula>0</formula>
    </cfRule>
    <cfRule type="cellIs" dxfId="14" priority="62" operator="greaterThan">
      <formula>0</formula>
    </cfRule>
  </conditionalFormatting>
  <conditionalFormatting sqref="P46:P47">
    <cfRule type="cellIs" dxfId="13" priority="57" operator="lessThan">
      <formula>0</formula>
    </cfRule>
    <cfRule type="cellIs" dxfId="12" priority="58" operator="greaterThan">
      <formula>0</formula>
    </cfRule>
  </conditionalFormatting>
  <conditionalFormatting sqref="Q46:Q47">
    <cfRule type="cellIs" dxfId="11" priority="55" operator="lessThan">
      <formula>0</formula>
    </cfRule>
    <cfRule type="cellIs" dxfId="10" priority="56" operator="greaterThan">
      <formula>0</formula>
    </cfRule>
  </conditionalFormatting>
  <conditionalFormatting sqref="P48:P51">
    <cfRule type="cellIs" dxfId="9" priority="53" operator="lessThan">
      <formula>0</formula>
    </cfRule>
    <cfRule type="cellIs" dxfId="8" priority="54" operator="greaterThan">
      <formula>0</formula>
    </cfRule>
  </conditionalFormatting>
  <conditionalFormatting sqref="Q48:Q51">
    <cfRule type="cellIs" dxfId="7" priority="51" operator="lessThan">
      <formula>0</formula>
    </cfRule>
    <cfRule type="cellIs" dxfId="6" priority="52" operator="greaterThan">
      <formula>0</formula>
    </cfRule>
  </conditionalFormatting>
  <conditionalFormatting sqref="Q52">
    <cfRule type="cellIs" dxfId="5" priority="37" operator="lessThan">
      <formula>0</formula>
    </cfRule>
    <cfRule type="cellIs" dxfId="4" priority="38" operator="greaterThan">
      <formula>0</formula>
    </cfRule>
  </conditionalFormatting>
  <conditionalFormatting sqref="Q70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Q71">
    <cfRule type="cellIs" dxfId="1" priority="15" operator="lessThan">
      <formula>0</formula>
    </cfRule>
    <cfRule type="cellIs" dxfId="0" priority="16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79</v>
      </c>
      <c r="G1" t="s">
        <v>80</v>
      </c>
      <c r="H1" t="s">
        <v>82</v>
      </c>
      <c r="I1" t="s">
        <v>84</v>
      </c>
    </row>
    <row r="2" spans="1:9" x14ac:dyDescent="0.25">
      <c r="A2" t="s">
        <v>72</v>
      </c>
      <c r="B2" t="s">
        <v>72</v>
      </c>
      <c r="D2" t="s">
        <v>76</v>
      </c>
      <c r="E2" t="s">
        <v>78</v>
      </c>
      <c r="G2" t="s">
        <v>81</v>
      </c>
      <c r="H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2" workbookViewId="0">
      <selection activeCell="B3" sqref="B3:H41"/>
    </sheetView>
  </sheetViews>
  <sheetFormatPr defaultRowHeight="15" x14ac:dyDescent="0.25"/>
  <cols>
    <col min="2" max="2" width="13.85546875" bestFit="1" customWidth="1"/>
    <col min="7" max="7" width="15" customWidth="1"/>
    <col min="8" max="8" width="12.5703125" bestFit="1" customWidth="1"/>
  </cols>
  <sheetData>
    <row r="1" spans="1:8" x14ac:dyDescent="0.25">
      <c r="B1" s="4" t="s">
        <v>14</v>
      </c>
      <c r="C1" s="1" t="s">
        <v>15</v>
      </c>
      <c r="D1" s="1" t="s">
        <v>16</v>
      </c>
      <c r="E1" s="1" t="s">
        <v>7</v>
      </c>
      <c r="F1" s="2" t="s">
        <v>18</v>
      </c>
      <c r="G1" s="1" t="s">
        <v>17</v>
      </c>
      <c r="H1" s="2" t="s">
        <v>8</v>
      </c>
    </row>
    <row r="2" spans="1:8" x14ac:dyDescent="0.25">
      <c r="A2" s="3" t="s">
        <v>12</v>
      </c>
      <c r="B2" s="16"/>
      <c r="C2" s="3"/>
      <c r="D2" s="3"/>
      <c r="E2" s="3"/>
      <c r="F2" s="3"/>
      <c r="G2" s="3"/>
      <c r="H2" s="17"/>
    </row>
    <row r="3" spans="1:8" x14ac:dyDescent="0.25">
      <c r="A3" s="3"/>
      <c r="B3" s="16"/>
      <c r="C3" s="3"/>
      <c r="D3" s="3"/>
      <c r="E3" s="3"/>
      <c r="F3" s="3"/>
      <c r="G3" s="3"/>
      <c r="H3" s="3"/>
    </row>
    <row r="4" spans="1:8" x14ac:dyDescent="0.25">
      <c r="A4" s="3"/>
      <c r="B4" s="16"/>
      <c r="C4" s="3"/>
      <c r="D4" s="3"/>
      <c r="E4" s="3"/>
      <c r="F4" s="3"/>
      <c r="G4" s="3"/>
      <c r="H4" s="3"/>
    </row>
    <row r="5" spans="1:8" x14ac:dyDescent="0.25">
      <c r="A5" s="3"/>
      <c r="B5" s="16"/>
      <c r="C5" s="3"/>
      <c r="D5" s="3"/>
      <c r="E5" s="3"/>
      <c r="F5" s="3"/>
      <c r="G5" s="3"/>
      <c r="H5" s="3"/>
    </row>
    <row r="6" spans="1:8" x14ac:dyDescent="0.25">
      <c r="A6" s="3"/>
      <c r="B6" s="16"/>
      <c r="C6" s="3"/>
      <c r="D6" s="3"/>
      <c r="E6" s="3"/>
      <c r="F6" s="3"/>
      <c r="G6" s="3"/>
      <c r="H6" s="3"/>
    </row>
    <row r="7" spans="1:8" x14ac:dyDescent="0.25">
      <c r="A7" s="3"/>
      <c r="B7" s="16"/>
      <c r="C7" s="3"/>
      <c r="D7" s="3"/>
      <c r="E7" s="3"/>
      <c r="F7" s="3"/>
      <c r="G7" s="3"/>
      <c r="H7" s="3"/>
    </row>
    <row r="8" spans="1:8" x14ac:dyDescent="0.25">
      <c r="A8" s="3"/>
      <c r="B8" s="16"/>
      <c r="C8" s="3"/>
      <c r="D8" s="3"/>
      <c r="E8" s="3"/>
      <c r="F8" s="3"/>
      <c r="G8" s="3"/>
      <c r="H8" s="3"/>
    </row>
    <row r="9" spans="1:8" x14ac:dyDescent="0.25">
      <c r="A9" s="3"/>
      <c r="B9" s="16"/>
      <c r="C9" s="3"/>
      <c r="D9" s="3"/>
      <c r="E9" s="3"/>
      <c r="F9" s="3"/>
      <c r="G9" s="3"/>
      <c r="H9" s="3"/>
    </row>
    <row r="10" spans="1:8" x14ac:dyDescent="0.25">
      <c r="A10" s="3"/>
      <c r="B10" s="16"/>
      <c r="C10" s="3"/>
      <c r="D10" s="3"/>
      <c r="E10" s="3"/>
      <c r="F10" s="3"/>
      <c r="G10" s="3"/>
      <c r="H10" s="3"/>
    </row>
    <row r="11" spans="1:8" x14ac:dyDescent="0.25">
      <c r="A11" s="3" t="s">
        <v>12</v>
      </c>
      <c r="B11" s="16"/>
      <c r="C11" s="3"/>
      <c r="D11" s="3"/>
      <c r="E11" s="3"/>
      <c r="F11" s="3"/>
      <c r="G11" s="3"/>
      <c r="H11" s="3"/>
    </row>
    <row r="12" spans="1:8" x14ac:dyDescent="0.25">
      <c r="A12" s="3" t="s">
        <v>12</v>
      </c>
      <c r="B12" s="16"/>
      <c r="C12" s="3"/>
      <c r="D12" s="3"/>
      <c r="E12" s="3"/>
      <c r="F12" s="3"/>
      <c r="G12" s="3"/>
      <c r="H12" s="3"/>
    </row>
    <row r="13" spans="1:8" x14ac:dyDescent="0.25">
      <c r="A13" s="3"/>
      <c r="B13" s="16"/>
      <c r="C13" s="3"/>
      <c r="D13" s="3"/>
      <c r="E13" s="3"/>
      <c r="F13" s="3"/>
      <c r="G13" s="3"/>
      <c r="H13" s="3"/>
    </row>
    <row r="14" spans="1:8" x14ac:dyDescent="0.25">
      <c r="A14" s="3" t="s">
        <v>12</v>
      </c>
      <c r="B14" s="16"/>
      <c r="C14" s="3"/>
      <c r="D14" s="3"/>
      <c r="E14" s="3"/>
      <c r="F14" s="3"/>
      <c r="G14" s="3"/>
      <c r="H14" s="3"/>
    </row>
    <row r="15" spans="1:8" x14ac:dyDescent="0.25">
      <c r="A15" s="3"/>
      <c r="B15" s="16"/>
      <c r="C15" s="3"/>
      <c r="D15" s="3"/>
      <c r="E15" s="3"/>
      <c r="F15" s="3"/>
      <c r="G15" s="3"/>
      <c r="H15" s="3"/>
    </row>
    <row r="16" spans="1:8" x14ac:dyDescent="0.25">
      <c r="A16" s="3"/>
      <c r="B16" s="16"/>
      <c r="C16" s="3"/>
      <c r="D16" s="3"/>
      <c r="E16" s="3"/>
      <c r="F16" s="3"/>
      <c r="G16" s="3"/>
      <c r="H16" s="3"/>
    </row>
    <row r="17" spans="1:8" x14ac:dyDescent="0.25">
      <c r="A17" s="3" t="s">
        <v>12</v>
      </c>
      <c r="B17" s="16"/>
      <c r="C17" s="3"/>
      <c r="D17" s="3"/>
      <c r="E17" s="3"/>
      <c r="F17" s="3"/>
      <c r="G17" s="3"/>
      <c r="H17" s="3"/>
    </row>
    <row r="18" spans="1:8" x14ac:dyDescent="0.25">
      <c r="A18" s="3"/>
      <c r="B18" s="16"/>
      <c r="C18" s="3"/>
      <c r="D18" s="3"/>
      <c r="E18" s="3"/>
      <c r="F18" s="3"/>
      <c r="G18" s="3"/>
      <c r="H18" s="3"/>
    </row>
    <row r="19" spans="1:8" x14ac:dyDescent="0.25">
      <c r="A19" s="3"/>
      <c r="B19" s="16"/>
      <c r="C19" s="3"/>
      <c r="D19" s="3"/>
      <c r="E19" s="3"/>
      <c r="F19" s="3"/>
      <c r="G19" s="3"/>
      <c r="H19" s="3"/>
    </row>
    <row r="20" spans="1:8" x14ac:dyDescent="0.25">
      <c r="A20" s="3"/>
      <c r="B20" s="16"/>
      <c r="C20" s="3"/>
      <c r="D20" s="3"/>
      <c r="E20" s="3"/>
      <c r="F20" s="3"/>
      <c r="G20" s="3"/>
      <c r="H20" s="3"/>
    </row>
    <row r="21" spans="1:8" x14ac:dyDescent="0.25">
      <c r="A21" s="3"/>
      <c r="B21" s="16"/>
      <c r="C21" s="3"/>
      <c r="D21" s="3"/>
      <c r="E21" s="3"/>
      <c r="F21" s="3"/>
      <c r="G21" s="3"/>
      <c r="H21" s="3"/>
    </row>
    <row r="22" spans="1:8" x14ac:dyDescent="0.25">
      <c r="A22" s="3"/>
      <c r="B22" s="16"/>
      <c r="C22" s="3"/>
      <c r="D22" s="3"/>
      <c r="E22" s="3"/>
      <c r="F22" s="3"/>
      <c r="G22" s="3"/>
      <c r="H22" s="3"/>
    </row>
    <row r="23" spans="1:8" x14ac:dyDescent="0.25">
      <c r="A23" s="3"/>
      <c r="B23" s="16"/>
      <c r="C23" s="3"/>
      <c r="D23" s="3"/>
      <c r="E23" s="3"/>
      <c r="F23" s="3"/>
      <c r="G23" s="3"/>
      <c r="H23" s="3"/>
    </row>
    <row r="24" spans="1:8" x14ac:dyDescent="0.25">
      <c r="A24" s="3"/>
      <c r="B24" s="16"/>
      <c r="C24" s="3"/>
      <c r="D24" s="3"/>
      <c r="E24" s="3"/>
      <c r="F24" s="3"/>
      <c r="G24" s="3"/>
      <c r="H24" s="3"/>
    </row>
    <row r="25" spans="1:8" x14ac:dyDescent="0.25">
      <c r="A25" s="3"/>
      <c r="B25" s="16"/>
      <c r="C25" s="3"/>
      <c r="D25" s="3"/>
      <c r="E25" s="3"/>
      <c r="F25" s="3"/>
      <c r="G25" s="3"/>
      <c r="H25" s="3"/>
    </row>
    <row r="26" spans="1:8" x14ac:dyDescent="0.25">
      <c r="A26" s="3"/>
      <c r="B26" s="16"/>
      <c r="C26" s="3"/>
      <c r="D26" s="3"/>
      <c r="E26" s="3"/>
      <c r="F26" s="3"/>
      <c r="G26" s="3"/>
      <c r="H26" s="3"/>
    </row>
    <row r="27" spans="1:8" x14ac:dyDescent="0.25">
      <c r="A27" s="3"/>
      <c r="B27" s="16"/>
      <c r="C27" s="3"/>
      <c r="D27" s="3"/>
      <c r="E27" s="3"/>
      <c r="F27" s="3"/>
      <c r="G27" s="3"/>
      <c r="H27" s="3"/>
    </row>
    <row r="28" spans="1:8" x14ac:dyDescent="0.25">
      <c r="A28" s="3" t="s">
        <v>12</v>
      </c>
      <c r="B28" s="16"/>
      <c r="C28" s="3"/>
      <c r="D28" s="3"/>
      <c r="E28" s="3"/>
      <c r="F28" s="3"/>
      <c r="G28" s="3"/>
      <c r="H28" s="3"/>
    </row>
    <row r="29" spans="1:8" x14ac:dyDescent="0.25">
      <c r="A29" s="3"/>
      <c r="B29" s="16"/>
      <c r="C29" s="3"/>
      <c r="D29" s="3"/>
      <c r="E29" s="3"/>
      <c r="F29" s="3"/>
      <c r="G29" s="3"/>
      <c r="H29" s="3"/>
    </row>
    <row r="30" spans="1:8" x14ac:dyDescent="0.25">
      <c r="A30" s="3"/>
      <c r="B30" s="16"/>
      <c r="C30" s="3"/>
      <c r="D30" s="3"/>
      <c r="E30" s="3"/>
      <c r="F30" s="3"/>
      <c r="G30" s="3"/>
      <c r="H30" s="3"/>
    </row>
    <row r="31" spans="1:8" x14ac:dyDescent="0.25">
      <c r="A31" s="3" t="s">
        <v>12</v>
      </c>
      <c r="B31" s="16"/>
      <c r="C31" s="3"/>
      <c r="D31" s="3"/>
      <c r="E31" s="3"/>
      <c r="F31" s="3"/>
      <c r="G31" s="3"/>
      <c r="H31" s="3"/>
    </row>
    <row r="32" spans="1:8" x14ac:dyDescent="0.25">
      <c r="A32" s="3"/>
      <c r="B32" s="16"/>
      <c r="C32" s="3"/>
      <c r="D32" s="3"/>
      <c r="E32" s="3"/>
      <c r="F32" s="3"/>
      <c r="G32" s="3"/>
      <c r="H32" s="3"/>
    </row>
    <row r="33" spans="1:8" x14ac:dyDescent="0.25">
      <c r="A33" s="3"/>
      <c r="B33" s="16"/>
      <c r="C33" s="3"/>
      <c r="D33" s="3"/>
      <c r="E33" s="3"/>
      <c r="F33" s="3"/>
      <c r="G33" s="3"/>
      <c r="H33" s="3"/>
    </row>
    <row r="34" spans="1:8" x14ac:dyDescent="0.25">
      <c r="A34" s="3"/>
      <c r="B34" s="16"/>
      <c r="C34" s="3"/>
      <c r="D34" s="3"/>
      <c r="E34" s="3"/>
      <c r="F34" s="3"/>
      <c r="G34" s="3"/>
      <c r="H34" s="3"/>
    </row>
    <row r="35" spans="1:8" x14ac:dyDescent="0.25">
      <c r="A35" s="3" t="s">
        <v>12</v>
      </c>
      <c r="B35" s="16"/>
      <c r="C35" s="3"/>
      <c r="D35" s="3"/>
      <c r="E35" s="3"/>
      <c r="F35" s="3"/>
      <c r="G35" s="3"/>
      <c r="H35" s="3"/>
    </row>
    <row r="36" spans="1:8" x14ac:dyDescent="0.25">
      <c r="A36" s="3" t="s">
        <v>12</v>
      </c>
      <c r="B36" s="16"/>
      <c r="C36" s="3"/>
      <c r="D36" s="3"/>
      <c r="E36" s="3"/>
      <c r="F36" s="3"/>
      <c r="G36" s="3"/>
      <c r="H36" s="3"/>
    </row>
    <row r="37" spans="1:8" x14ac:dyDescent="0.25">
      <c r="A37" s="3"/>
      <c r="B37" s="16"/>
      <c r="C37" s="3"/>
      <c r="D37" s="3"/>
      <c r="E37" s="3"/>
      <c r="F37" s="3"/>
      <c r="G37" s="3"/>
      <c r="H37" s="3"/>
    </row>
    <row r="38" spans="1:8" x14ac:dyDescent="0.25">
      <c r="A38" s="3"/>
      <c r="B38" s="16"/>
      <c r="C38" s="3"/>
      <c r="D38" s="3"/>
      <c r="E38" s="3"/>
      <c r="F38" s="3"/>
      <c r="G38" s="3"/>
      <c r="H38" s="3"/>
    </row>
    <row r="39" spans="1:8" x14ac:dyDescent="0.25">
      <c r="A39" s="3"/>
      <c r="B39" s="16"/>
      <c r="C39" s="3"/>
      <c r="D39" s="3"/>
      <c r="E39" s="3"/>
      <c r="F39" s="3"/>
      <c r="G39" s="3"/>
      <c r="H39" s="3"/>
    </row>
    <row r="40" spans="1:8" x14ac:dyDescent="0.25">
      <c r="A40" s="3"/>
      <c r="B40" s="16"/>
      <c r="C40" s="3"/>
      <c r="D40" s="3"/>
      <c r="E40" s="3"/>
      <c r="F40" s="3"/>
      <c r="G40" s="3"/>
      <c r="H40" s="3"/>
    </row>
    <row r="41" spans="1:8" x14ac:dyDescent="0.25">
      <c r="A41" s="3" t="s">
        <v>12</v>
      </c>
      <c r="B41" s="16"/>
      <c r="C41" s="3"/>
      <c r="D41" s="3"/>
      <c r="E41" s="3"/>
      <c r="F41" s="3"/>
      <c r="G41" s="3"/>
      <c r="H4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b 9 9 e 2 2 - 6 e 8 5 - 4 f b b - 9 1 d d - 8 b 1 b 9 1 e 7 d 7 e 5 "   x m l n s = " h t t p : / / s c h e m a s . m i c r o s o f t . c o m / D a t a M a s h u p " > A A A A A E c E A A B Q S w M E F A A C A A g A 5 7 m D R o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O e 5 g 0 Y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5 7 m D R i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D n u Y N G j w Q H b R E B A A D 5 A A A A E g A A A A A A A A A A A A A A A A A A A A A A Q 2 9 u Z m l n L 1 B h Y 2 t h Z 2 U u e G 1 s U E s B A i 0 A F A A C A A g A 5 7 m D R g / K 6 a s I A Q A A 6 Q A A A B M A A A A A A A A A A A A A A A A A X Q E A A F t D b 2 5 0 Z W 5 0 X 1 R 5 c G V z X S 5 4 b W x Q S w E C L Q A U A A I A C A D n u Y N G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q 5 g L 4 Z 4 j Z F l 0 P k P F N C L Q U A A A A A A g A A A A A A A 2 Y A A M A A A A A Q A A A A 3 f w a z S D L m b 0 Z q B 7 x U 0 J B 9 w A A A A A E g A A A o A A A A B A A A A A U E n V v t e z 0 a u F s N N 3 8 0 z 4 6 U A A A A O c Z F 5 o G q I R G T D I s q X 2 L g Z a w R 1 y b / G D Y h Z i L l g I r K R C 4 H k d n N U r Y 3 a K p 1 L d + l p b 8 B d / E N V Q X e G p l p q 8 r j U D F 3 N N X M p J 9 d N x W U P S 0 Q B A Q P 4 j W F A A A A J v H M d S J k q 4 O w v z Y 6 q m z / / P t z + C G < / D a t a M a s h u p > 
</file>

<file path=customXml/itemProps1.xml><?xml version="1.0" encoding="utf-8"?>
<ds:datastoreItem xmlns:ds="http://schemas.openxmlformats.org/officeDocument/2006/customXml" ds:itemID="{51865797-26A7-4375-AE17-AE69397825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ClosedTradesSheet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Baiyya</dc:creator>
  <cp:lastModifiedBy>Vijay Baiyya</cp:lastModifiedBy>
  <dcterms:created xsi:type="dcterms:W3CDTF">2015-03-28T04:34:03Z</dcterms:created>
  <dcterms:modified xsi:type="dcterms:W3CDTF">2015-04-06T02:17:06Z</dcterms:modified>
</cp:coreProperties>
</file>