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otows\Desktop\"/>
    </mc:Choice>
  </mc:AlternateContent>
  <bookViews>
    <workbookView xWindow="0" yWindow="0" windowWidth="27374" windowHeight="12974"/>
  </bookViews>
  <sheets>
    <sheet name="lifesp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K3" i="1"/>
  <c r="N2" i="1"/>
  <c r="H2" i="1"/>
  <c r="X160" i="1"/>
  <c r="W160" i="1"/>
  <c r="J160" i="1"/>
  <c r="M160" i="1" s="1"/>
  <c r="I160" i="1"/>
  <c r="L160" i="1" s="1"/>
  <c r="N160" i="1" s="1"/>
  <c r="O160" i="1" s="1"/>
  <c r="F160" i="1"/>
  <c r="E160" i="1"/>
  <c r="H160" i="1" s="1"/>
  <c r="D160" i="1"/>
  <c r="X159" i="1"/>
  <c r="W159" i="1"/>
  <c r="J159" i="1"/>
  <c r="M159" i="1" s="1"/>
  <c r="P159" i="1" s="1"/>
  <c r="I159" i="1"/>
  <c r="F159" i="1"/>
  <c r="E159" i="1"/>
  <c r="H159" i="1" s="1"/>
  <c r="K159" i="1" s="1"/>
  <c r="D159" i="1"/>
  <c r="X158" i="1"/>
  <c r="W158" i="1"/>
  <c r="L158" i="1"/>
  <c r="J158" i="1"/>
  <c r="M158" i="1" s="1"/>
  <c r="F158" i="1"/>
  <c r="E158" i="1"/>
  <c r="H158" i="1" s="1"/>
  <c r="D158" i="1"/>
  <c r="X157" i="1"/>
  <c r="W157" i="1"/>
  <c r="J157" i="1"/>
  <c r="M157" i="1" s="1"/>
  <c r="P157" i="1" s="1"/>
  <c r="F157" i="1"/>
  <c r="L157" i="1" s="1"/>
  <c r="N157" i="1" s="1"/>
  <c r="O157" i="1" s="1"/>
  <c r="E157" i="1"/>
  <c r="D157" i="1"/>
  <c r="X156" i="1"/>
  <c r="W156" i="1"/>
  <c r="M156" i="1"/>
  <c r="P156" i="1" s="1"/>
  <c r="F156" i="1"/>
  <c r="L156" i="1" s="1"/>
  <c r="N156" i="1" s="1"/>
  <c r="O156" i="1" s="1"/>
  <c r="E156" i="1"/>
  <c r="D156" i="1"/>
  <c r="X155" i="1"/>
  <c r="W155" i="1"/>
  <c r="M155" i="1"/>
  <c r="P155" i="1" s="1"/>
  <c r="F155" i="1"/>
  <c r="L155" i="1" s="1"/>
  <c r="N155" i="1" s="1"/>
  <c r="O155" i="1" s="1"/>
  <c r="E155" i="1"/>
  <c r="D155" i="1"/>
  <c r="X154" i="1"/>
  <c r="W154" i="1"/>
  <c r="M154" i="1"/>
  <c r="L154" i="1"/>
  <c r="F154" i="1"/>
  <c r="E154" i="1"/>
  <c r="H154" i="1" s="1"/>
  <c r="K154" i="1" s="1"/>
  <c r="D154" i="1"/>
  <c r="X153" i="1"/>
  <c r="W153" i="1"/>
  <c r="M153" i="1"/>
  <c r="J153" i="1"/>
  <c r="F153" i="1"/>
  <c r="L153" i="1" s="1"/>
  <c r="N153" i="1" s="1"/>
  <c r="O153" i="1" s="1"/>
  <c r="E153" i="1"/>
  <c r="H153" i="1" s="1"/>
  <c r="K153" i="1" s="1"/>
  <c r="D153" i="1"/>
  <c r="X152" i="1"/>
  <c r="W152" i="1"/>
  <c r="M152" i="1"/>
  <c r="L152" i="1"/>
  <c r="F152" i="1"/>
  <c r="E152" i="1"/>
  <c r="H152" i="1" s="1"/>
  <c r="K152" i="1" s="1"/>
  <c r="D152" i="1"/>
  <c r="X151" i="1"/>
  <c r="W151" i="1"/>
  <c r="M151" i="1"/>
  <c r="P151" i="1" s="1"/>
  <c r="F151" i="1"/>
  <c r="L151" i="1" s="1"/>
  <c r="E151" i="1"/>
  <c r="D151" i="1"/>
  <c r="X150" i="1"/>
  <c r="W150" i="1"/>
  <c r="J150" i="1"/>
  <c r="M150" i="1" s="1"/>
  <c r="P150" i="1" s="1"/>
  <c r="I150" i="1"/>
  <c r="L150" i="1" s="1"/>
  <c r="N150" i="1" s="1"/>
  <c r="O150" i="1" s="1"/>
  <c r="E150" i="1"/>
  <c r="H150" i="1" s="1"/>
  <c r="K150" i="1" s="1"/>
  <c r="D150" i="1"/>
  <c r="X149" i="1"/>
  <c r="W149" i="1"/>
  <c r="M149" i="1"/>
  <c r="P149" i="1" s="1"/>
  <c r="I149" i="1"/>
  <c r="L149" i="1" s="1"/>
  <c r="N149" i="1" s="1"/>
  <c r="O149" i="1" s="1"/>
  <c r="H149" i="1"/>
  <c r="K149" i="1" s="1"/>
  <c r="E149" i="1"/>
  <c r="D149" i="1"/>
  <c r="X148" i="1"/>
  <c r="W148" i="1"/>
  <c r="J148" i="1"/>
  <c r="M148" i="1" s="1"/>
  <c r="P148" i="1" s="1"/>
  <c r="I148" i="1"/>
  <c r="F148" i="1"/>
  <c r="E148" i="1"/>
  <c r="D148" i="1"/>
  <c r="X147" i="1"/>
  <c r="W147" i="1"/>
  <c r="J147" i="1"/>
  <c r="M147" i="1" s="1"/>
  <c r="P147" i="1" s="1"/>
  <c r="I147" i="1"/>
  <c r="L147" i="1" s="1"/>
  <c r="N147" i="1" s="1"/>
  <c r="O147" i="1" s="1"/>
  <c r="H147" i="1"/>
  <c r="K147" i="1" s="1"/>
  <c r="E147" i="1"/>
  <c r="D147" i="1"/>
  <c r="X146" i="1"/>
  <c r="W146" i="1"/>
  <c r="M146" i="1"/>
  <c r="I146" i="1"/>
  <c r="L146" i="1" s="1"/>
  <c r="E146" i="1"/>
  <c r="P146" i="1" s="1"/>
  <c r="D146" i="1"/>
  <c r="X145" i="1"/>
  <c r="W145" i="1"/>
  <c r="J145" i="1"/>
  <c r="M145" i="1" s="1"/>
  <c r="P145" i="1" s="1"/>
  <c r="I145" i="1"/>
  <c r="G145" i="1"/>
  <c r="F145" i="1"/>
  <c r="H145" i="1" s="1"/>
  <c r="E145" i="1"/>
  <c r="D145" i="1"/>
  <c r="X144" i="1"/>
  <c r="W144" i="1"/>
  <c r="M144" i="1"/>
  <c r="L144" i="1"/>
  <c r="E144" i="1"/>
  <c r="H144" i="1" s="1"/>
  <c r="K144" i="1" s="1"/>
  <c r="D144" i="1"/>
  <c r="X143" i="1"/>
  <c r="W143" i="1"/>
  <c r="M143" i="1"/>
  <c r="L143" i="1"/>
  <c r="E143" i="1"/>
  <c r="H143" i="1" s="1"/>
  <c r="K143" i="1" s="1"/>
  <c r="D143" i="1"/>
  <c r="X142" i="1"/>
  <c r="W142" i="1"/>
  <c r="M142" i="1"/>
  <c r="P142" i="1" s="1"/>
  <c r="F142" i="1"/>
  <c r="L142" i="1" s="1"/>
  <c r="N142" i="1" s="1"/>
  <c r="O142" i="1" s="1"/>
  <c r="E142" i="1"/>
  <c r="H142" i="1" s="1"/>
  <c r="K142" i="1" s="1"/>
  <c r="D142" i="1"/>
  <c r="X141" i="1"/>
  <c r="W141" i="1"/>
  <c r="I141" i="1"/>
  <c r="L141" i="1" s="1"/>
  <c r="G141" i="1"/>
  <c r="M141" i="1" s="1"/>
  <c r="P141" i="1" s="1"/>
  <c r="F141" i="1"/>
  <c r="E141" i="1"/>
  <c r="H141" i="1" s="1"/>
  <c r="D141" i="1"/>
  <c r="X140" i="1"/>
  <c r="W140" i="1"/>
  <c r="J140" i="1"/>
  <c r="I140" i="1"/>
  <c r="L140" i="1" s="1"/>
  <c r="G140" i="1"/>
  <c r="M140" i="1" s="1"/>
  <c r="P140" i="1" s="1"/>
  <c r="F140" i="1"/>
  <c r="E140" i="1"/>
  <c r="D140" i="1"/>
  <c r="X139" i="1"/>
  <c r="W139" i="1"/>
  <c r="G139" i="1"/>
  <c r="M139" i="1" s="1"/>
  <c r="F139" i="1"/>
  <c r="L139" i="1" s="1"/>
  <c r="E139" i="1"/>
  <c r="H139" i="1" s="1"/>
  <c r="K139" i="1" s="1"/>
  <c r="D139" i="1"/>
  <c r="X138" i="1"/>
  <c r="W138" i="1"/>
  <c r="M138" i="1"/>
  <c r="F138" i="1"/>
  <c r="L138" i="1" s="1"/>
  <c r="E138" i="1"/>
  <c r="H138" i="1" s="1"/>
  <c r="K138" i="1" s="1"/>
  <c r="D138" i="1"/>
  <c r="X137" i="1"/>
  <c r="W137" i="1"/>
  <c r="M137" i="1"/>
  <c r="F137" i="1"/>
  <c r="E137" i="1"/>
  <c r="D137" i="1"/>
  <c r="X136" i="1"/>
  <c r="W136" i="1"/>
  <c r="I136" i="1"/>
  <c r="L136" i="1" s="1"/>
  <c r="N136" i="1" s="1"/>
  <c r="O136" i="1" s="1"/>
  <c r="G136" i="1"/>
  <c r="M136" i="1" s="1"/>
  <c r="E136" i="1"/>
  <c r="H136" i="1" s="1"/>
  <c r="D136" i="1"/>
  <c r="X135" i="1"/>
  <c r="W135" i="1"/>
  <c r="L135" i="1"/>
  <c r="G135" i="1"/>
  <c r="M135" i="1" s="1"/>
  <c r="P135" i="1" s="1"/>
  <c r="E135" i="1"/>
  <c r="D135" i="1"/>
  <c r="X134" i="1"/>
  <c r="W134" i="1"/>
  <c r="P134" i="1"/>
  <c r="I134" i="1"/>
  <c r="L134" i="1" s="1"/>
  <c r="N134" i="1" s="1"/>
  <c r="O134" i="1" s="1"/>
  <c r="G134" i="1"/>
  <c r="M134" i="1" s="1"/>
  <c r="F134" i="1"/>
  <c r="E134" i="1"/>
  <c r="D134" i="1"/>
  <c r="X133" i="1"/>
  <c r="W133" i="1"/>
  <c r="I133" i="1"/>
  <c r="L133" i="1" s="1"/>
  <c r="N133" i="1" s="1"/>
  <c r="O133" i="1" s="1"/>
  <c r="G133" i="1"/>
  <c r="M133" i="1" s="1"/>
  <c r="P133" i="1" s="1"/>
  <c r="F133" i="1"/>
  <c r="E133" i="1"/>
  <c r="H133" i="1" s="1"/>
  <c r="K133" i="1" s="1"/>
  <c r="D133" i="1"/>
  <c r="X132" i="1"/>
  <c r="W132" i="1"/>
  <c r="I132" i="1"/>
  <c r="L132" i="1" s="1"/>
  <c r="N132" i="1" s="1"/>
  <c r="O132" i="1" s="1"/>
  <c r="G132" i="1"/>
  <c r="M132" i="1" s="1"/>
  <c r="F132" i="1"/>
  <c r="E132" i="1"/>
  <c r="D132" i="1"/>
  <c r="X131" i="1"/>
  <c r="W131" i="1"/>
  <c r="M131" i="1"/>
  <c r="P131" i="1" s="1"/>
  <c r="G131" i="1"/>
  <c r="F131" i="1"/>
  <c r="E131" i="1"/>
  <c r="D131" i="1"/>
  <c r="X130" i="1"/>
  <c r="W130" i="1"/>
  <c r="M130" i="1"/>
  <c r="I130" i="1"/>
  <c r="G130" i="1"/>
  <c r="F130" i="1"/>
  <c r="H130" i="1" s="1"/>
  <c r="K130" i="1" s="1"/>
  <c r="E130" i="1"/>
  <c r="D130" i="1"/>
  <c r="X129" i="1"/>
  <c r="W129" i="1"/>
  <c r="J129" i="1"/>
  <c r="I129" i="1"/>
  <c r="H129" i="1"/>
  <c r="K129" i="1" s="1"/>
  <c r="G129" i="1"/>
  <c r="F129" i="1"/>
  <c r="E129" i="1"/>
  <c r="D129" i="1"/>
  <c r="X128" i="1"/>
  <c r="W128" i="1"/>
  <c r="K128" i="1"/>
  <c r="J128" i="1"/>
  <c r="M128" i="1" s="1"/>
  <c r="P128" i="1" s="1"/>
  <c r="I128" i="1"/>
  <c r="L128" i="1" s="1"/>
  <c r="N128" i="1" s="1"/>
  <c r="O128" i="1" s="1"/>
  <c r="G128" i="1"/>
  <c r="F128" i="1"/>
  <c r="H128" i="1" s="1"/>
  <c r="E128" i="1"/>
  <c r="D128" i="1"/>
  <c r="X127" i="1"/>
  <c r="W127" i="1"/>
  <c r="J127" i="1"/>
  <c r="I127" i="1"/>
  <c r="G127" i="1"/>
  <c r="F127" i="1"/>
  <c r="E127" i="1"/>
  <c r="D127" i="1"/>
  <c r="X126" i="1"/>
  <c r="W126" i="1"/>
  <c r="J126" i="1"/>
  <c r="I126" i="1"/>
  <c r="L126" i="1" s="1"/>
  <c r="N126" i="1" s="1"/>
  <c r="O126" i="1" s="1"/>
  <c r="G126" i="1"/>
  <c r="F126" i="1"/>
  <c r="E126" i="1"/>
  <c r="H126" i="1" s="1"/>
  <c r="K126" i="1" s="1"/>
  <c r="D126" i="1"/>
  <c r="X125" i="1"/>
  <c r="W125" i="1"/>
  <c r="L125" i="1"/>
  <c r="N125" i="1" s="1"/>
  <c r="O125" i="1" s="1"/>
  <c r="J125" i="1"/>
  <c r="I125" i="1"/>
  <c r="G125" i="1"/>
  <c r="M125" i="1" s="1"/>
  <c r="F125" i="1"/>
  <c r="E125" i="1"/>
  <c r="D125" i="1"/>
  <c r="X124" i="1"/>
  <c r="W124" i="1"/>
  <c r="J124" i="1"/>
  <c r="M124" i="1" s="1"/>
  <c r="P124" i="1" s="1"/>
  <c r="I124" i="1"/>
  <c r="G124" i="1"/>
  <c r="F124" i="1"/>
  <c r="L124" i="1" s="1"/>
  <c r="N124" i="1" s="1"/>
  <c r="O124" i="1" s="1"/>
  <c r="E124" i="1"/>
  <c r="D124" i="1"/>
  <c r="W123" i="1"/>
  <c r="R123" i="1"/>
  <c r="X123" i="1" s="1"/>
  <c r="J123" i="1"/>
  <c r="I123" i="1"/>
  <c r="G123" i="1"/>
  <c r="F123" i="1"/>
  <c r="E123" i="1"/>
  <c r="D123" i="1"/>
  <c r="X122" i="1"/>
  <c r="W122" i="1"/>
  <c r="J122" i="1"/>
  <c r="I122" i="1"/>
  <c r="L122" i="1" s="1"/>
  <c r="N122" i="1" s="1"/>
  <c r="O122" i="1" s="1"/>
  <c r="G122" i="1"/>
  <c r="F122" i="1"/>
  <c r="E122" i="1"/>
  <c r="D122" i="1"/>
  <c r="X121" i="1"/>
  <c r="W121" i="1"/>
  <c r="L121" i="1"/>
  <c r="N121" i="1" s="1"/>
  <c r="O121" i="1" s="1"/>
  <c r="J121" i="1"/>
  <c r="I121" i="1"/>
  <c r="G121" i="1"/>
  <c r="F121" i="1"/>
  <c r="E121" i="1"/>
  <c r="H121" i="1" s="1"/>
  <c r="D121" i="1"/>
  <c r="X120" i="1"/>
  <c r="W120" i="1"/>
  <c r="O120" i="1"/>
  <c r="L120" i="1"/>
  <c r="N120" i="1" s="1"/>
  <c r="J120" i="1"/>
  <c r="M120" i="1" s="1"/>
  <c r="P120" i="1" s="1"/>
  <c r="F120" i="1"/>
  <c r="E120" i="1"/>
  <c r="D120" i="1"/>
  <c r="X119" i="1"/>
  <c r="W119" i="1"/>
  <c r="M119" i="1"/>
  <c r="P119" i="1" s="1"/>
  <c r="I119" i="1"/>
  <c r="L119" i="1" s="1"/>
  <c r="G119" i="1"/>
  <c r="F119" i="1"/>
  <c r="E119" i="1"/>
  <c r="D119" i="1"/>
  <c r="X118" i="1"/>
  <c r="W118" i="1"/>
  <c r="J118" i="1"/>
  <c r="M118" i="1" s="1"/>
  <c r="P118" i="1" s="1"/>
  <c r="I118" i="1"/>
  <c r="F118" i="1"/>
  <c r="E118" i="1"/>
  <c r="D118" i="1"/>
  <c r="X117" i="1"/>
  <c r="W117" i="1"/>
  <c r="J117" i="1"/>
  <c r="M117" i="1" s="1"/>
  <c r="P117" i="1" s="1"/>
  <c r="I117" i="1"/>
  <c r="L117" i="1" s="1"/>
  <c r="N117" i="1" s="1"/>
  <c r="O117" i="1" s="1"/>
  <c r="H117" i="1"/>
  <c r="F117" i="1"/>
  <c r="E117" i="1"/>
  <c r="D117" i="1"/>
  <c r="X116" i="1"/>
  <c r="W116" i="1"/>
  <c r="N116" i="1"/>
  <c r="O116" i="1" s="1"/>
  <c r="L116" i="1"/>
  <c r="J116" i="1"/>
  <c r="M116" i="1" s="1"/>
  <c r="P116" i="1" s="1"/>
  <c r="I116" i="1"/>
  <c r="E116" i="1"/>
  <c r="H116" i="1" s="1"/>
  <c r="D116" i="1"/>
  <c r="X115" i="1"/>
  <c r="W115" i="1"/>
  <c r="M115" i="1"/>
  <c r="L115" i="1"/>
  <c r="J115" i="1"/>
  <c r="I115" i="1"/>
  <c r="E115" i="1"/>
  <c r="H115" i="1" s="1"/>
  <c r="D115" i="1"/>
  <c r="X114" i="1"/>
  <c r="W114" i="1"/>
  <c r="P114" i="1"/>
  <c r="M114" i="1"/>
  <c r="J114" i="1"/>
  <c r="I114" i="1"/>
  <c r="L114" i="1" s="1"/>
  <c r="N114" i="1" s="1"/>
  <c r="O114" i="1" s="1"/>
  <c r="H114" i="1"/>
  <c r="E114" i="1"/>
  <c r="D114" i="1"/>
  <c r="X113" i="1"/>
  <c r="W113" i="1"/>
  <c r="J113" i="1"/>
  <c r="M113" i="1" s="1"/>
  <c r="P113" i="1" s="1"/>
  <c r="I113" i="1"/>
  <c r="L113" i="1" s="1"/>
  <c r="E113" i="1"/>
  <c r="H113" i="1" s="1"/>
  <c r="D113" i="1"/>
  <c r="X112" i="1"/>
  <c r="W112" i="1"/>
  <c r="J112" i="1"/>
  <c r="M112" i="1" s="1"/>
  <c r="P112" i="1" s="1"/>
  <c r="I112" i="1"/>
  <c r="L112" i="1" s="1"/>
  <c r="E112" i="1"/>
  <c r="H112" i="1" s="1"/>
  <c r="D112" i="1"/>
  <c r="X111" i="1"/>
  <c r="W111" i="1"/>
  <c r="J111" i="1"/>
  <c r="M111" i="1" s="1"/>
  <c r="P111" i="1" s="1"/>
  <c r="I111" i="1"/>
  <c r="L111" i="1" s="1"/>
  <c r="E111" i="1"/>
  <c r="H111" i="1" s="1"/>
  <c r="K111" i="1" s="1"/>
  <c r="D111" i="1"/>
  <c r="X110" i="1"/>
  <c r="W110" i="1"/>
  <c r="P110" i="1"/>
  <c r="G110" i="1"/>
  <c r="M110" i="1" s="1"/>
  <c r="F110" i="1"/>
  <c r="L110" i="1" s="1"/>
  <c r="N110" i="1" s="1"/>
  <c r="O110" i="1" s="1"/>
  <c r="E110" i="1"/>
  <c r="D110" i="1"/>
  <c r="X109" i="1"/>
  <c r="W109" i="1"/>
  <c r="G109" i="1"/>
  <c r="M109" i="1" s="1"/>
  <c r="F109" i="1"/>
  <c r="L109" i="1" s="1"/>
  <c r="N109" i="1" s="1"/>
  <c r="O109" i="1" s="1"/>
  <c r="E109" i="1"/>
  <c r="D109" i="1"/>
  <c r="X108" i="1"/>
  <c r="W108" i="1"/>
  <c r="G108" i="1"/>
  <c r="M108" i="1" s="1"/>
  <c r="F108" i="1"/>
  <c r="L108" i="1" s="1"/>
  <c r="N108" i="1" s="1"/>
  <c r="O108" i="1" s="1"/>
  <c r="E108" i="1"/>
  <c r="D108" i="1"/>
  <c r="X107" i="1"/>
  <c r="W107" i="1"/>
  <c r="I107" i="1"/>
  <c r="L107" i="1" s="1"/>
  <c r="N107" i="1" s="1"/>
  <c r="O107" i="1" s="1"/>
  <c r="G107" i="1"/>
  <c r="M107" i="1" s="1"/>
  <c r="F107" i="1"/>
  <c r="E107" i="1"/>
  <c r="D107" i="1"/>
  <c r="X106" i="1"/>
  <c r="W106" i="1"/>
  <c r="M106" i="1"/>
  <c r="I106" i="1"/>
  <c r="G106" i="1"/>
  <c r="F106" i="1"/>
  <c r="E106" i="1"/>
  <c r="D106" i="1"/>
  <c r="X105" i="1"/>
  <c r="W105" i="1"/>
  <c r="O105" i="1"/>
  <c r="I105" i="1"/>
  <c r="H105" i="1"/>
  <c r="K105" i="1" s="1"/>
  <c r="G105" i="1"/>
  <c r="M105" i="1" s="1"/>
  <c r="P105" i="1" s="1"/>
  <c r="F105" i="1"/>
  <c r="L105" i="1" s="1"/>
  <c r="N105" i="1" s="1"/>
  <c r="E105" i="1"/>
  <c r="D105" i="1"/>
  <c r="X104" i="1"/>
  <c r="W104" i="1"/>
  <c r="M104" i="1"/>
  <c r="P104" i="1" s="1"/>
  <c r="G104" i="1"/>
  <c r="F104" i="1"/>
  <c r="L104" i="1" s="1"/>
  <c r="N104" i="1" s="1"/>
  <c r="O104" i="1" s="1"/>
  <c r="E104" i="1"/>
  <c r="D104" i="1"/>
  <c r="X103" i="1"/>
  <c r="W103" i="1"/>
  <c r="J103" i="1"/>
  <c r="M103" i="1" s="1"/>
  <c r="I103" i="1"/>
  <c r="F103" i="1"/>
  <c r="E103" i="1"/>
  <c r="D103" i="1"/>
  <c r="X102" i="1"/>
  <c r="W102" i="1"/>
  <c r="L102" i="1"/>
  <c r="I102" i="1"/>
  <c r="G102" i="1"/>
  <c r="M102" i="1" s="1"/>
  <c r="F102" i="1"/>
  <c r="E102" i="1"/>
  <c r="N102" i="1" s="1"/>
  <c r="O102" i="1" s="1"/>
  <c r="D102" i="1"/>
  <c r="X101" i="1"/>
  <c r="W101" i="1"/>
  <c r="J101" i="1"/>
  <c r="I101" i="1"/>
  <c r="G101" i="1"/>
  <c r="F101" i="1"/>
  <c r="E101" i="1"/>
  <c r="D101" i="1"/>
  <c r="X100" i="1"/>
  <c r="W100" i="1"/>
  <c r="J100" i="1"/>
  <c r="M100" i="1" s="1"/>
  <c r="I100" i="1"/>
  <c r="G100" i="1"/>
  <c r="F100" i="1"/>
  <c r="E100" i="1"/>
  <c r="H100" i="1" s="1"/>
  <c r="K100" i="1" s="1"/>
  <c r="D100" i="1"/>
  <c r="X99" i="1"/>
  <c r="W99" i="1"/>
  <c r="J99" i="1"/>
  <c r="M99" i="1" s="1"/>
  <c r="P99" i="1" s="1"/>
  <c r="I99" i="1"/>
  <c r="G99" i="1"/>
  <c r="F99" i="1"/>
  <c r="E99" i="1"/>
  <c r="D99" i="1"/>
  <c r="X98" i="1"/>
  <c r="W98" i="1"/>
  <c r="J98" i="1"/>
  <c r="I98" i="1"/>
  <c r="L98" i="1" s="1"/>
  <c r="N98" i="1" s="1"/>
  <c r="O98" i="1" s="1"/>
  <c r="G98" i="1"/>
  <c r="F98" i="1"/>
  <c r="E98" i="1"/>
  <c r="D98" i="1"/>
  <c r="X97" i="1"/>
  <c r="W97" i="1"/>
  <c r="J97" i="1"/>
  <c r="I97" i="1"/>
  <c r="G97" i="1"/>
  <c r="F97" i="1"/>
  <c r="L97" i="1" s="1"/>
  <c r="N97" i="1" s="1"/>
  <c r="O97" i="1" s="1"/>
  <c r="E97" i="1"/>
  <c r="D97" i="1"/>
  <c r="X96" i="1"/>
  <c r="W96" i="1"/>
  <c r="J96" i="1"/>
  <c r="M96" i="1" s="1"/>
  <c r="P96" i="1" s="1"/>
  <c r="I96" i="1"/>
  <c r="H96" i="1"/>
  <c r="K96" i="1" s="1"/>
  <c r="G96" i="1"/>
  <c r="F96" i="1"/>
  <c r="E96" i="1"/>
  <c r="D96" i="1"/>
  <c r="X95" i="1"/>
  <c r="W95" i="1"/>
  <c r="L95" i="1"/>
  <c r="N95" i="1" s="1"/>
  <c r="O95" i="1" s="1"/>
  <c r="J95" i="1"/>
  <c r="I95" i="1"/>
  <c r="G95" i="1"/>
  <c r="M95" i="1" s="1"/>
  <c r="P95" i="1" s="1"/>
  <c r="F95" i="1"/>
  <c r="E95" i="1"/>
  <c r="D95" i="1"/>
  <c r="X94" i="1"/>
  <c r="W94" i="1"/>
  <c r="J94" i="1"/>
  <c r="I94" i="1"/>
  <c r="G94" i="1"/>
  <c r="F94" i="1"/>
  <c r="E94" i="1"/>
  <c r="D94" i="1"/>
  <c r="X93" i="1"/>
  <c r="W93" i="1"/>
  <c r="M93" i="1"/>
  <c r="J93" i="1"/>
  <c r="I93" i="1"/>
  <c r="L93" i="1" s="1"/>
  <c r="N93" i="1" s="1"/>
  <c r="O93" i="1" s="1"/>
  <c r="F93" i="1"/>
  <c r="E93" i="1"/>
  <c r="D93" i="1"/>
  <c r="X92" i="1"/>
  <c r="W92" i="1"/>
  <c r="J92" i="1"/>
  <c r="I92" i="1"/>
  <c r="L92" i="1" s="1"/>
  <c r="N92" i="1" s="1"/>
  <c r="O92" i="1" s="1"/>
  <c r="G92" i="1"/>
  <c r="M92" i="1" s="1"/>
  <c r="P92" i="1" s="1"/>
  <c r="F92" i="1"/>
  <c r="E92" i="1"/>
  <c r="D92" i="1"/>
  <c r="X91" i="1"/>
  <c r="W91" i="1"/>
  <c r="J91" i="1"/>
  <c r="I91" i="1"/>
  <c r="G91" i="1"/>
  <c r="F91" i="1"/>
  <c r="E91" i="1"/>
  <c r="D91" i="1"/>
  <c r="X90" i="1"/>
  <c r="W90" i="1"/>
  <c r="J90" i="1"/>
  <c r="I90" i="1"/>
  <c r="L90" i="1" s="1"/>
  <c r="G90" i="1"/>
  <c r="F90" i="1"/>
  <c r="E90" i="1"/>
  <c r="D90" i="1"/>
  <c r="X89" i="1"/>
  <c r="W89" i="1"/>
  <c r="L89" i="1"/>
  <c r="N89" i="1" s="1"/>
  <c r="O89" i="1" s="1"/>
  <c r="J89" i="1"/>
  <c r="M89" i="1" s="1"/>
  <c r="P89" i="1" s="1"/>
  <c r="I89" i="1"/>
  <c r="G89" i="1"/>
  <c r="F89" i="1"/>
  <c r="E89" i="1"/>
  <c r="H89" i="1" s="1"/>
  <c r="K89" i="1" s="1"/>
  <c r="D89" i="1"/>
  <c r="X88" i="1"/>
  <c r="W88" i="1"/>
  <c r="J88" i="1"/>
  <c r="I88" i="1"/>
  <c r="G88" i="1"/>
  <c r="M88" i="1" s="1"/>
  <c r="P88" i="1" s="1"/>
  <c r="F88" i="1"/>
  <c r="E88" i="1"/>
  <c r="D88" i="1"/>
  <c r="X87" i="1"/>
  <c r="W87" i="1"/>
  <c r="J87" i="1"/>
  <c r="I87" i="1"/>
  <c r="G87" i="1"/>
  <c r="F87" i="1"/>
  <c r="E87" i="1"/>
  <c r="D87" i="1"/>
  <c r="X86" i="1"/>
  <c r="W86" i="1"/>
  <c r="M86" i="1"/>
  <c r="P86" i="1" s="1"/>
  <c r="J86" i="1"/>
  <c r="I86" i="1"/>
  <c r="L86" i="1" s="1"/>
  <c r="N86" i="1" s="1"/>
  <c r="O86" i="1" s="1"/>
  <c r="G86" i="1"/>
  <c r="F86" i="1"/>
  <c r="E86" i="1"/>
  <c r="D86" i="1"/>
  <c r="X85" i="1"/>
  <c r="W85" i="1"/>
  <c r="L85" i="1"/>
  <c r="N85" i="1" s="1"/>
  <c r="O85" i="1" s="1"/>
  <c r="J85" i="1"/>
  <c r="I85" i="1"/>
  <c r="G85" i="1"/>
  <c r="F85" i="1"/>
  <c r="E85" i="1"/>
  <c r="H85" i="1" s="1"/>
  <c r="D85" i="1"/>
  <c r="X84" i="1"/>
  <c r="W84" i="1"/>
  <c r="J84" i="1"/>
  <c r="I84" i="1"/>
  <c r="L84" i="1" s="1"/>
  <c r="N84" i="1" s="1"/>
  <c r="O84" i="1" s="1"/>
  <c r="G84" i="1"/>
  <c r="F84" i="1"/>
  <c r="E84" i="1"/>
  <c r="H84" i="1" s="1"/>
  <c r="D84" i="1"/>
  <c r="X83" i="1"/>
  <c r="W83" i="1"/>
  <c r="N83" i="1"/>
  <c r="O83" i="1" s="1"/>
  <c r="J83" i="1"/>
  <c r="I83" i="1"/>
  <c r="G83" i="1"/>
  <c r="F83" i="1"/>
  <c r="L83" i="1" s="1"/>
  <c r="E83" i="1"/>
  <c r="D83" i="1"/>
  <c r="X82" i="1"/>
  <c r="W82" i="1"/>
  <c r="G82" i="1"/>
  <c r="M82" i="1" s="1"/>
  <c r="P82" i="1" s="1"/>
  <c r="F82" i="1"/>
  <c r="L82" i="1" s="1"/>
  <c r="E82" i="1"/>
  <c r="H82" i="1" s="1"/>
  <c r="D82" i="1"/>
  <c r="X81" i="1"/>
  <c r="W81" i="1"/>
  <c r="J81" i="1"/>
  <c r="M81" i="1" s="1"/>
  <c r="P81" i="1" s="1"/>
  <c r="I81" i="1"/>
  <c r="G81" i="1"/>
  <c r="F81" i="1"/>
  <c r="E81" i="1"/>
  <c r="H81" i="1" s="1"/>
  <c r="D81" i="1"/>
  <c r="X80" i="1"/>
  <c r="W80" i="1"/>
  <c r="L80" i="1"/>
  <c r="N80" i="1" s="1"/>
  <c r="O80" i="1" s="1"/>
  <c r="J80" i="1"/>
  <c r="M80" i="1" s="1"/>
  <c r="I80" i="1"/>
  <c r="E80" i="1"/>
  <c r="H80" i="1" s="1"/>
  <c r="K80" i="1" s="1"/>
  <c r="D80" i="1"/>
  <c r="X79" i="1"/>
  <c r="W79" i="1"/>
  <c r="M79" i="1"/>
  <c r="L79" i="1"/>
  <c r="N79" i="1" s="1"/>
  <c r="O79" i="1" s="1"/>
  <c r="H79" i="1"/>
  <c r="K79" i="1" s="1"/>
  <c r="E79" i="1"/>
  <c r="D79" i="1"/>
  <c r="X78" i="1"/>
  <c r="W78" i="1"/>
  <c r="J78" i="1"/>
  <c r="M78" i="1" s="1"/>
  <c r="I78" i="1"/>
  <c r="L78" i="1" s="1"/>
  <c r="N78" i="1" s="1"/>
  <c r="O78" i="1" s="1"/>
  <c r="F78" i="1"/>
  <c r="E78" i="1"/>
  <c r="D78" i="1"/>
  <c r="X77" i="1"/>
  <c r="W77" i="1"/>
  <c r="J77" i="1"/>
  <c r="M77" i="1" s="1"/>
  <c r="P77" i="1" s="1"/>
  <c r="I77" i="1"/>
  <c r="F77" i="1"/>
  <c r="E77" i="1"/>
  <c r="D77" i="1"/>
  <c r="X76" i="1"/>
  <c r="W76" i="1"/>
  <c r="M76" i="1"/>
  <c r="P76" i="1" s="1"/>
  <c r="J76" i="1"/>
  <c r="I76" i="1"/>
  <c r="H76" i="1"/>
  <c r="K76" i="1" s="1"/>
  <c r="F76" i="1"/>
  <c r="E76" i="1"/>
  <c r="D76" i="1"/>
  <c r="X75" i="1"/>
  <c r="W75" i="1"/>
  <c r="M75" i="1"/>
  <c r="P75" i="1" s="1"/>
  <c r="J75" i="1"/>
  <c r="I75" i="1"/>
  <c r="L75" i="1" s="1"/>
  <c r="N75" i="1" s="1"/>
  <c r="O75" i="1" s="1"/>
  <c r="F75" i="1"/>
  <c r="E75" i="1"/>
  <c r="D75" i="1"/>
  <c r="X74" i="1"/>
  <c r="W74" i="1"/>
  <c r="J74" i="1"/>
  <c r="I74" i="1"/>
  <c r="G74" i="1"/>
  <c r="M74" i="1" s="1"/>
  <c r="P74" i="1" s="1"/>
  <c r="F74" i="1"/>
  <c r="E74" i="1"/>
  <c r="D74" i="1"/>
  <c r="X73" i="1"/>
  <c r="W73" i="1"/>
  <c r="J73" i="1"/>
  <c r="M73" i="1" s="1"/>
  <c r="G73" i="1"/>
  <c r="F73" i="1"/>
  <c r="L73" i="1" s="1"/>
  <c r="E73" i="1"/>
  <c r="D73" i="1"/>
  <c r="X72" i="1"/>
  <c r="W72" i="1"/>
  <c r="I72" i="1"/>
  <c r="L72" i="1" s="1"/>
  <c r="N72" i="1" s="1"/>
  <c r="O72" i="1" s="1"/>
  <c r="G72" i="1"/>
  <c r="M72" i="1" s="1"/>
  <c r="F72" i="1"/>
  <c r="E72" i="1"/>
  <c r="D72" i="1"/>
  <c r="X71" i="1"/>
  <c r="W71" i="1"/>
  <c r="J71" i="1"/>
  <c r="M71" i="1" s="1"/>
  <c r="I71" i="1"/>
  <c r="L71" i="1" s="1"/>
  <c r="N71" i="1" s="1"/>
  <c r="O71" i="1" s="1"/>
  <c r="F71" i="1"/>
  <c r="E71" i="1"/>
  <c r="H71" i="1" s="1"/>
  <c r="D71" i="1"/>
  <c r="X70" i="1"/>
  <c r="W70" i="1"/>
  <c r="J70" i="1"/>
  <c r="I70" i="1"/>
  <c r="L70" i="1" s="1"/>
  <c r="N70" i="1" s="1"/>
  <c r="O70" i="1" s="1"/>
  <c r="G70" i="1"/>
  <c r="E70" i="1"/>
  <c r="H70" i="1" s="1"/>
  <c r="K70" i="1" s="1"/>
  <c r="D70" i="1"/>
  <c r="X69" i="1"/>
  <c r="W69" i="1"/>
  <c r="I69" i="1"/>
  <c r="L69" i="1" s="1"/>
  <c r="N69" i="1" s="1"/>
  <c r="O69" i="1" s="1"/>
  <c r="G69" i="1"/>
  <c r="M69" i="1" s="1"/>
  <c r="F69" i="1"/>
  <c r="E69" i="1"/>
  <c r="D69" i="1"/>
  <c r="X68" i="1"/>
  <c r="W68" i="1"/>
  <c r="I68" i="1"/>
  <c r="L68" i="1" s="1"/>
  <c r="N68" i="1" s="1"/>
  <c r="O68" i="1" s="1"/>
  <c r="G68" i="1"/>
  <c r="M68" i="1" s="1"/>
  <c r="P68" i="1" s="1"/>
  <c r="F68" i="1"/>
  <c r="E68" i="1"/>
  <c r="H68" i="1" s="1"/>
  <c r="K68" i="1" s="1"/>
  <c r="D68" i="1"/>
  <c r="X67" i="1"/>
  <c r="W67" i="1"/>
  <c r="I67" i="1"/>
  <c r="G67" i="1"/>
  <c r="M67" i="1" s="1"/>
  <c r="P67" i="1" s="1"/>
  <c r="F67" i="1"/>
  <c r="E67" i="1"/>
  <c r="D67" i="1"/>
  <c r="X66" i="1"/>
  <c r="W66" i="1"/>
  <c r="L66" i="1"/>
  <c r="I66" i="1"/>
  <c r="G66" i="1"/>
  <c r="M66" i="1" s="1"/>
  <c r="P66" i="1" s="1"/>
  <c r="F66" i="1"/>
  <c r="E66" i="1"/>
  <c r="D66" i="1"/>
  <c r="X65" i="1"/>
  <c r="W65" i="1"/>
  <c r="N65" i="1"/>
  <c r="O65" i="1" s="1"/>
  <c r="L65" i="1"/>
  <c r="J65" i="1"/>
  <c r="I65" i="1"/>
  <c r="G65" i="1"/>
  <c r="E65" i="1"/>
  <c r="D65" i="1"/>
  <c r="X64" i="1"/>
  <c r="W64" i="1"/>
  <c r="J64" i="1"/>
  <c r="M64" i="1" s="1"/>
  <c r="P64" i="1" s="1"/>
  <c r="I64" i="1"/>
  <c r="G64" i="1"/>
  <c r="F64" i="1"/>
  <c r="H64" i="1" s="1"/>
  <c r="K64" i="1" s="1"/>
  <c r="E64" i="1"/>
  <c r="D64" i="1"/>
  <c r="X63" i="1"/>
  <c r="W63" i="1"/>
  <c r="L63" i="1"/>
  <c r="J63" i="1"/>
  <c r="M63" i="1" s="1"/>
  <c r="I63" i="1"/>
  <c r="G63" i="1"/>
  <c r="F63" i="1"/>
  <c r="E63" i="1"/>
  <c r="H63" i="1" s="1"/>
  <c r="K63" i="1" s="1"/>
  <c r="D63" i="1"/>
  <c r="X62" i="1"/>
  <c r="W62" i="1"/>
  <c r="I62" i="1"/>
  <c r="G62" i="1"/>
  <c r="M62" i="1" s="1"/>
  <c r="F62" i="1"/>
  <c r="E62" i="1"/>
  <c r="D62" i="1"/>
  <c r="X61" i="1"/>
  <c r="W61" i="1"/>
  <c r="N61" i="1"/>
  <c r="O61" i="1" s="1"/>
  <c r="J61" i="1"/>
  <c r="I61" i="1"/>
  <c r="L61" i="1" s="1"/>
  <c r="G61" i="1"/>
  <c r="F61" i="1"/>
  <c r="E61" i="1"/>
  <c r="H61" i="1" s="1"/>
  <c r="K61" i="1" s="1"/>
  <c r="D61" i="1"/>
  <c r="X60" i="1"/>
  <c r="W60" i="1"/>
  <c r="J60" i="1"/>
  <c r="I60" i="1"/>
  <c r="L60" i="1" s="1"/>
  <c r="N60" i="1" s="1"/>
  <c r="O60" i="1" s="1"/>
  <c r="G60" i="1"/>
  <c r="F60" i="1"/>
  <c r="E60" i="1"/>
  <c r="D60" i="1"/>
  <c r="X59" i="1"/>
  <c r="W59" i="1"/>
  <c r="J59" i="1"/>
  <c r="I59" i="1"/>
  <c r="G59" i="1"/>
  <c r="F59" i="1"/>
  <c r="L59" i="1" s="1"/>
  <c r="N59" i="1" s="1"/>
  <c r="O59" i="1" s="1"/>
  <c r="E59" i="1"/>
  <c r="D59" i="1"/>
  <c r="X58" i="1"/>
  <c r="W58" i="1"/>
  <c r="J58" i="1"/>
  <c r="M58" i="1" s="1"/>
  <c r="P58" i="1" s="1"/>
  <c r="I58" i="1"/>
  <c r="F58" i="1"/>
  <c r="H58" i="1" s="1"/>
  <c r="E58" i="1"/>
  <c r="D58" i="1"/>
  <c r="X57" i="1"/>
  <c r="W57" i="1"/>
  <c r="J57" i="1"/>
  <c r="M57" i="1" s="1"/>
  <c r="P57" i="1" s="1"/>
  <c r="I57" i="1"/>
  <c r="F57" i="1"/>
  <c r="H57" i="1" s="1"/>
  <c r="K57" i="1" s="1"/>
  <c r="E57" i="1"/>
  <c r="D57" i="1"/>
  <c r="X56" i="1"/>
  <c r="W56" i="1"/>
  <c r="J56" i="1"/>
  <c r="I56" i="1"/>
  <c r="G56" i="1"/>
  <c r="M56" i="1" s="1"/>
  <c r="F56" i="1"/>
  <c r="E56" i="1"/>
  <c r="D56" i="1"/>
  <c r="X55" i="1"/>
  <c r="W55" i="1"/>
  <c r="J55" i="1"/>
  <c r="M55" i="1" s="1"/>
  <c r="P55" i="1" s="1"/>
  <c r="I55" i="1"/>
  <c r="H55" i="1"/>
  <c r="K55" i="1" s="1"/>
  <c r="G55" i="1"/>
  <c r="F55" i="1"/>
  <c r="E55" i="1"/>
  <c r="D55" i="1"/>
  <c r="X54" i="1"/>
  <c r="W54" i="1"/>
  <c r="J54" i="1"/>
  <c r="M54" i="1" s="1"/>
  <c r="I54" i="1"/>
  <c r="L54" i="1" s="1"/>
  <c r="N54" i="1" s="1"/>
  <c r="O54" i="1" s="1"/>
  <c r="F54" i="1"/>
  <c r="E54" i="1"/>
  <c r="D54" i="1"/>
  <c r="X53" i="1"/>
  <c r="W53" i="1"/>
  <c r="J53" i="1"/>
  <c r="I53" i="1"/>
  <c r="G53" i="1"/>
  <c r="F53" i="1"/>
  <c r="E53" i="1"/>
  <c r="D53" i="1"/>
  <c r="X52" i="1"/>
  <c r="W52" i="1"/>
  <c r="M52" i="1"/>
  <c r="I52" i="1"/>
  <c r="F52" i="1"/>
  <c r="E52" i="1"/>
  <c r="D52" i="1"/>
  <c r="X51" i="1"/>
  <c r="W51" i="1"/>
  <c r="I51" i="1"/>
  <c r="L51" i="1" s="1"/>
  <c r="N51" i="1" s="1"/>
  <c r="O51" i="1" s="1"/>
  <c r="G51" i="1"/>
  <c r="M51" i="1" s="1"/>
  <c r="P51" i="1" s="1"/>
  <c r="E51" i="1"/>
  <c r="D51" i="1"/>
  <c r="X50" i="1"/>
  <c r="W50" i="1"/>
  <c r="J50" i="1"/>
  <c r="M50" i="1" s="1"/>
  <c r="I50" i="1"/>
  <c r="F50" i="1"/>
  <c r="H50" i="1" s="1"/>
  <c r="K50" i="1" s="1"/>
  <c r="E50" i="1"/>
  <c r="D50" i="1"/>
  <c r="X49" i="1"/>
  <c r="W49" i="1"/>
  <c r="J49" i="1"/>
  <c r="M49" i="1" s="1"/>
  <c r="I49" i="1"/>
  <c r="L49" i="1" s="1"/>
  <c r="F49" i="1"/>
  <c r="E49" i="1"/>
  <c r="H49" i="1" s="1"/>
  <c r="K49" i="1" s="1"/>
  <c r="D49" i="1"/>
  <c r="X48" i="1"/>
  <c r="W48" i="1"/>
  <c r="L48" i="1"/>
  <c r="N48" i="1" s="1"/>
  <c r="O48" i="1" s="1"/>
  <c r="J48" i="1"/>
  <c r="I48" i="1"/>
  <c r="G48" i="1"/>
  <c r="M48" i="1" s="1"/>
  <c r="P48" i="1" s="1"/>
  <c r="F48" i="1"/>
  <c r="E48" i="1"/>
  <c r="D48" i="1"/>
  <c r="X47" i="1"/>
  <c r="W47" i="1"/>
  <c r="M47" i="1"/>
  <c r="J47" i="1"/>
  <c r="I47" i="1"/>
  <c r="L47" i="1" s="1"/>
  <c r="G47" i="1"/>
  <c r="F47" i="1"/>
  <c r="E47" i="1"/>
  <c r="D47" i="1"/>
  <c r="X46" i="1"/>
  <c r="W46" i="1"/>
  <c r="J46" i="1"/>
  <c r="I46" i="1"/>
  <c r="L46" i="1" s="1"/>
  <c r="N46" i="1" s="1"/>
  <c r="O46" i="1" s="1"/>
  <c r="G46" i="1"/>
  <c r="M46" i="1" s="1"/>
  <c r="P46" i="1" s="1"/>
  <c r="E46" i="1"/>
  <c r="D46" i="1"/>
  <c r="X45" i="1"/>
  <c r="W45" i="1"/>
  <c r="J45" i="1"/>
  <c r="I45" i="1"/>
  <c r="G45" i="1"/>
  <c r="F45" i="1"/>
  <c r="L45" i="1" s="1"/>
  <c r="N45" i="1" s="1"/>
  <c r="O45" i="1" s="1"/>
  <c r="E45" i="1"/>
  <c r="D45" i="1"/>
  <c r="X44" i="1"/>
  <c r="W44" i="1"/>
  <c r="J44" i="1"/>
  <c r="M44" i="1" s="1"/>
  <c r="P44" i="1" s="1"/>
  <c r="I44" i="1"/>
  <c r="L44" i="1" s="1"/>
  <c r="N44" i="1" s="1"/>
  <c r="O44" i="1" s="1"/>
  <c r="H44" i="1"/>
  <c r="K44" i="1" s="1"/>
  <c r="E44" i="1"/>
  <c r="D44" i="1"/>
  <c r="X43" i="1"/>
  <c r="W43" i="1"/>
  <c r="J43" i="1"/>
  <c r="I43" i="1"/>
  <c r="L43" i="1" s="1"/>
  <c r="N43" i="1" s="1"/>
  <c r="O43" i="1" s="1"/>
  <c r="G43" i="1"/>
  <c r="F43" i="1"/>
  <c r="E43" i="1"/>
  <c r="D43" i="1"/>
  <c r="X42" i="1"/>
  <c r="W42" i="1"/>
  <c r="G42" i="1"/>
  <c r="M42" i="1" s="1"/>
  <c r="P42" i="1" s="1"/>
  <c r="F42" i="1"/>
  <c r="L42" i="1" s="1"/>
  <c r="E42" i="1"/>
  <c r="D42" i="1"/>
  <c r="X41" i="1"/>
  <c r="W41" i="1"/>
  <c r="J41" i="1"/>
  <c r="I41" i="1"/>
  <c r="L41" i="1" s="1"/>
  <c r="N41" i="1" s="1"/>
  <c r="O41" i="1" s="1"/>
  <c r="G41" i="1"/>
  <c r="F41" i="1"/>
  <c r="E41" i="1"/>
  <c r="H41" i="1" s="1"/>
  <c r="K41" i="1" s="1"/>
  <c r="D41" i="1"/>
  <c r="X40" i="1"/>
  <c r="W40" i="1"/>
  <c r="J40" i="1"/>
  <c r="M40" i="1" s="1"/>
  <c r="I40" i="1"/>
  <c r="G40" i="1"/>
  <c r="F40" i="1"/>
  <c r="L40" i="1" s="1"/>
  <c r="N40" i="1" s="1"/>
  <c r="O40" i="1" s="1"/>
  <c r="E40" i="1"/>
  <c r="D40" i="1"/>
  <c r="X39" i="1"/>
  <c r="W39" i="1"/>
  <c r="Q39" i="1"/>
  <c r="J39" i="1"/>
  <c r="I39" i="1"/>
  <c r="G39" i="1"/>
  <c r="F39" i="1"/>
  <c r="E39" i="1"/>
  <c r="D39" i="1"/>
  <c r="X38" i="1"/>
  <c r="W38" i="1"/>
  <c r="J38" i="1"/>
  <c r="M38" i="1" s="1"/>
  <c r="P38" i="1" s="1"/>
  <c r="I38" i="1"/>
  <c r="F38" i="1"/>
  <c r="E38" i="1"/>
  <c r="D38" i="1"/>
  <c r="X37" i="1"/>
  <c r="W37" i="1"/>
  <c r="J37" i="1"/>
  <c r="I37" i="1"/>
  <c r="G37" i="1"/>
  <c r="M37" i="1" s="1"/>
  <c r="F37" i="1"/>
  <c r="L37" i="1" s="1"/>
  <c r="N37" i="1" s="1"/>
  <c r="O37" i="1" s="1"/>
  <c r="E37" i="1"/>
  <c r="D37" i="1"/>
  <c r="X36" i="1"/>
  <c r="W36" i="1"/>
  <c r="J36" i="1"/>
  <c r="I36" i="1"/>
  <c r="G36" i="1"/>
  <c r="F36" i="1"/>
  <c r="E36" i="1"/>
  <c r="D36" i="1"/>
  <c r="X35" i="1"/>
  <c r="W35" i="1"/>
  <c r="J35" i="1"/>
  <c r="I35" i="1"/>
  <c r="G35" i="1"/>
  <c r="F35" i="1"/>
  <c r="E35" i="1"/>
  <c r="D35" i="1"/>
  <c r="X34" i="1"/>
  <c r="W34" i="1"/>
  <c r="J34" i="1"/>
  <c r="M34" i="1" s="1"/>
  <c r="P34" i="1" s="1"/>
  <c r="I34" i="1"/>
  <c r="L34" i="1" s="1"/>
  <c r="G34" i="1"/>
  <c r="F34" i="1"/>
  <c r="E34" i="1"/>
  <c r="H34" i="1" s="1"/>
  <c r="K34" i="1" s="1"/>
  <c r="D34" i="1"/>
  <c r="X33" i="1"/>
  <c r="W33" i="1"/>
  <c r="L33" i="1"/>
  <c r="N33" i="1" s="1"/>
  <c r="O33" i="1" s="1"/>
  <c r="J33" i="1"/>
  <c r="M33" i="1" s="1"/>
  <c r="P33" i="1" s="1"/>
  <c r="I33" i="1"/>
  <c r="H33" i="1"/>
  <c r="K33" i="1" s="1"/>
  <c r="E33" i="1"/>
  <c r="D33" i="1"/>
  <c r="X32" i="1"/>
  <c r="W32" i="1"/>
  <c r="J32" i="1"/>
  <c r="M32" i="1" s="1"/>
  <c r="P32" i="1" s="1"/>
  <c r="I32" i="1"/>
  <c r="L32" i="1" s="1"/>
  <c r="N32" i="1" s="1"/>
  <c r="O32" i="1" s="1"/>
  <c r="G32" i="1"/>
  <c r="F32" i="1"/>
  <c r="H32" i="1" s="1"/>
  <c r="K32" i="1" s="1"/>
  <c r="E32" i="1"/>
  <c r="D32" i="1"/>
  <c r="X31" i="1"/>
  <c r="W31" i="1"/>
  <c r="M31" i="1"/>
  <c r="I31" i="1"/>
  <c r="F31" i="1"/>
  <c r="L31" i="1" s="1"/>
  <c r="N31" i="1" s="1"/>
  <c r="O31" i="1" s="1"/>
  <c r="E31" i="1"/>
  <c r="D31" i="1"/>
  <c r="X30" i="1"/>
  <c r="W30" i="1"/>
  <c r="M30" i="1"/>
  <c r="P30" i="1" s="1"/>
  <c r="L30" i="1"/>
  <c r="E30" i="1"/>
  <c r="H30" i="1" s="1"/>
  <c r="K30" i="1" s="1"/>
  <c r="D30" i="1"/>
  <c r="X29" i="1"/>
  <c r="W29" i="1"/>
  <c r="J29" i="1"/>
  <c r="I29" i="1"/>
  <c r="L29" i="1" s="1"/>
  <c r="N29" i="1" s="1"/>
  <c r="O29" i="1" s="1"/>
  <c r="G29" i="1"/>
  <c r="M29" i="1" s="1"/>
  <c r="F29" i="1"/>
  <c r="H29" i="1" s="1"/>
  <c r="K29" i="1" s="1"/>
  <c r="E29" i="1"/>
  <c r="D29" i="1"/>
  <c r="X28" i="1"/>
  <c r="W28" i="1"/>
  <c r="J28" i="1"/>
  <c r="I28" i="1"/>
  <c r="G28" i="1"/>
  <c r="F28" i="1"/>
  <c r="E28" i="1"/>
  <c r="D28" i="1"/>
  <c r="X27" i="1"/>
  <c r="W27" i="1"/>
  <c r="J27" i="1"/>
  <c r="M27" i="1" s="1"/>
  <c r="I27" i="1"/>
  <c r="G27" i="1"/>
  <c r="F27" i="1"/>
  <c r="E27" i="1"/>
  <c r="H27" i="1" s="1"/>
  <c r="K27" i="1" s="1"/>
  <c r="D27" i="1"/>
  <c r="X26" i="1"/>
  <c r="W26" i="1"/>
  <c r="J26" i="1"/>
  <c r="M26" i="1" s="1"/>
  <c r="P26" i="1" s="1"/>
  <c r="I26" i="1"/>
  <c r="L26" i="1" s="1"/>
  <c r="G26" i="1"/>
  <c r="F26" i="1"/>
  <c r="E26" i="1"/>
  <c r="D26" i="1"/>
  <c r="X25" i="1"/>
  <c r="W25" i="1"/>
  <c r="J25" i="1"/>
  <c r="M25" i="1" s="1"/>
  <c r="P25" i="1" s="1"/>
  <c r="I25" i="1"/>
  <c r="L25" i="1" s="1"/>
  <c r="G25" i="1"/>
  <c r="F25" i="1"/>
  <c r="E25" i="1"/>
  <c r="H25" i="1" s="1"/>
  <c r="D25" i="1"/>
  <c r="X24" i="1"/>
  <c r="W24" i="1"/>
  <c r="J24" i="1"/>
  <c r="I24" i="1"/>
  <c r="G24" i="1"/>
  <c r="F24" i="1"/>
  <c r="E24" i="1"/>
  <c r="D24" i="1"/>
  <c r="X23" i="1"/>
  <c r="W23" i="1"/>
  <c r="J23" i="1"/>
  <c r="M23" i="1" s="1"/>
  <c r="P23" i="1" s="1"/>
  <c r="I23" i="1"/>
  <c r="G23" i="1"/>
  <c r="F23" i="1"/>
  <c r="E23" i="1"/>
  <c r="D23" i="1"/>
  <c r="X22" i="1"/>
  <c r="W22" i="1"/>
  <c r="J22" i="1"/>
  <c r="M22" i="1" s="1"/>
  <c r="P22" i="1" s="1"/>
  <c r="I22" i="1"/>
  <c r="G22" i="1"/>
  <c r="F22" i="1"/>
  <c r="H22" i="1" s="1"/>
  <c r="K22" i="1" s="1"/>
  <c r="E22" i="1"/>
  <c r="D22" i="1"/>
  <c r="X21" i="1"/>
  <c r="W21" i="1"/>
  <c r="J21" i="1"/>
  <c r="I21" i="1"/>
  <c r="L21" i="1" s="1"/>
  <c r="N21" i="1" s="1"/>
  <c r="O21" i="1" s="1"/>
  <c r="G21" i="1"/>
  <c r="M21" i="1" s="1"/>
  <c r="P21" i="1" s="1"/>
  <c r="F21" i="1"/>
  <c r="E21" i="1"/>
  <c r="H21" i="1" s="1"/>
  <c r="D21" i="1"/>
  <c r="X20" i="1"/>
  <c r="W20" i="1"/>
  <c r="J20" i="1"/>
  <c r="I20" i="1"/>
  <c r="G20" i="1"/>
  <c r="F20" i="1"/>
  <c r="E20" i="1"/>
  <c r="D20" i="1"/>
  <c r="X19" i="1"/>
  <c r="W19" i="1"/>
  <c r="F19" i="1"/>
  <c r="L19" i="1" s="1"/>
  <c r="N19" i="1" s="1"/>
  <c r="O19" i="1" s="1"/>
  <c r="E19" i="1"/>
  <c r="D19" i="1"/>
  <c r="X18" i="1"/>
  <c r="W18" i="1"/>
  <c r="L18" i="1"/>
  <c r="N18" i="1" s="1"/>
  <c r="O18" i="1" s="1"/>
  <c r="J18" i="1"/>
  <c r="I18" i="1"/>
  <c r="G18" i="1"/>
  <c r="F18" i="1"/>
  <c r="E18" i="1"/>
  <c r="D18" i="1"/>
  <c r="X17" i="1"/>
  <c r="W17" i="1"/>
  <c r="M17" i="1"/>
  <c r="P17" i="1" s="1"/>
  <c r="J17" i="1"/>
  <c r="I17" i="1"/>
  <c r="L17" i="1" s="1"/>
  <c r="G17" i="1"/>
  <c r="F17" i="1"/>
  <c r="E17" i="1"/>
  <c r="D17" i="1"/>
  <c r="X16" i="1"/>
  <c r="W16" i="1"/>
  <c r="J16" i="1"/>
  <c r="M16" i="1" s="1"/>
  <c r="P16" i="1" s="1"/>
  <c r="I16" i="1"/>
  <c r="L16" i="1" s="1"/>
  <c r="N16" i="1" s="1"/>
  <c r="O16" i="1" s="1"/>
  <c r="G16" i="1"/>
  <c r="F16" i="1"/>
  <c r="E16" i="1"/>
  <c r="D16" i="1"/>
  <c r="X15" i="1"/>
  <c r="W15" i="1"/>
  <c r="J15" i="1"/>
  <c r="I15" i="1"/>
  <c r="L15" i="1" s="1"/>
  <c r="N15" i="1" s="1"/>
  <c r="O15" i="1" s="1"/>
  <c r="G15" i="1"/>
  <c r="M15" i="1" s="1"/>
  <c r="F15" i="1"/>
  <c r="E15" i="1"/>
  <c r="H15" i="1" s="1"/>
  <c r="K15" i="1" s="1"/>
  <c r="D15" i="1"/>
  <c r="X14" i="1"/>
  <c r="W14" i="1"/>
  <c r="J14" i="1"/>
  <c r="I14" i="1"/>
  <c r="G14" i="1"/>
  <c r="F14" i="1"/>
  <c r="L14" i="1" s="1"/>
  <c r="E14" i="1"/>
  <c r="D14" i="1"/>
  <c r="X13" i="1"/>
  <c r="W13" i="1"/>
  <c r="J13" i="1"/>
  <c r="M13" i="1" s="1"/>
  <c r="P13" i="1" s="1"/>
  <c r="I13" i="1"/>
  <c r="G13" i="1"/>
  <c r="F13" i="1"/>
  <c r="H13" i="1" s="1"/>
  <c r="E13" i="1"/>
  <c r="D13" i="1"/>
  <c r="X12" i="1"/>
  <c r="W12" i="1"/>
  <c r="J12" i="1"/>
  <c r="M12" i="1" s="1"/>
  <c r="P12" i="1" s="1"/>
  <c r="I12" i="1"/>
  <c r="L12" i="1" s="1"/>
  <c r="N12" i="1" s="1"/>
  <c r="O12" i="1" s="1"/>
  <c r="F12" i="1"/>
  <c r="E12" i="1"/>
  <c r="H12" i="1" s="1"/>
  <c r="D12" i="1"/>
  <c r="X11" i="1"/>
  <c r="W11" i="1"/>
  <c r="M11" i="1"/>
  <c r="J11" i="1"/>
  <c r="I11" i="1"/>
  <c r="L11" i="1" s="1"/>
  <c r="N11" i="1" s="1"/>
  <c r="O11" i="1" s="1"/>
  <c r="F11" i="1"/>
  <c r="E11" i="1"/>
  <c r="D11" i="1"/>
  <c r="X10" i="1"/>
  <c r="W10" i="1"/>
  <c r="J10" i="1"/>
  <c r="M10" i="1" s="1"/>
  <c r="P10" i="1" s="1"/>
  <c r="I10" i="1"/>
  <c r="H10" i="1"/>
  <c r="K10" i="1" s="1"/>
  <c r="G10" i="1"/>
  <c r="F10" i="1"/>
  <c r="E10" i="1"/>
  <c r="D10" i="1"/>
  <c r="X9" i="1"/>
  <c r="W9" i="1"/>
  <c r="M9" i="1"/>
  <c r="L9" i="1"/>
  <c r="N9" i="1" s="1"/>
  <c r="O9" i="1" s="1"/>
  <c r="J9" i="1"/>
  <c r="I9" i="1"/>
  <c r="F9" i="1"/>
  <c r="E9" i="1"/>
  <c r="H9" i="1" s="1"/>
  <c r="K9" i="1" s="1"/>
  <c r="D9" i="1"/>
  <c r="X8" i="1"/>
  <c r="W8" i="1"/>
  <c r="M8" i="1"/>
  <c r="F8" i="1"/>
  <c r="L8" i="1" s="1"/>
  <c r="N8" i="1" s="1"/>
  <c r="O8" i="1" s="1"/>
  <c r="E8" i="1"/>
  <c r="H8" i="1" s="1"/>
  <c r="D8" i="1"/>
  <c r="X7" i="1"/>
  <c r="W7" i="1"/>
  <c r="M7" i="1"/>
  <c r="P7" i="1" s="1"/>
  <c r="J7" i="1"/>
  <c r="I7" i="1"/>
  <c r="L7" i="1" s="1"/>
  <c r="N7" i="1" s="1"/>
  <c r="O7" i="1" s="1"/>
  <c r="F7" i="1"/>
  <c r="E7" i="1"/>
  <c r="D7" i="1"/>
  <c r="X6" i="1"/>
  <c r="W6" i="1"/>
  <c r="I6" i="1"/>
  <c r="G6" i="1"/>
  <c r="M6" i="1" s="1"/>
  <c r="P6" i="1" s="1"/>
  <c r="F6" i="1"/>
  <c r="L6" i="1" s="1"/>
  <c r="N6" i="1" s="1"/>
  <c r="O6" i="1" s="1"/>
  <c r="E6" i="1"/>
  <c r="D6" i="1"/>
  <c r="X5" i="1"/>
  <c r="W5" i="1"/>
  <c r="M5" i="1"/>
  <c r="F5" i="1"/>
  <c r="L5" i="1" s="1"/>
  <c r="N5" i="1" s="1"/>
  <c r="O5" i="1" s="1"/>
  <c r="E5" i="1"/>
  <c r="D5" i="1"/>
  <c r="X4" i="1"/>
  <c r="W4" i="1"/>
  <c r="J4" i="1"/>
  <c r="M4" i="1" s="1"/>
  <c r="I4" i="1"/>
  <c r="L4" i="1" s="1"/>
  <c r="N4" i="1" s="1"/>
  <c r="O4" i="1" s="1"/>
  <c r="F4" i="1"/>
  <c r="E4" i="1"/>
  <c r="D4" i="1"/>
  <c r="X3" i="1"/>
  <c r="W3" i="1"/>
  <c r="I3" i="1"/>
  <c r="L3" i="1" s="1"/>
  <c r="G3" i="1"/>
  <c r="M3" i="1" s="1"/>
  <c r="P3" i="1" s="1"/>
  <c r="F3" i="1"/>
  <c r="E3" i="1"/>
  <c r="H3" i="1" s="1"/>
  <c r="D3" i="1"/>
  <c r="X2" i="1"/>
  <c r="W2" i="1"/>
  <c r="F2" i="1"/>
  <c r="L2" i="1" s="1"/>
  <c r="O2" i="1" s="1"/>
  <c r="E2" i="1"/>
  <c r="D2" i="1"/>
  <c r="P4" i="1" l="1"/>
  <c r="P9" i="1"/>
  <c r="L10" i="1"/>
  <c r="N10" i="1" s="1"/>
  <c r="O10" i="1" s="1"/>
  <c r="N14" i="1"/>
  <c r="O14" i="1" s="1"/>
  <c r="H16" i="1"/>
  <c r="K16" i="1" s="1"/>
  <c r="L20" i="1"/>
  <c r="N20" i="1" s="1"/>
  <c r="O20" i="1" s="1"/>
  <c r="H46" i="1"/>
  <c r="K46" i="1" s="1"/>
  <c r="H47" i="1"/>
  <c r="K47" i="1" s="1"/>
  <c r="P78" i="1"/>
  <c r="H86" i="1"/>
  <c r="M90" i="1"/>
  <c r="P90" i="1" s="1"/>
  <c r="L103" i="1"/>
  <c r="N103" i="1" s="1"/>
  <c r="O103" i="1" s="1"/>
  <c r="H120" i="1"/>
  <c r="K120" i="1" s="1"/>
  <c r="L129" i="1"/>
  <c r="N129" i="1" s="1"/>
  <c r="O129" i="1" s="1"/>
  <c r="H132" i="1"/>
  <c r="K132" i="1" s="1"/>
  <c r="N144" i="1"/>
  <c r="O144" i="1" s="1"/>
  <c r="H146" i="1"/>
  <c r="K146" i="1" s="1"/>
  <c r="H151" i="1"/>
  <c r="K151" i="1" s="1"/>
  <c r="H14" i="1"/>
  <c r="K14" i="1" s="1"/>
  <c r="M18" i="1"/>
  <c r="P18" i="1" s="1"/>
  <c r="M20" i="1"/>
  <c r="P20" i="1" s="1"/>
  <c r="H35" i="1"/>
  <c r="M43" i="1"/>
  <c r="P43" i="1" s="1"/>
  <c r="H53" i="1"/>
  <c r="H59" i="1"/>
  <c r="L62" i="1"/>
  <c r="N62" i="1" s="1"/>
  <c r="O62" i="1" s="1"/>
  <c r="N66" i="1"/>
  <c r="O66" i="1" s="1"/>
  <c r="L67" i="1"/>
  <c r="N67" i="1" s="1"/>
  <c r="O67" i="1" s="1"/>
  <c r="K71" i="1"/>
  <c r="H74" i="1"/>
  <c r="K74" i="1" s="1"/>
  <c r="P93" i="1"/>
  <c r="M94" i="1"/>
  <c r="P94" i="1" s="1"/>
  <c r="P102" i="1"/>
  <c r="H104" i="1"/>
  <c r="K104" i="1" s="1"/>
  <c r="N111" i="1"/>
  <c r="O111" i="1" s="1"/>
  <c r="K112" i="1"/>
  <c r="K114" i="1"/>
  <c r="M123" i="1"/>
  <c r="P123" i="1" s="1"/>
  <c r="H124" i="1"/>
  <c r="K124" i="1" s="1"/>
  <c r="K136" i="1"/>
  <c r="P139" i="1"/>
  <c r="P144" i="1"/>
  <c r="N146" i="1"/>
  <c r="O146" i="1" s="1"/>
  <c r="N154" i="1"/>
  <c r="O154" i="1" s="1"/>
  <c r="P15" i="1"/>
  <c r="H6" i="1"/>
  <c r="K6" i="1" s="1"/>
  <c r="H7" i="1"/>
  <c r="K7" i="1" s="1"/>
  <c r="L13" i="1"/>
  <c r="N13" i="1" s="1"/>
  <c r="O13" i="1" s="1"/>
  <c r="H17" i="1"/>
  <c r="K17" i="1" s="1"/>
  <c r="L22" i="1"/>
  <c r="N22" i="1" s="1"/>
  <c r="O22" i="1" s="1"/>
  <c r="H23" i="1"/>
  <c r="K23" i="1" s="1"/>
  <c r="L27" i="1"/>
  <c r="N27" i="1" s="1"/>
  <c r="O27" i="1" s="1"/>
  <c r="P29" i="1"/>
  <c r="H36" i="1"/>
  <c r="K36" i="1" s="1"/>
  <c r="H38" i="1"/>
  <c r="K38" i="1" s="1"/>
  <c r="H40" i="1"/>
  <c r="K40" i="1" s="1"/>
  <c r="M45" i="1"/>
  <c r="P45" i="1" s="1"/>
  <c r="H48" i="1"/>
  <c r="K48" i="1" s="1"/>
  <c r="H52" i="1"/>
  <c r="K52" i="1" s="1"/>
  <c r="L53" i="1"/>
  <c r="N53" i="1" s="1"/>
  <c r="O53" i="1" s="1"/>
  <c r="H54" i="1"/>
  <c r="K54" i="1" s="1"/>
  <c r="H60" i="1"/>
  <c r="K60" i="1" s="1"/>
  <c r="M61" i="1"/>
  <c r="P61" i="1" s="1"/>
  <c r="P62" i="1"/>
  <c r="P69" i="1"/>
  <c r="H72" i="1"/>
  <c r="K72" i="1" s="1"/>
  <c r="H73" i="1"/>
  <c r="K73" i="1" s="1"/>
  <c r="H75" i="1"/>
  <c r="H83" i="1"/>
  <c r="K83" i="1" s="1"/>
  <c r="M85" i="1"/>
  <c r="P85" i="1" s="1"/>
  <c r="P103" i="1"/>
  <c r="H106" i="1"/>
  <c r="K106" i="1" s="1"/>
  <c r="N113" i="1"/>
  <c r="O113" i="1" s="1"/>
  <c r="P125" i="1"/>
  <c r="H127" i="1"/>
  <c r="K127" i="1" s="1"/>
  <c r="L130" i="1"/>
  <c r="N130" i="1" s="1"/>
  <c r="O130" i="1" s="1"/>
  <c r="P132" i="1"/>
  <c r="N135" i="1"/>
  <c r="O135" i="1" s="1"/>
  <c r="N143" i="1"/>
  <c r="O143" i="1" s="1"/>
  <c r="L145" i="1"/>
  <c r="N145" i="1" s="1"/>
  <c r="O145" i="1" s="1"/>
  <c r="P154" i="1"/>
  <c r="P158" i="1"/>
  <c r="L159" i="1"/>
  <c r="N159" i="1" s="1"/>
  <c r="O159" i="1" s="1"/>
  <c r="K25" i="1"/>
  <c r="P37" i="1"/>
  <c r="P63" i="1"/>
  <c r="K84" i="1"/>
  <c r="K115" i="1"/>
  <c r="K116" i="1"/>
  <c r="N141" i="1"/>
  <c r="O141" i="1" s="1"/>
  <c r="P143" i="1"/>
  <c r="N152" i="1"/>
  <c r="O152" i="1" s="1"/>
  <c r="N158" i="1"/>
  <c r="O158" i="1" s="1"/>
  <c r="M14" i="1"/>
  <c r="P14" i="1" s="1"/>
  <c r="L28" i="1"/>
  <c r="N28" i="1" s="1"/>
  <c r="O28" i="1" s="1"/>
  <c r="H5" i="1"/>
  <c r="K5" i="1" s="1"/>
  <c r="L24" i="1"/>
  <c r="N24" i="1" s="1"/>
  <c r="O24" i="1" s="1"/>
  <c r="N30" i="1"/>
  <c r="O30" i="1" s="1"/>
  <c r="L35" i="1"/>
  <c r="N35" i="1" s="1"/>
  <c r="O35" i="1" s="1"/>
  <c r="L38" i="1"/>
  <c r="N38" i="1" s="1"/>
  <c r="O38" i="1" s="1"/>
  <c r="L39" i="1"/>
  <c r="N39" i="1" s="1"/>
  <c r="O39" i="1" s="1"/>
  <c r="H51" i="1"/>
  <c r="K51" i="1" s="1"/>
  <c r="L52" i="1"/>
  <c r="N52" i="1" s="1"/>
  <c r="O52" i="1" s="1"/>
  <c r="P54" i="1"/>
  <c r="L55" i="1"/>
  <c r="N55" i="1" s="1"/>
  <c r="O55" i="1" s="1"/>
  <c r="P56" i="1"/>
  <c r="L58" i="1"/>
  <c r="N58" i="1" s="1"/>
  <c r="O58" i="1" s="1"/>
  <c r="M70" i="1"/>
  <c r="P70" i="1" s="1"/>
  <c r="P71" i="1"/>
  <c r="P72" i="1"/>
  <c r="L74" i="1"/>
  <c r="N74" i="1" s="1"/>
  <c r="O74" i="1" s="1"/>
  <c r="H77" i="1"/>
  <c r="K77" i="1" s="1"/>
  <c r="N82" i="1"/>
  <c r="O82" i="1" s="1"/>
  <c r="L88" i="1"/>
  <c r="N88" i="1" s="1"/>
  <c r="O88" i="1" s="1"/>
  <c r="H90" i="1"/>
  <c r="L96" i="1"/>
  <c r="N96" i="1" s="1"/>
  <c r="O96" i="1" s="1"/>
  <c r="P107" i="1"/>
  <c r="P108" i="1"/>
  <c r="P109" i="1"/>
  <c r="M127" i="1"/>
  <c r="P127" i="1" s="1"/>
  <c r="H135" i="1"/>
  <c r="K135" i="1" s="1"/>
  <c r="P160" i="1"/>
  <c r="P11" i="1"/>
  <c r="H26" i="1"/>
  <c r="K26" i="1" s="1"/>
  <c r="M35" i="1"/>
  <c r="P35" i="1" s="1"/>
  <c r="N49" i="1"/>
  <c r="O49" i="1" s="1"/>
  <c r="L50" i="1"/>
  <c r="N50" i="1" s="1"/>
  <c r="O50" i="1" s="1"/>
  <c r="L56" i="1"/>
  <c r="N56" i="1" s="1"/>
  <c r="O56" i="1" s="1"/>
  <c r="M59" i="1"/>
  <c r="P59" i="1" s="1"/>
  <c r="N63" i="1"/>
  <c r="O63" i="1" s="1"/>
  <c r="H66" i="1"/>
  <c r="K66" i="1" s="1"/>
  <c r="M84" i="1"/>
  <c r="P84" i="1" s="1"/>
  <c r="M87" i="1"/>
  <c r="P87" i="1" s="1"/>
  <c r="H95" i="1"/>
  <c r="K95" i="1" s="1"/>
  <c r="H97" i="1"/>
  <c r="K97" i="1" s="1"/>
  <c r="H99" i="1"/>
  <c r="K99" i="1" s="1"/>
  <c r="H108" i="1"/>
  <c r="K108" i="1" s="1"/>
  <c r="L118" i="1"/>
  <c r="N118" i="1" s="1"/>
  <c r="O118" i="1" s="1"/>
  <c r="M122" i="1"/>
  <c r="P122" i="1" s="1"/>
  <c r="K12" i="1"/>
  <c r="M24" i="1"/>
  <c r="P24" i="1" s="1"/>
  <c r="H4" i="1"/>
  <c r="K4" i="1" s="1"/>
  <c r="H18" i="1"/>
  <c r="K18" i="1" s="1"/>
  <c r="P40" i="1"/>
  <c r="H42" i="1"/>
  <c r="H43" i="1"/>
  <c r="K43" i="1" s="1"/>
  <c r="H45" i="1"/>
  <c r="K45" i="1" s="1"/>
  <c r="P49" i="1"/>
  <c r="P50" i="1"/>
  <c r="M60" i="1"/>
  <c r="P60" i="1" s="1"/>
  <c r="L64" i="1"/>
  <c r="N64" i="1" s="1"/>
  <c r="O64" i="1" s="1"/>
  <c r="H67" i="1"/>
  <c r="K67" i="1" s="1"/>
  <c r="L77" i="1"/>
  <c r="N77" i="1" s="1"/>
  <c r="O77" i="1" s="1"/>
  <c r="H78" i="1"/>
  <c r="P80" i="1"/>
  <c r="L81" i="1"/>
  <c r="N81" i="1" s="1"/>
  <c r="O81" i="1" s="1"/>
  <c r="H93" i="1"/>
  <c r="K93" i="1" s="1"/>
  <c r="P106" i="1"/>
  <c r="H118" i="1"/>
  <c r="K118" i="1" s="1"/>
  <c r="N119" i="1"/>
  <c r="O119" i="1" s="1"/>
  <c r="M121" i="1"/>
  <c r="P121" i="1" s="1"/>
  <c r="H123" i="1"/>
  <c r="K123" i="1" s="1"/>
  <c r="M126" i="1"/>
  <c r="P126" i="1" s="1"/>
  <c r="M129" i="1"/>
  <c r="P129" i="1" s="1"/>
  <c r="N138" i="1"/>
  <c r="O138" i="1" s="1"/>
  <c r="H155" i="1"/>
  <c r="K155" i="1" s="1"/>
  <c r="H156" i="1"/>
  <c r="K156" i="1" s="1"/>
  <c r="H157" i="1"/>
  <c r="K157" i="1" s="1"/>
  <c r="P5" i="1"/>
  <c r="H39" i="1"/>
  <c r="K39" i="1" s="1"/>
  <c r="H11" i="1"/>
  <c r="K11" i="1" s="1"/>
  <c r="K21" i="1"/>
  <c r="H24" i="1"/>
  <c r="K24" i="1" s="1"/>
  <c r="M28" i="1"/>
  <c r="P28" i="1" s="1"/>
  <c r="N17" i="1"/>
  <c r="O17" i="1" s="1"/>
  <c r="L23" i="1"/>
  <c r="N23" i="1" s="1"/>
  <c r="O23" i="1" s="1"/>
  <c r="K13" i="1"/>
  <c r="H19" i="1"/>
  <c r="H31" i="1"/>
  <c r="K31" i="1" s="1"/>
  <c r="P31" i="1"/>
  <c r="L36" i="1"/>
  <c r="N36" i="1" s="1"/>
  <c r="O36" i="1" s="1"/>
  <c r="M39" i="1"/>
  <c r="P39" i="1" s="1"/>
  <c r="M41" i="1"/>
  <c r="P41" i="1" s="1"/>
  <c r="N73" i="1"/>
  <c r="O73" i="1" s="1"/>
  <c r="M36" i="1"/>
  <c r="P36" i="1" s="1"/>
  <c r="H37" i="1"/>
  <c r="K37" i="1" s="1"/>
  <c r="N47" i="1"/>
  <c r="O47" i="1" s="1"/>
  <c r="M53" i="1"/>
  <c r="P53" i="1" s="1"/>
  <c r="K53" i="1"/>
  <c r="H20" i="1"/>
  <c r="K20" i="1" s="1"/>
  <c r="P27" i="1"/>
  <c r="K59" i="1"/>
  <c r="N25" i="1"/>
  <c r="O25" i="1" s="1"/>
  <c r="N26" i="1"/>
  <c r="O26" i="1" s="1"/>
  <c r="H28" i="1"/>
  <c r="K28" i="1" s="1"/>
  <c r="N34" i="1"/>
  <c r="O34" i="1" s="1"/>
  <c r="K35" i="1"/>
  <c r="P47" i="1"/>
  <c r="L57" i="1"/>
  <c r="N57" i="1" s="1"/>
  <c r="O57" i="1" s="1"/>
  <c r="K58" i="1"/>
  <c r="H94" i="1"/>
  <c r="K94" i="1" s="1"/>
  <c r="L94" i="1"/>
  <c r="N94" i="1" s="1"/>
  <c r="O94" i="1" s="1"/>
  <c r="H98" i="1"/>
  <c r="K98" i="1" s="1"/>
  <c r="M98" i="1"/>
  <c r="P98" i="1" s="1"/>
  <c r="M65" i="1"/>
  <c r="P65" i="1" s="1"/>
  <c r="H69" i="1"/>
  <c r="K69" i="1" s="1"/>
  <c r="H88" i="1"/>
  <c r="K88" i="1" s="1"/>
  <c r="M91" i="1"/>
  <c r="P91" i="1" s="1"/>
  <c r="H92" i="1"/>
  <c r="K92" i="1" s="1"/>
  <c r="L101" i="1"/>
  <c r="N101" i="1" s="1"/>
  <c r="O101" i="1" s="1"/>
  <c r="H101" i="1"/>
  <c r="K101" i="1" s="1"/>
  <c r="P73" i="1"/>
  <c r="K75" i="1"/>
  <c r="L87" i="1"/>
  <c r="N87" i="1" s="1"/>
  <c r="O87" i="1" s="1"/>
  <c r="H87" i="1"/>
  <c r="K87" i="1" s="1"/>
  <c r="K90" i="1"/>
  <c r="P100" i="1"/>
  <c r="P52" i="1"/>
  <c r="K78" i="1"/>
  <c r="K81" i="1"/>
  <c r="M83" i="1"/>
  <c r="P83" i="1" s="1"/>
  <c r="K85" i="1"/>
  <c r="H56" i="1"/>
  <c r="K56" i="1" s="1"/>
  <c r="K86" i="1"/>
  <c r="H62" i="1"/>
  <c r="K62" i="1" s="1"/>
  <c r="H65" i="1"/>
  <c r="K65" i="1" s="1"/>
  <c r="L76" i="1"/>
  <c r="N76" i="1" s="1"/>
  <c r="O76" i="1" s="1"/>
  <c r="N90" i="1"/>
  <c r="O90" i="1" s="1"/>
  <c r="H91" i="1"/>
  <c r="K91" i="1" s="1"/>
  <c r="L91" i="1"/>
  <c r="N91" i="1" s="1"/>
  <c r="O91" i="1" s="1"/>
  <c r="L99" i="1"/>
  <c r="N99" i="1" s="1"/>
  <c r="O99" i="1" s="1"/>
  <c r="H102" i="1"/>
  <c r="K102" i="1" s="1"/>
  <c r="H110" i="1"/>
  <c r="K110" i="1" s="1"/>
  <c r="K160" i="1"/>
  <c r="N112" i="1"/>
  <c r="O112" i="1" s="1"/>
  <c r="K113" i="1"/>
  <c r="H125" i="1"/>
  <c r="K125" i="1" s="1"/>
  <c r="N140" i="1"/>
  <c r="O140" i="1" s="1"/>
  <c r="K145" i="1"/>
  <c r="P152" i="1"/>
  <c r="N139" i="1"/>
  <c r="O139" i="1" s="1"/>
  <c r="K117" i="1"/>
  <c r="K121" i="1"/>
  <c r="H122" i="1"/>
  <c r="K122" i="1" s="1"/>
  <c r="H140" i="1"/>
  <c r="K140" i="1" s="1"/>
  <c r="N151" i="1"/>
  <c r="O151" i="1" s="1"/>
  <c r="P153" i="1"/>
  <c r="M97" i="1"/>
  <c r="P97" i="1" s="1"/>
  <c r="L100" i="1"/>
  <c r="N100" i="1" s="1"/>
  <c r="O100" i="1" s="1"/>
  <c r="L106" i="1"/>
  <c r="N106" i="1" s="1"/>
  <c r="O106" i="1" s="1"/>
  <c r="H109" i="1"/>
  <c r="K109" i="1" s="1"/>
  <c r="N115" i="1"/>
  <c r="O115" i="1" s="1"/>
  <c r="L123" i="1"/>
  <c r="N123" i="1" s="1"/>
  <c r="O123" i="1" s="1"/>
  <c r="L127" i="1"/>
  <c r="N127" i="1" s="1"/>
  <c r="O127" i="1" s="1"/>
  <c r="P130" i="1"/>
  <c r="L131" i="1"/>
  <c r="N131" i="1" s="1"/>
  <c r="O131" i="1" s="1"/>
  <c r="H131" i="1"/>
  <c r="K131" i="1" s="1"/>
  <c r="H148" i="1"/>
  <c r="K148" i="1" s="1"/>
  <c r="K158" i="1"/>
  <c r="M101" i="1"/>
  <c r="P101" i="1" s="1"/>
  <c r="P115" i="1"/>
  <c r="H103" i="1"/>
  <c r="K103" i="1" s="1"/>
  <c r="H107" i="1"/>
  <c r="K107" i="1" s="1"/>
  <c r="H119" i="1"/>
  <c r="K119" i="1" s="1"/>
  <c r="H134" i="1"/>
  <c r="K134" i="1" s="1"/>
  <c r="P136" i="1"/>
  <c r="L137" i="1"/>
  <c r="N137" i="1" s="1"/>
  <c r="O137" i="1" s="1"/>
  <c r="H137" i="1"/>
  <c r="K137" i="1" s="1"/>
  <c r="K141" i="1"/>
  <c r="L148" i="1"/>
  <c r="N148" i="1" s="1"/>
  <c r="O148" i="1" s="1"/>
</calcChain>
</file>

<file path=xl/sharedStrings.xml><?xml version="1.0" encoding="utf-8"?>
<sst xmlns="http://schemas.openxmlformats.org/spreadsheetml/2006/main" count="342" uniqueCount="46">
  <si>
    <t>Species</t>
  </si>
  <si>
    <t>tree</t>
  </si>
  <si>
    <t>branch</t>
  </si>
  <si>
    <t>Id</t>
  </si>
  <si>
    <t>leaves_1st</t>
  </si>
  <si>
    <t>leaves_dead_2</t>
  </si>
  <si>
    <t>leaves_new_2</t>
  </si>
  <si>
    <t>leaves_2nd</t>
  </si>
  <si>
    <t>leaves_dead_3</t>
  </si>
  <si>
    <t>leaves_new_3</t>
  </si>
  <si>
    <t>leaves_end</t>
  </si>
  <si>
    <t>dead_all</t>
  </si>
  <si>
    <t>new_all</t>
  </si>
  <si>
    <t>turnover</t>
  </si>
  <si>
    <t>lifespan</t>
  </si>
  <si>
    <t>lifespan_birth</t>
  </si>
  <si>
    <t>diam_1</t>
  </si>
  <si>
    <t>diam_1.end</t>
  </si>
  <si>
    <t>diam_2</t>
  </si>
  <si>
    <t>diam_2.end</t>
  </si>
  <si>
    <t>diam_3</t>
  </si>
  <si>
    <t>diam_3.end</t>
  </si>
  <si>
    <t>branch_start</t>
  </si>
  <si>
    <t>branch_end</t>
  </si>
  <si>
    <t>AC</t>
  </si>
  <si>
    <t>_a</t>
  </si>
  <si>
    <t>_b</t>
  </si>
  <si>
    <t>_c</t>
  </si>
  <si>
    <t>_d</t>
  </si>
  <si>
    <t>BE</t>
  </si>
  <si>
    <t>_e</t>
  </si>
  <si>
    <t>BS</t>
  </si>
  <si>
    <t>CA</t>
  </si>
  <si>
    <t>CS</t>
  </si>
  <si>
    <t>EH</t>
  </si>
  <si>
    <t>EP</t>
  </si>
  <si>
    <t>ES</t>
  </si>
  <si>
    <t>LP</t>
  </si>
  <si>
    <t>PL</t>
  </si>
  <si>
    <t>PU</t>
  </si>
  <si>
    <t>_f</t>
  </si>
  <si>
    <t>SA</t>
  </si>
  <si>
    <t>SG</t>
  </si>
  <si>
    <t>SO</t>
  </si>
  <si>
    <t>SYG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</si>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</sst>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8" sqref="N8"/>
    </sheetView>
  </sheetViews>
  <sheetFormatPr baseColWidth="10" defaultRowHeight="14.3" x14ac:dyDescent="0.25"/>
  <cols>
    <col min="1" max="1" width="7" bestFit="1" customWidth="1"/>
    <col min="2" max="2" width="4.28515625" bestFit="1" customWidth="1"/>
    <col min="3" max="3" width="6.5703125" bestFit="1" customWidth="1"/>
    <col min="4" max="4" width="8.28515625" customWidth="1"/>
    <col min="5" max="5" width="9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>
        <v>1</v>
      </c>
      <c r="D2" t="str">
        <f t="shared" ref="D2:D65" si="0">A2&amp;B2&amp;"_"&amp;C2</f>
        <v>AC_a_1</v>
      </c>
      <c r="E2">
        <f>2+1+4+4+1+2+4+2+5+4+6+6+1+6+4+6+6+1+3+8+7+3</f>
        <v>86</v>
      </c>
      <c r="F2">
        <f>2+4+4+2+5+2+2+5+1+5+3+2+2+1+3+8+7+3</f>
        <v>61</v>
      </c>
      <c r="G2">
        <v>0</v>
      </c>
      <c r="H2">
        <f>E2-F2+G2</f>
        <v>25</v>
      </c>
      <c r="I2">
        <v>25</v>
      </c>
      <c r="J2">
        <v>0</v>
      </c>
      <c r="K2">
        <v>0</v>
      </c>
      <c r="L2">
        <f>I2+F2</f>
        <v>86</v>
      </c>
      <c r="M2">
        <v>0</v>
      </c>
      <c r="N2">
        <f>L2/E2</f>
        <v>1</v>
      </c>
      <c r="O2">
        <f>1/N2</f>
        <v>1</v>
      </c>
      <c r="Q2">
        <v>5.67</v>
      </c>
      <c r="R2">
        <v>5.67</v>
      </c>
      <c r="W2">
        <f>Q2+S2+U2</f>
        <v>5.67</v>
      </c>
      <c r="X2">
        <f>R2+T2+V2</f>
        <v>5.67</v>
      </c>
    </row>
    <row r="3" spans="1:24" x14ac:dyDescent="0.25">
      <c r="A3" t="s">
        <v>24</v>
      </c>
      <c r="B3" t="s">
        <v>25</v>
      </c>
      <c r="C3">
        <v>2</v>
      </c>
      <c r="D3" t="str">
        <f t="shared" si="0"/>
        <v>AC_a_2</v>
      </c>
      <c r="E3">
        <f>6+5+5+7+8+6+8+4+2+7+1+6+2+6+4+4+6+2+8+11</f>
        <v>108</v>
      </c>
      <c r="F3">
        <f>5+3+2+7+3+3+4+1+4+1+2+5</f>
        <v>40</v>
      </c>
      <c r="G3">
        <f>6+5+4</f>
        <v>15</v>
      </c>
      <c r="H3">
        <f t="shared" ref="H2:H65" si="1">E3-F3+G3</f>
        <v>83</v>
      </c>
      <c r="I3">
        <f>1+1+1+1+1+1+2+1+3+1</f>
        <v>13</v>
      </c>
      <c r="J3">
        <v>4</v>
      </c>
      <c r="K3">
        <f>H3-I3+J3</f>
        <v>74</v>
      </c>
      <c r="L3">
        <f>I3+F3</f>
        <v>53</v>
      </c>
      <c r="M3">
        <f t="shared" ref="M3:M66" si="2">J3+G3</f>
        <v>19</v>
      </c>
      <c r="N3">
        <f>L3/E3</f>
        <v>0.49074074074074076</v>
      </c>
      <c r="O3">
        <f>1/N3</f>
        <v>2.0377358490566038</v>
      </c>
      <c r="P3">
        <f t="shared" ref="P3:P55" si="3">1/(M3/E3)</f>
        <v>5.6842105263157894</v>
      </c>
      <c r="Q3">
        <v>10.23</v>
      </c>
      <c r="R3">
        <v>11.31</v>
      </c>
      <c r="S3">
        <v>5.21</v>
      </c>
      <c r="T3">
        <v>6.05</v>
      </c>
      <c r="U3">
        <v>5.49</v>
      </c>
      <c r="V3">
        <v>5.68</v>
      </c>
      <c r="W3">
        <f t="shared" ref="W3:X27" si="4">Q3+S3+U3</f>
        <v>20.93</v>
      </c>
      <c r="X3">
        <f t="shared" si="4"/>
        <v>23.04</v>
      </c>
    </row>
    <row r="4" spans="1:24" x14ac:dyDescent="0.25">
      <c r="A4" t="s">
        <v>24</v>
      </c>
      <c r="B4" t="s">
        <v>26</v>
      </c>
      <c r="C4">
        <v>1</v>
      </c>
      <c r="D4" t="str">
        <f t="shared" si="0"/>
        <v>AC_b_1</v>
      </c>
      <c r="E4">
        <f>5+3+6+7+8+10+2+17+12+2+1+4+7+4+4+4+5+7+1+1+14+5+2</f>
        <v>131</v>
      </c>
      <c r="F4">
        <f>5+1+4+1+2</f>
        <v>13</v>
      </c>
      <c r="G4">
        <v>1</v>
      </c>
      <c r="H4">
        <f t="shared" si="1"/>
        <v>119</v>
      </c>
      <c r="I4">
        <f>1+6+5+6+7+4+1</f>
        <v>30</v>
      </c>
      <c r="J4">
        <f>55+38</f>
        <v>93</v>
      </c>
      <c r="K4">
        <f>H4-I4+J4</f>
        <v>182</v>
      </c>
      <c r="L4">
        <f t="shared" ref="L4:M67" si="5">I4+F4</f>
        <v>43</v>
      </c>
      <c r="M4">
        <f t="shared" si="2"/>
        <v>94</v>
      </c>
      <c r="N4">
        <f t="shared" ref="N3:N66" si="6">L4/E4</f>
        <v>0.3282442748091603</v>
      </c>
      <c r="O4">
        <f t="shared" ref="O3:O66" si="7">1/N4</f>
        <v>3.0465116279069768</v>
      </c>
      <c r="P4">
        <f t="shared" si="3"/>
        <v>1.3936170212765957</v>
      </c>
      <c r="Q4">
        <v>8.44</v>
      </c>
      <c r="R4">
        <v>10.119999999999999</v>
      </c>
      <c r="S4">
        <v>5.45</v>
      </c>
      <c r="T4">
        <v>5.65</v>
      </c>
      <c r="W4">
        <f t="shared" si="4"/>
        <v>13.89</v>
      </c>
      <c r="X4">
        <f t="shared" si="4"/>
        <v>15.77</v>
      </c>
    </row>
    <row r="5" spans="1:24" x14ac:dyDescent="0.25">
      <c r="A5" t="s">
        <v>24</v>
      </c>
      <c r="B5" t="s">
        <v>26</v>
      </c>
      <c r="C5">
        <v>2</v>
      </c>
      <c r="D5" t="str">
        <f t="shared" si="0"/>
        <v>AC_b_2</v>
      </c>
      <c r="E5">
        <f>7+1+7+8+10+1+7+2+6+2+9</f>
        <v>60</v>
      </c>
      <c r="F5">
        <f>1+2</f>
        <v>3</v>
      </c>
      <c r="G5">
        <v>0</v>
      </c>
      <c r="H5">
        <f t="shared" si="1"/>
        <v>57</v>
      </c>
      <c r="I5">
        <v>10</v>
      </c>
      <c r="J5">
        <v>15</v>
      </c>
      <c r="K5">
        <f>H5-I5+J5</f>
        <v>62</v>
      </c>
      <c r="L5">
        <f>I5+F5</f>
        <v>13</v>
      </c>
      <c r="M5">
        <f t="shared" si="2"/>
        <v>15</v>
      </c>
      <c r="N5">
        <f>L5/E5</f>
        <v>0.21666666666666667</v>
      </c>
      <c r="O5">
        <f>1/N5</f>
        <v>4.615384615384615</v>
      </c>
      <c r="P5">
        <f t="shared" si="3"/>
        <v>4</v>
      </c>
      <c r="Q5">
        <v>4.7</v>
      </c>
      <c r="R5">
        <v>4.7</v>
      </c>
      <c r="W5">
        <f t="shared" si="4"/>
        <v>4.7</v>
      </c>
      <c r="X5">
        <f t="shared" si="4"/>
        <v>4.7</v>
      </c>
    </row>
    <row r="6" spans="1:24" x14ac:dyDescent="0.25">
      <c r="A6" t="s">
        <v>24</v>
      </c>
      <c r="B6" t="s">
        <v>27</v>
      </c>
      <c r="C6">
        <v>1</v>
      </c>
      <c r="D6" t="str">
        <f t="shared" si="0"/>
        <v>AC_c_1</v>
      </c>
      <c r="E6">
        <f>11+9+4+6+2+3+2+4+2+4+2+2+2+2+3+1+8+10</f>
        <v>77</v>
      </c>
      <c r="F6">
        <f>1+4+2+1+2+1</f>
        <v>11</v>
      </c>
      <c r="G6">
        <f>6+1</f>
        <v>7</v>
      </c>
      <c r="H6">
        <f t="shared" si="1"/>
        <v>73</v>
      </c>
      <c r="I6">
        <f>1+1+3+1+1+1</f>
        <v>8</v>
      </c>
      <c r="J6">
        <v>0</v>
      </c>
      <c r="K6">
        <f>H6-I6+J6</f>
        <v>65</v>
      </c>
      <c r="L6">
        <f t="shared" si="5"/>
        <v>19</v>
      </c>
      <c r="M6">
        <f>J6+G6</f>
        <v>7</v>
      </c>
      <c r="N6">
        <f t="shared" si="6"/>
        <v>0.24675324675324675</v>
      </c>
      <c r="O6">
        <f t="shared" si="7"/>
        <v>4.0526315789473681</v>
      </c>
      <c r="P6">
        <f t="shared" si="3"/>
        <v>11</v>
      </c>
      <c r="Q6">
        <v>6.31</v>
      </c>
      <c r="R6">
        <v>5.93</v>
      </c>
      <c r="S6">
        <v>5.09</v>
      </c>
      <c r="T6">
        <v>4.95</v>
      </c>
      <c r="W6">
        <f t="shared" si="4"/>
        <v>11.399999999999999</v>
      </c>
      <c r="X6">
        <f t="shared" si="4"/>
        <v>10.879999999999999</v>
      </c>
    </row>
    <row r="7" spans="1:24" x14ac:dyDescent="0.25">
      <c r="A7" t="s">
        <v>24</v>
      </c>
      <c r="B7" t="s">
        <v>27</v>
      </c>
      <c r="C7">
        <v>2</v>
      </c>
      <c r="D7" t="str">
        <f t="shared" si="0"/>
        <v>AC_c_2</v>
      </c>
      <c r="E7">
        <f>3+4+14+2+3+6+1+7+5+1+10+5+3+16+7+9</f>
        <v>96</v>
      </c>
      <c r="F7">
        <f>2+1+1+1+5</f>
        <v>10</v>
      </c>
      <c r="G7">
        <v>3</v>
      </c>
      <c r="H7">
        <f t="shared" si="1"/>
        <v>89</v>
      </c>
      <c r="I7">
        <f>1+3+1+1+2+1+1+1</f>
        <v>11</v>
      </c>
      <c r="J7">
        <f>2+5</f>
        <v>7</v>
      </c>
      <c r="K7">
        <f>H7-I7+J7</f>
        <v>85</v>
      </c>
      <c r="L7">
        <f t="shared" si="5"/>
        <v>21</v>
      </c>
      <c r="M7">
        <f t="shared" si="2"/>
        <v>10</v>
      </c>
      <c r="N7">
        <f t="shared" si="6"/>
        <v>0.21875</v>
      </c>
      <c r="O7">
        <f t="shared" si="7"/>
        <v>4.5714285714285712</v>
      </c>
      <c r="P7">
        <f t="shared" si="3"/>
        <v>9.6</v>
      </c>
      <c r="Q7">
        <v>6.55</v>
      </c>
      <c r="R7">
        <v>6.98</v>
      </c>
      <c r="S7">
        <v>4.6500000000000004</v>
      </c>
      <c r="T7">
        <v>4.6500000000000004</v>
      </c>
      <c r="W7">
        <f t="shared" si="4"/>
        <v>11.2</v>
      </c>
      <c r="X7">
        <f t="shared" si="4"/>
        <v>11.63</v>
      </c>
    </row>
    <row r="8" spans="1:24" x14ac:dyDescent="0.25">
      <c r="A8" t="s">
        <v>24</v>
      </c>
      <c r="B8" t="s">
        <v>28</v>
      </c>
      <c r="C8">
        <v>1</v>
      </c>
      <c r="D8" t="str">
        <f t="shared" si="0"/>
        <v>AC_d_1</v>
      </c>
      <c r="E8">
        <f>7+2+3+4+2+11+1+11+1+1+1</f>
        <v>44</v>
      </c>
      <c r="F8">
        <f>7+2+3+4+1+1+2+1+1+1</f>
        <v>23</v>
      </c>
      <c r="G8">
        <v>0</v>
      </c>
      <c r="H8">
        <f t="shared" si="1"/>
        <v>21</v>
      </c>
      <c r="I8">
        <v>21</v>
      </c>
      <c r="J8">
        <v>0</v>
      </c>
      <c r="K8">
        <v>0</v>
      </c>
      <c r="L8">
        <f>I8+F8</f>
        <v>44</v>
      </c>
      <c r="M8">
        <f t="shared" si="2"/>
        <v>0</v>
      </c>
      <c r="N8">
        <f t="shared" si="6"/>
        <v>1</v>
      </c>
      <c r="O8">
        <f t="shared" si="7"/>
        <v>1</v>
      </c>
      <c r="Q8">
        <v>6.85</v>
      </c>
      <c r="R8">
        <v>6.85</v>
      </c>
      <c r="W8">
        <f t="shared" si="4"/>
        <v>6.85</v>
      </c>
      <c r="X8">
        <f t="shared" si="4"/>
        <v>6.85</v>
      </c>
    </row>
    <row r="9" spans="1:24" x14ac:dyDescent="0.25">
      <c r="A9" t="s">
        <v>24</v>
      </c>
      <c r="B9" t="s">
        <v>28</v>
      </c>
      <c r="C9">
        <v>2</v>
      </c>
      <c r="D9" t="str">
        <f t="shared" si="0"/>
        <v>AC_d_2</v>
      </c>
      <c r="E9">
        <f>5+1+1+1+8+7+3+5+1+6+5+1+2+4+8+4+1+1+1+2+4+4+3</f>
        <v>78</v>
      </c>
      <c r="F9">
        <f>5+1+1+2+1+5+1+1+1</f>
        <v>18</v>
      </c>
      <c r="G9">
        <v>8</v>
      </c>
      <c r="H9">
        <f t="shared" si="1"/>
        <v>68</v>
      </c>
      <c r="I9">
        <f>1+1+1+1+1</f>
        <v>5</v>
      </c>
      <c r="J9">
        <f>13+2+6+2</f>
        <v>23</v>
      </c>
      <c r="K9">
        <f t="shared" ref="K9:K18" si="8">H9-I9+J9</f>
        <v>86</v>
      </c>
      <c r="L9">
        <f t="shared" si="5"/>
        <v>23</v>
      </c>
      <c r="M9">
        <f t="shared" si="2"/>
        <v>31</v>
      </c>
      <c r="N9">
        <f t="shared" si="6"/>
        <v>0.29487179487179488</v>
      </c>
      <c r="O9">
        <f t="shared" si="7"/>
        <v>3.3913043478260869</v>
      </c>
      <c r="P9">
        <f t="shared" si="3"/>
        <v>2.5161290322580645</v>
      </c>
      <c r="Q9">
        <v>6.9</v>
      </c>
      <c r="R9">
        <v>6.99</v>
      </c>
      <c r="S9">
        <v>5.84</v>
      </c>
      <c r="T9">
        <v>6.71</v>
      </c>
      <c r="W9">
        <f t="shared" si="4"/>
        <v>12.74</v>
      </c>
      <c r="X9">
        <f t="shared" si="4"/>
        <v>13.7</v>
      </c>
    </row>
    <row r="10" spans="1:24" x14ac:dyDescent="0.25">
      <c r="A10" t="s">
        <v>29</v>
      </c>
      <c r="B10" t="s">
        <v>25</v>
      </c>
      <c r="C10">
        <v>1</v>
      </c>
      <c r="D10" t="str">
        <f t="shared" si="0"/>
        <v>BE_a_1</v>
      </c>
      <c r="E10">
        <f>65+12+46+23+24+9+12+9+31+11+28+58+15+18+12+32+30+1+41+4</f>
        <v>481</v>
      </c>
      <c r="F10">
        <f>24+23+5+7+12+11+14+21+8+4+2+1+3</f>
        <v>135</v>
      </c>
      <c r="G10">
        <f>16</f>
        <v>16</v>
      </c>
      <c r="H10">
        <f t="shared" si="1"/>
        <v>362</v>
      </c>
      <c r="I10">
        <f>24+23+6+3+7+20+11+2+9+1+14+16+1+9</f>
        <v>146</v>
      </c>
      <c r="J10">
        <f>28+28+32+26+25+50+27+13</f>
        <v>229</v>
      </c>
      <c r="K10">
        <f t="shared" si="8"/>
        <v>445</v>
      </c>
      <c r="L10">
        <f t="shared" si="5"/>
        <v>281</v>
      </c>
      <c r="M10">
        <f t="shared" si="2"/>
        <v>245</v>
      </c>
      <c r="N10">
        <f t="shared" si="6"/>
        <v>0.58419958419958418</v>
      </c>
      <c r="O10">
        <f t="shared" si="7"/>
        <v>1.711743772241993</v>
      </c>
      <c r="P10">
        <f t="shared" si="3"/>
        <v>1.963265306122449</v>
      </c>
      <c r="Q10">
        <v>5.57</v>
      </c>
      <c r="R10">
        <v>5.79</v>
      </c>
      <c r="S10">
        <v>4.16</v>
      </c>
      <c r="T10">
        <v>4.79</v>
      </c>
      <c r="W10">
        <f t="shared" si="4"/>
        <v>9.73</v>
      </c>
      <c r="X10">
        <f t="shared" si="4"/>
        <v>10.58</v>
      </c>
    </row>
    <row r="11" spans="1:24" x14ac:dyDescent="0.25">
      <c r="A11" t="s">
        <v>29</v>
      </c>
      <c r="B11" t="s">
        <v>25</v>
      </c>
      <c r="C11">
        <v>2</v>
      </c>
      <c r="D11" t="str">
        <f t="shared" si="0"/>
        <v>BE_a_2</v>
      </c>
      <c r="E11">
        <f>58+33+33+3+30+23+47+9+18+87+9+12+9+32+11+12</f>
        <v>426</v>
      </c>
      <c r="F11">
        <f>21+3+9+5+21+8+9+4+9</f>
        <v>89</v>
      </c>
      <c r="G11">
        <v>0</v>
      </c>
      <c r="H11">
        <f t="shared" si="1"/>
        <v>337</v>
      </c>
      <c r="I11">
        <f>7+8+4+7+8+1+2+13+24+1+5+3</f>
        <v>83</v>
      </c>
      <c r="J11">
        <f>9+5+17+13+27+30+16</f>
        <v>117</v>
      </c>
      <c r="K11">
        <f t="shared" si="8"/>
        <v>371</v>
      </c>
      <c r="L11">
        <f t="shared" si="5"/>
        <v>172</v>
      </c>
      <c r="M11">
        <f t="shared" si="2"/>
        <v>117</v>
      </c>
      <c r="N11">
        <f t="shared" si="6"/>
        <v>0.40375586854460094</v>
      </c>
      <c r="O11">
        <f t="shared" si="7"/>
        <v>2.4767441860465116</v>
      </c>
      <c r="P11">
        <f t="shared" si="3"/>
        <v>3.6410256410256405</v>
      </c>
      <c r="Q11">
        <v>4.8</v>
      </c>
      <c r="R11">
        <v>4.8600000000000003</v>
      </c>
      <c r="W11">
        <f t="shared" si="4"/>
        <v>4.8</v>
      </c>
      <c r="X11">
        <f t="shared" si="4"/>
        <v>4.8600000000000003</v>
      </c>
    </row>
    <row r="12" spans="1:24" x14ac:dyDescent="0.25">
      <c r="A12" t="s">
        <v>29</v>
      </c>
      <c r="B12" t="s">
        <v>25</v>
      </c>
      <c r="C12">
        <v>3</v>
      </c>
      <c r="D12" t="str">
        <f t="shared" si="0"/>
        <v>BE_a_3</v>
      </c>
      <c r="E12">
        <f>1+59+2+101+118+19+27+29</f>
        <v>356</v>
      </c>
      <c r="F12">
        <f>10+2+27+30+16</f>
        <v>85</v>
      </c>
      <c r="G12">
        <v>0</v>
      </c>
      <c r="H12">
        <f t="shared" si="1"/>
        <v>271</v>
      </c>
      <c r="I12">
        <f>16+4+7+5+4</f>
        <v>36</v>
      </c>
      <c r="J12">
        <f>20+19+32+32</f>
        <v>103</v>
      </c>
      <c r="K12">
        <f t="shared" si="8"/>
        <v>338</v>
      </c>
      <c r="L12">
        <f t="shared" si="5"/>
        <v>121</v>
      </c>
      <c r="M12">
        <f t="shared" si="2"/>
        <v>103</v>
      </c>
      <c r="N12">
        <f t="shared" si="6"/>
        <v>0.3398876404494382</v>
      </c>
      <c r="O12">
        <f t="shared" si="7"/>
        <v>2.9421487603305785</v>
      </c>
      <c r="P12">
        <f t="shared" si="3"/>
        <v>3.4563106796116507</v>
      </c>
      <c r="Q12">
        <v>2.82</v>
      </c>
      <c r="R12">
        <v>3.21</v>
      </c>
      <c r="W12">
        <f t="shared" si="4"/>
        <v>2.82</v>
      </c>
      <c r="X12">
        <f t="shared" si="4"/>
        <v>3.21</v>
      </c>
    </row>
    <row r="13" spans="1:24" x14ac:dyDescent="0.25">
      <c r="A13" t="s">
        <v>29</v>
      </c>
      <c r="B13" t="s">
        <v>26</v>
      </c>
      <c r="C13">
        <v>1</v>
      </c>
      <c r="D13" t="str">
        <f t="shared" si="0"/>
        <v>BE_b_1</v>
      </c>
      <c r="E13">
        <f>50+65+8+3+53+6+1+2+65+49+23+14+3+110+56+47+49</f>
        <v>604</v>
      </c>
      <c r="F13">
        <f>50+8+65+36+1+3+40+3+15+49</f>
        <v>270</v>
      </c>
      <c r="G13">
        <f>10</f>
        <v>10</v>
      </c>
      <c r="H13">
        <f t="shared" si="1"/>
        <v>344</v>
      </c>
      <c r="I13">
        <f>13+1+2+10+11+9+5+8</f>
        <v>59</v>
      </c>
      <c r="J13">
        <f>35+20+18+39</f>
        <v>112</v>
      </c>
      <c r="K13">
        <f t="shared" si="8"/>
        <v>397</v>
      </c>
      <c r="L13">
        <f t="shared" si="5"/>
        <v>329</v>
      </c>
      <c r="M13">
        <f t="shared" si="2"/>
        <v>122</v>
      </c>
      <c r="N13">
        <f t="shared" si="6"/>
        <v>0.54470198675496684</v>
      </c>
      <c r="O13">
        <f t="shared" si="7"/>
        <v>1.8358662613981764</v>
      </c>
      <c r="P13">
        <f t="shared" si="3"/>
        <v>4.9508196721311473</v>
      </c>
      <c r="Q13">
        <v>9.9600000000000009</v>
      </c>
      <c r="R13">
        <v>11.46</v>
      </c>
      <c r="S13">
        <v>4.25</v>
      </c>
      <c r="T13">
        <v>4.43</v>
      </c>
      <c r="U13">
        <v>3.34</v>
      </c>
      <c r="V13">
        <v>3.45</v>
      </c>
      <c r="W13">
        <f t="shared" si="4"/>
        <v>17.55</v>
      </c>
      <c r="X13">
        <f t="shared" si="4"/>
        <v>19.34</v>
      </c>
    </row>
    <row r="14" spans="1:24" x14ac:dyDescent="0.25">
      <c r="A14" t="s">
        <v>29</v>
      </c>
      <c r="B14" t="s">
        <v>26</v>
      </c>
      <c r="C14">
        <v>2</v>
      </c>
      <c r="D14" t="str">
        <f t="shared" si="0"/>
        <v>BE_b_2</v>
      </c>
      <c r="E14">
        <f>5+72+35+34+7+56+38+30+5+10+50+47+50+71+65+59+2+17</f>
        <v>653</v>
      </c>
      <c r="F14">
        <f>12+11+1+9</f>
        <v>33</v>
      </c>
      <c r="G14">
        <f>5</f>
        <v>5</v>
      </c>
      <c r="H14">
        <f t="shared" si="1"/>
        <v>625</v>
      </c>
      <c r="I14">
        <f>4+7+12+1+1+3+1+1+5</f>
        <v>35</v>
      </c>
      <c r="J14">
        <f>17+14+15+13+5+12+16</f>
        <v>92</v>
      </c>
      <c r="K14">
        <f t="shared" si="8"/>
        <v>682</v>
      </c>
      <c r="L14">
        <f>I14+F14</f>
        <v>68</v>
      </c>
      <c r="M14">
        <f t="shared" si="2"/>
        <v>97</v>
      </c>
      <c r="N14">
        <f>L14/E14</f>
        <v>0.10413476263399694</v>
      </c>
      <c r="O14">
        <f>1/N14</f>
        <v>9.602941176470587</v>
      </c>
      <c r="P14">
        <f t="shared" si="3"/>
        <v>6.731958762886598</v>
      </c>
      <c r="Q14">
        <v>6.57</v>
      </c>
      <c r="R14">
        <v>7.3</v>
      </c>
      <c r="S14">
        <v>2.85</v>
      </c>
      <c r="T14">
        <v>3</v>
      </c>
      <c r="W14">
        <f t="shared" si="4"/>
        <v>9.42</v>
      </c>
      <c r="X14">
        <f t="shared" si="4"/>
        <v>10.3</v>
      </c>
    </row>
    <row r="15" spans="1:24" x14ac:dyDescent="0.25">
      <c r="A15" t="s">
        <v>29</v>
      </c>
      <c r="B15" t="s">
        <v>27</v>
      </c>
      <c r="C15">
        <v>1</v>
      </c>
      <c r="D15" t="str">
        <f t="shared" si="0"/>
        <v>BE_c_1</v>
      </c>
      <c r="E15">
        <f>17+41+27+30+183+35+101+9+33+56+45+136+50+78</f>
        <v>841</v>
      </c>
      <c r="F15">
        <f>10+10+90+1+15</f>
        <v>126</v>
      </c>
      <c r="G15">
        <f>40</f>
        <v>40</v>
      </c>
      <c r="H15">
        <f t="shared" si="1"/>
        <v>755</v>
      </c>
      <c r="I15">
        <f>20+3+6+6+19</f>
        <v>54</v>
      </c>
      <c r="J15">
        <f>140+52+3+21+23+5</f>
        <v>244</v>
      </c>
      <c r="K15">
        <f t="shared" si="8"/>
        <v>945</v>
      </c>
      <c r="L15">
        <f t="shared" si="5"/>
        <v>180</v>
      </c>
      <c r="M15">
        <f t="shared" si="2"/>
        <v>284</v>
      </c>
      <c r="N15">
        <f t="shared" si="6"/>
        <v>0.2140309155766944</v>
      </c>
      <c r="O15">
        <f t="shared" si="7"/>
        <v>4.6722222222222225</v>
      </c>
      <c r="P15">
        <f t="shared" si="3"/>
        <v>2.961267605633803</v>
      </c>
      <c r="Q15">
        <v>6.79</v>
      </c>
      <c r="R15">
        <v>8.02</v>
      </c>
      <c r="S15">
        <v>3.65</v>
      </c>
      <c r="T15">
        <v>4.71</v>
      </c>
      <c r="W15">
        <f t="shared" si="4"/>
        <v>10.44</v>
      </c>
      <c r="X15">
        <f t="shared" si="4"/>
        <v>12.73</v>
      </c>
    </row>
    <row r="16" spans="1:24" x14ac:dyDescent="0.25">
      <c r="A16" t="s">
        <v>29</v>
      </c>
      <c r="B16" t="s">
        <v>28</v>
      </c>
      <c r="C16">
        <v>1</v>
      </c>
      <c r="D16" t="str">
        <f t="shared" si="0"/>
        <v>BE_d_1</v>
      </c>
      <c r="E16">
        <f>39+48+59+48+27+40+18+18+30+27+46+85+120+44+89+89+16</f>
        <v>843</v>
      </c>
      <c r="F16">
        <f>7+4+4+3+6+11</f>
        <v>35</v>
      </c>
      <c r="G16">
        <f>10+3+2+8</f>
        <v>23</v>
      </c>
      <c r="H16">
        <f t="shared" si="1"/>
        <v>831</v>
      </c>
      <c r="I16">
        <f>39+6+1+20+11+3+26+5+34</f>
        <v>145</v>
      </c>
      <c r="J16">
        <f>36+42+53+30+20+25+40+20+37</f>
        <v>303</v>
      </c>
      <c r="K16">
        <f t="shared" si="8"/>
        <v>989</v>
      </c>
      <c r="L16">
        <f t="shared" si="5"/>
        <v>180</v>
      </c>
      <c r="M16">
        <f t="shared" si="2"/>
        <v>326</v>
      </c>
      <c r="N16">
        <f t="shared" si="6"/>
        <v>0.21352313167259787</v>
      </c>
      <c r="O16">
        <f t="shared" si="7"/>
        <v>4.6833333333333336</v>
      </c>
      <c r="P16">
        <f t="shared" si="3"/>
        <v>2.5858895705521472</v>
      </c>
      <c r="Q16">
        <v>7.98</v>
      </c>
      <c r="R16">
        <v>8.6</v>
      </c>
      <c r="S16">
        <v>5.25</v>
      </c>
      <c r="T16">
        <v>5.93</v>
      </c>
      <c r="W16">
        <f t="shared" si="4"/>
        <v>13.23</v>
      </c>
      <c r="X16">
        <f t="shared" si="4"/>
        <v>14.53</v>
      </c>
    </row>
    <row r="17" spans="1:24" x14ac:dyDescent="0.25">
      <c r="A17" t="s">
        <v>29</v>
      </c>
      <c r="B17" t="s">
        <v>30</v>
      </c>
      <c r="C17">
        <v>1</v>
      </c>
      <c r="D17" t="str">
        <f t="shared" si="0"/>
        <v>BE_e_1</v>
      </c>
      <c r="E17">
        <f>10+84+41+110+120</f>
        <v>365</v>
      </c>
      <c r="F17">
        <f>10+22+31</f>
        <v>63</v>
      </c>
      <c r="G17">
        <f>15+10+7+5+3</f>
        <v>40</v>
      </c>
      <c r="H17">
        <f t="shared" si="1"/>
        <v>342</v>
      </c>
      <c r="I17">
        <f>14+8+8+50+15</f>
        <v>95</v>
      </c>
      <c r="J17">
        <f>42+14+31+35+14</f>
        <v>136</v>
      </c>
      <c r="K17">
        <f t="shared" si="8"/>
        <v>383</v>
      </c>
      <c r="L17">
        <f t="shared" si="5"/>
        <v>158</v>
      </c>
      <c r="M17">
        <f t="shared" si="2"/>
        <v>176</v>
      </c>
      <c r="N17">
        <f t="shared" si="6"/>
        <v>0.43287671232876712</v>
      </c>
      <c r="O17">
        <f t="shared" si="7"/>
        <v>2.3101265822784809</v>
      </c>
      <c r="P17">
        <f t="shared" si="3"/>
        <v>2.0738636363636362</v>
      </c>
      <c r="Q17">
        <v>5</v>
      </c>
      <c r="R17">
        <v>5.2</v>
      </c>
      <c r="S17">
        <v>4.17</v>
      </c>
      <c r="T17">
        <v>4.29</v>
      </c>
      <c r="U17">
        <v>1.68</v>
      </c>
      <c r="V17">
        <v>2.09</v>
      </c>
      <c r="W17">
        <f t="shared" si="4"/>
        <v>10.85</v>
      </c>
      <c r="X17">
        <f t="shared" si="4"/>
        <v>11.58</v>
      </c>
    </row>
    <row r="18" spans="1:24" x14ac:dyDescent="0.25">
      <c r="A18" t="s">
        <v>29</v>
      </c>
      <c r="B18" t="s">
        <v>30</v>
      </c>
      <c r="C18">
        <v>2</v>
      </c>
      <c r="D18" t="str">
        <f t="shared" si="0"/>
        <v>BE_e_2</v>
      </c>
      <c r="E18">
        <f>22+40+82+76+54+58+39+38+75+47</f>
        <v>531</v>
      </c>
      <c r="F18">
        <f>22+31+9+21+21+39+3+5+28+16</f>
        <v>195</v>
      </c>
      <c r="G18">
        <f>5+7+10+7+20+10+12+15</f>
        <v>86</v>
      </c>
      <c r="H18">
        <f t="shared" si="1"/>
        <v>422</v>
      </c>
      <c r="I18">
        <f>11+22+2+7+5+11+14+8+13+11+3</f>
        <v>107</v>
      </c>
      <c r="J18">
        <f>10+18+4+58+13+87+5</f>
        <v>195</v>
      </c>
      <c r="K18">
        <f t="shared" si="8"/>
        <v>510</v>
      </c>
      <c r="L18">
        <f t="shared" si="5"/>
        <v>302</v>
      </c>
      <c r="M18">
        <f t="shared" si="2"/>
        <v>281</v>
      </c>
      <c r="N18">
        <f t="shared" si="6"/>
        <v>0.56873822975517896</v>
      </c>
      <c r="O18">
        <f t="shared" si="7"/>
        <v>1.758278145695364</v>
      </c>
      <c r="P18">
        <f t="shared" si="3"/>
        <v>1.8896797153024911</v>
      </c>
      <c r="Q18">
        <v>6.2</v>
      </c>
      <c r="R18">
        <v>6.55</v>
      </c>
      <c r="S18">
        <v>3.88</v>
      </c>
      <c r="T18">
        <v>4.47</v>
      </c>
      <c r="U18">
        <v>2.44</v>
      </c>
      <c r="V18">
        <v>2.6</v>
      </c>
      <c r="W18">
        <f t="shared" si="4"/>
        <v>12.52</v>
      </c>
      <c r="X18">
        <f t="shared" si="4"/>
        <v>13.62</v>
      </c>
    </row>
    <row r="19" spans="1:24" x14ac:dyDescent="0.25">
      <c r="A19" t="s">
        <v>31</v>
      </c>
      <c r="B19" t="s">
        <v>25</v>
      </c>
      <c r="C19">
        <v>1</v>
      </c>
      <c r="D19" t="str">
        <f t="shared" si="0"/>
        <v>BS_a_1</v>
      </c>
      <c r="E19">
        <f>3+2+10+6+7+3+3+7+17+9+3+7</f>
        <v>77</v>
      </c>
      <c r="F19">
        <f>1+1+3+5+1+1</f>
        <v>12</v>
      </c>
      <c r="G19">
        <v>0</v>
      </c>
      <c r="H19">
        <f t="shared" si="1"/>
        <v>65</v>
      </c>
      <c r="I19">
        <v>65</v>
      </c>
      <c r="J19">
        <v>0</v>
      </c>
      <c r="K19">
        <v>0</v>
      </c>
      <c r="L19">
        <f t="shared" si="5"/>
        <v>77</v>
      </c>
      <c r="M19">
        <v>0</v>
      </c>
      <c r="N19">
        <f t="shared" si="6"/>
        <v>1</v>
      </c>
      <c r="O19">
        <f t="shared" si="7"/>
        <v>1</v>
      </c>
      <c r="Q19">
        <v>10.15</v>
      </c>
      <c r="R19">
        <v>10.15</v>
      </c>
      <c r="W19">
        <f t="shared" si="4"/>
        <v>10.15</v>
      </c>
      <c r="X19">
        <f t="shared" si="4"/>
        <v>10.15</v>
      </c>
    </row>
    <row r="20" spans="1:24" x14ac:dyDescent="0.25">
      <c r="A20" t="s">
        <v>31</v>
      </c>
      <c r="B20" t="s">
        <v>25</v>
      </c>
      <c r="C20">
        <v>2</v>
      </c>
      <c r="D20" t="str">
        <f t="shared" si="0"/>
        <v>BS_a_2</v>
      </c>
      <c r="E20">
        <f>1+7+1+7+5+2+6+17+7+7+1+6+8+2+2+2+24+2+9+9</f>
        <v>125</v>
      </c>
      <c r="F20">
        <f>1+3+1+2+2+2+1+1+2+2+4+1+2+4+2+5+2</f>
        <v>37</v>
      </c>
      <c r="G20">
        <f>1+2</f>
        <v>3</v>
      </c>
      <c r="H20">
        <f t="shared" si="1"/>
        <v>91</v>
      </c>
      <c r="I20">
        <f>1+2+1+2</f>
        <v>6</v>
      </c>
      <c r="J20">
        <f>7+5+3+2+5+9+4+1+2+2+12+2+4+8+4</f>
        <v>70</v>
      </c>
      <c r="K20">
        <f t="shared" ref="K20:K41" si="9">H20-I20+J20</f>
        <v>155</v>
      </c>
      <c r="L20">
        <f t="shared" si="5"/>
        <v>43</v>
      </c>
      <c r="M20">
        <f t="shared" si="2"/>
        <v>73</v>
      </c>
      <c r="N20">
        <f t="shared" si="6"/>
        <v>0.34399999999999997</v>
      </c>
      <c r="O20">
        <f t="shared" si="7"/>
        <v>2.9069767441860468</v>
      </c>
      <c r="P20">
        <f t="shared" si="3"/>
        <v>1.7123287671232879</v>
      </c>
      <c r="Q20">
        <v>7.59</v>
      </c>
      <c r="R20">
        <v>7.85</v>
      </c>
      <c r="S20">
        <v>5.12</v>
      </c>
      <c r="T20">
        <v>5.9</v>
      </c>
      <c r="U20">
        <v>3.77</v>
      </c>
      <c r="V20">
        <v>3.91</v>
      </c>
      <c r="W20">
        <f t="shared" si="4"/>
        <v>16.48</v>
      </c>
      <c r="X20">
        <f t="shared" si="4"/>
        <v>17.66</v>
      </c>
    </row>
    <row r="21" spans="1:24" x14ac:dyDescent="0.25">
      <c r="A21" t="s">
        <v>31</v>
      </c>
      <c r="B21" t="s">
        <v>26</v>
      </c>
      <c r="C21">
        <v>1</v>
      </c>
      <c r="D21" t="str">
        <f t="shared" si="0"/>
        <v>BS_b_1</v>
      </c>
      <c r="E21">
        <f>1+7+7+3+3+2+1+10+4+3+1+1+4+6+15+5+13+7+4+3+1</f>
        <v>101</v>
      </c>
      <c r="F21">
        <f>1+1+3+2+1+3+3+1+1+4+3+1</f>
        <v>24</v>
      </c>
      <c r="G21">
        <f>2+2+1+1</f>
        <v>6</v>
      </c>
      <c r="H21">
        <f t="shared" si="1"/>
        <v>83</v>
      </c>
      <c r="I21">
        <f>4+4+2+3+1+1+2+6+5+10+1+1</f>
        <v>40</v>
      </c>
      <c r="J21">
        <f>1+12+5+12+8+4+5+5+2+5+6+9+6+6+4+10</f>
        <v>100</v>
      </c>
      <c r="K21">
        <f t="shared" si="9"/>
        <v>143</v>
      </c>
      <c r="L21">
        <f t="shared" si="5"/>
        <v>64</v>
      </c>
      <c r="M21">
        <f t="shared" si="2"/>
        <v>106</v>
      </c>
      <c r="N21">
        <f t="shared" si="6"/>
        <v>0.63366336633663367</v>
      </c>
      <c r="O21">
        <f t="shared" si="7"/>
        <v>1.578125</v>
      </c>
      <c r="P21">
        <f t="shared" si="3"/>
        <v>0.95283018867924529</v>
      </c>
      <c r="Q21">
        <v>9.1199999999999992</v>
      </c>
      <c r="R21">
        <v>9.5500000000000007</v>
      </c>
      <c r="S21">
        <v>7.25</v>
      </c>
      <c r="T21">
        <v>8.16</v>
      </c>
      <c r="U21">
        <v>7.05</v>
      </c>
      <c r="V21">
        <v>7.33</v>
      </c>
      <c r="W21">
        <f t="shared" si="4"/>
        <v>23.419999999999998</v>
      </c>
      <c r="X21">
        <f t="shared" si="4"/>
        <v>25.04</v>
      </c>
    </row>
    <row r="22" spans="1:24" x14ac:dyDescent="0.25">
      <c r="A22" t="s">
        <v>31</v>
      </c>
      <c r="B22" t="s">
        <v>26</v>
      </c>
      <c r="C22">
        <v>2</v>
      </c>
      <c r="D22" t="str">
        <f t="shared" si="0"/>
        <v>BS_b_2</v>
      </c>
      <c r="E22">
        <f>2+14+16+5+17+11+16+20</f>
        <v>101</v>
      </c>
      <c r="F22">
        <f>2+5+8+3+11+5</f>
        <v>34</v>
      </c>
      <c r="G22">
        <f>5+2</f>
        <v>7</v>
      </c>
      <c r="H22">
        <f t="shared" si="1"/>
        <v>74</v>
      </c>
      <c r="I22">
        <f>1+8+6+1+5</f>
        <v>21</v>
      </c>
      <c r="J22">
        <f>4+10+11+10+5+17+13</f>
        <v>70</v>
      </c>
      <c r="K22">
        <f t="shared" si="9"/>
        <v>123</v>
      </c>
      <c r="L22">
        <f t="shared" si="5"/>
        <v>55</v>
      </c>
      <c r="M22">
        <f t="shared" si="2"/>
        <v>77</v>
      </c>
      <c r="N22">
        <f t="shared" si="6"/>
        <v>0.54455445544554459</v>
      </c>
      <c r="O22">
        <f t="shared" si="7"/>
        <v>1.8363636363636362</v>
      </c>
      <c r="P22">
        <f t="shared" si="3"/>
        <v>1.3116883116883116</v>
      </c>
      <c r="Q22">
        <v>17.52</v>
      </c>
      <c r="R22">
        <v>17.72</v>
      </c>
      <c r="S22">
        <v>9.17</v>
      </c>
      <c r="T22">
        <v>10.8</v>
      </c>
      <c r="U22">
        <v>10.61</v>
      </c>
      <c r="V22">
        <v>10.95</v>
      </c>
      <c r="W22">
        <f t="shared" si="4"/>
        <v>37.299999999999997</v>
      </c>
      <c r="X22">
        <f t="shared" si="4"/>
        <v>39.47</v>
      </c>
    </row>
    <row r="23" spans="1:24" x14ac:dyDescent="0.25">
      <c r="A23" t="s">
        <v>31</v>
      </c>
      <c r="B23" t="s">
        <v>27</v>
      </c>
      <c r="C23">
        <v>1</v>
      </c>
      <c r="D23" t="str">
        <f t="shared" si="0"/>
        <v>BS_c_1</v>
      </c>
      <c r="E23">
        <f>3+2+1+4+2+3+4+4+12+6+16+8+17+19+4+7+2+5+2+10+4+1</f>
        <v>136</v>
      </c>
      <c r="F23">
        <f>1+1+1+4+2+1+3+3+1+4+2+2+1+5+2+3+2+4+1</f>
        <v>43</v>
      </c>
      <c r="G23">
        <f>4</f>
        <v>4</v>
      </c>
      <c r="H23">
        <f t="shared" si="1"/>
        <v>97</v>
      </c>
      <c r="I23">
        <f>2+3+9+5+10+3+2+5</f>
        <v>39</v>
      </c>
      <c r="J23">
        <f>4+3+6+7+3+12+5+4+13+7+8+3+9+3+2</f>
        <v>89</v>
      </c>
      <c r="K23">
        <f t="shared" si="9"/>
        <v>147</v>
      </c>
      <c r="L23">
        <f t="shared" si="5"/>
        <v>82</v>
      </c>
      <c r="M23">
        <f t="shared" si="2"/>
        <v>93</v>
      </c>
      <c r="N23">
        <f t="shared" si="6"/>
        <v>0.6029411764705882</v>
      </c>
      <c r="O23">
        <f t="shared" si="7"/>
        <v>1.6585365853658538</v>
      </c>
      <c r="P23">
        <f t="shared" si="3"/>
        <v>1.4623655913978495</v>
      </c>
      <c r="Q23">
        <v>17.04</v>
      </c>
      <c r="R23">
        <v>17.7</v>
      </c>
      <c r="S23">
        <v>15.12</v>
      </c>
      <c r="T23">
        <v>15.19</v>
      </c>
      <c r="U23">
        <v>12.76</v>
      </c>
      <c r="V23">
        <v>13.14</v>
      </c>
      <c r="W23">
        <f t="shared" si="4"/>
        <v>44.919999999999995</v>
      </c>
      <c r="X23">
        <f t="shared" si="4"/>
        <v>46.03</v>
      </c>
    </row>
    <row r="24" spans="1:24" x14ac:dyDescent="0.25">
      <c r="A24" t="s">
        <v>31</v>
      </c>
      <c r="B24" t="s">
        <v>28</v>
      </c>
      <c r="C24">
        <v>1</v>
      </c>
      <c r="D24" t="str">
        <f t="shared" si="0"/>
        <v>BS_d_1</v>
      </c>
      <c r="E24">
        <f>2+1+8+2+3+9+9+4</f>
        <v>38</v>
      </c>
      <c r="F24">
        <f>4+1+6+1+1</f>
        <v>13</v>
      </c>
      <c r="G24">
        <f>1+3+2</f>
        <v>6</v>
      </c>
      <c r="H24">
        <f t="shared" si="1"/>
        <v>31</v>
      </c>
      <c r="I24">
        <f>2+4+2+1+5+3</f>
        <v>17</v>
      </c>
      <c r="J24">
        <f>9+6+17+10+3+8+5</f>
        <v>58</v>
      </c>
      <c r="K24">
        <f t="shared" si="9"/>
        <v>72</v>
      </c>
      <c r="L24">
        <f t="shared" si="5"/>
        <v>30</v>
      </c>
      <c r="M24">
        <f t="shared" si="2"/>
        <v>64</v>
      </c>
      <c r="N24">
        <f t="shared" si="6"/>
        <v>0.78947368421052633</v>
      </c>
      <c r="O24">
        <f t="shared" si="7"/>
        <v>1.2666666666666666</v>
      </c>
      <c r="P24">
        <f t="shared" si="3"/>
        <v>0.59375</v>
      </c>
      <c r="Q24">
        <v>14.11</v>
      </c>
      <c r="R24">
        <v>14.35</v>
      </c>
      <c r="S24">
        <v>12.13</v>
      </c>
      <c r="T24">
        <v>12.16</v>
      </c>
      <c r="W24">
        <f t="shared" si="4"/>
        <v>26.240000000000002</v>
      </c>
      <c r="X24">
        <f t="shared" si="4"/>
        <v>26.509999999999998</v>
      </c>
    </row>
    <row r="25" spans="1:24" x14ac:dyDescent="0.25">
      <c r="A25" t="s">
        <v>31</v>
      </c>
      <c r="B25" t="s">
        <v>28</v>
      </c>
      <c r="C25">
        <v>2</v>
      </c>
      <c r="D25" t="str">
        <f t="shared" si="0"/>
        <v>BS_d_2</v>
      </c>
      <c r="E25">
        <f>5+2+4+4+6+7+2+7+5+4+6</f>
        <v>52</v>
      </c>
      <c r="F25">
        <f>1+1+2+4+1+2+2+1+4</f>
        <v>18</v>
      </c>
      <c r="G25">
        <f>2+1</f>
        <v>3</v>
      </c>
      <c r="H25">
        <f t="shared" si="1"/>
        <v>37</v>
      </c>
      <c r="I25">
        <f>4+1+4+2+1</f>
        <v>12</v>
      </c>
      <c r="J25">
        <f>6+6+6+3+11+9+5+8+9+4+4</f>
        <v>71</v>
      </c>
      <c r="K25">
        <f t="shared" si="9"/>
        <v>96</v>
      </c>
      <c r="L25">
        <f t="shared" si="5"/>
        <v>30</v>
      </c>
      <c r="M25">
        <f t="shared" si="2"/>
        <v>74</v>
      </c>
      <c r="N25">
        <f t="shared" si="6"/>
        <v>0.57692307692307687</v>
      </c>
      <c r="O25">
        <f t="shared" si="7"/>
        <v>1.7333333333333334</v>
      </c>
      <c r="P25">
        <f t="shared" si="3"/>
        <v>0.70270270270270263</v>
      </c>
      <c r="Q25">
        <v>14.9</v>
      </c>
      <c r="R25">
        <v>15.54</v>
      </c>
      <c r="S25">
        <v>13.64</v>
      </c>
      <c r="T25">
        <v>13.99</v>
      </c>
      <c r="U25">
        <v>11.17</v>
      </c>
      <c r="V25">
        <v>11.38</v>
      </c>
      <c r="W25">
        <f t="shared" si="4"/>
        <v>39.71</v>
      </c>
      <c r="X25">
        <f t="shared" si="4"/>
        <v>40.910000000000004</v>
      </c>
    </row>
    <row r="26" spans="1:24" x14ac:dyDescent="0.25">
      <c r="A26" t="s">
        <v>31</v>
      </c>
      <c r="B26" t="s">
        <v>30</v>
      </c>
      <c r="C26">
        <v>1</v>
      </c>
      <c r="D26" t="str">
        <f t="shared" si="0"/>
        <v>BS_e_1</v>
      </c>
      <c r="E26">
        <f>9+21+1+6+20+13+13+1+7+6+7+3+1+1+11+15+7+5+10+6+3+14+11+4+5+14+7+11+13</f>
        <v>245</v>
      </c>
      <c r="F26">
        <f>1+1+2+2+2+2+3+3+2+1+1+9+5+4+4+4</f>
        <v>46</v>
      </c>
      <c r="G26">
        <f>1+3+1+7+1+1+2+2+3+1</f>
        <v>22</v>
      </c>
      <c r="H26">
        <f t="shared" si="1"/>
        <v>221</v>
      </c>
      <c r="I26">
        <f>2+1+4+1+3+3+1+3+2+1+5+5+3+2+1+1+3</f>
        <v>41</v>
      </c>
      <c r="J26">
        <f>4+6+3+12+2+3+3+3+3+2+3+4+3+23+3+11+8+7+7+6</f>
        <v>116</v>
      </c>
      <c r="K26">
        <f t="shared" si="9"/>
        <v>296</v>
      </c>
      <c r="L26">
        <f t="shared" si="5"/>
        <v>87</v>
      </c>
      <c r="M26">
        <f t="shared" si="2"/>
        <v>138</v>
      </c>
      <c r="N26">
        <f t="shared" si="6"/>
        <v>0.35510204081632651</v>
      </c>
      <c r="O26">
        <f t="shared" si="7"/>
        <v>2.8160919540229887</v>
      </c>
      <c r="P26">
        <f t="shared" si="3"/>
        <v>1.7753623188405798</v>
      </c>
      <c r="Q26">
        <v>15.29</v>
      </c>
      <c r="R26">
        <v>15.27</v>
      </c>
      <c r="S26">
        <v>11.67</v>
      </c>
      <c r="T26">
        <v>12.1</v>
      </c>
      <c r="U26">
        <v>12.4</v>
      </c>
      <c r="V26">
        <v>12.72</v>
      </c>
      <c r="W26">
        <f t="shared" si="4"/>
        <v>39.36</v>
      </c>
      <c r="X26">
        <f t="shared" si="4"/>
        <v>40.089999999999996</v>
      </c>
    </row>
    <row r="27" spans="1:24" x14ac:dyDescent="0.25">
      <c r="A27" t="s">
        <v>31</v>
      </c>
      <c r="B27" t="s">
        <v>30</v>
      </c>
      <c r="C27">
        <v>2</v>
      </c>
      <c r="D27" t="str">
        <f t="shared" si="0"/>
        <v>BS_e_2</v>
      </c>
      <c r="E27">
        <f>6+6+9+3+35+5+34+39+40+30+26</f>
        <v>233</v>
      </c>
      <c r="F27">
        <f>2+1+1+6+5+1+4+2+1</f>
        <v>23</v>
      </c>
      <c r="G27">
        <f>1+12+12+24</f>
        <v>49</v>
      </c>
      <c r="H27">
        <f t="shared" si="1"/>
        <v>259</v>
      </c>
      <c r="I27">
        <f>6+1+3+7+6+5+6</f>
        <v>34</v>
      </c>
      <c r="J27">
        <f>5+7+39+7+32+10+8</f>
        <v>108</v>
      </c>
      <c r="K27">
        <f t="shared" si="9"/>
        <v>333</v>
      </c>
      <c r="L27">
        <f t="shared" si="5"/>
        <v>57</v>
      </c>
      <c r="M27">
        <f t="shared" si="2"/>
        <v>157</v>
      </c>
      <c r="N27">
        <f t="shared" si="6"/>
        <v>0.24463519313304721</v>
      </c>
      <c r="O27">
        <f t="shared" si="7"/>
        <v>4.0877192982456139</v>
      </c>
      <c r="P27">
        <f t="shared" si="3"/>
        <v>1.4840764331210192</v>
      </c>
      <c r="Q27">
        <v>16.39</v>
      </c>
      <c r="R27">
        <v>16.600000000000001</v>
      </c>
      <c r="S27">
        <v>11.63</v>
      </c>
      <c r="T27">
        <v>12.42</v>
      </c>
      <c r="U27">
        <v>10.94</v>
      </c>
      <c r="V27">
        <v>11.12</v>
      </c>
      <c r="W27">
        <f t="shared" si="4"/>
        <v>38.96</v>
      </c>
      <c r="X27">
        <f t="shared" si="4"/>
        <v>40.14</v>
      </c>
    </row>
    <row r="28" spans="1:24" x14ac:dyDescent="0.25">
      <c r="A28" t="s">
        <v>32</v>
      </c>
      <c r="B28" t="s">
        <v>25</v>
      </c>
      <c r="C28">
        <v>1</v>
      </c>
      <c r="D28" t="str">
        <f t="shared" si="0"/>
        <v>CA_a_1</v>
      </c>
      <c r="E28">
        <f>10+4+3+6+1+11+1+3+3+11+4+6+9+4+8+6</f>
        <v>90</v>
      </c>
      <c r="F28">
        <f>4+1+1</f>
        <v>6</v>
      </c>
      <c r="G28">
        <f>1+1+2+2+2+2</f>
        <v>10</v>
      </c>
      <c r="H28">
        <f t="shared" si="1"/>
        <v>94</v>
      </c>
      <c r="I28">
        <f>1+1+1+2+1</f>
        <v>6</v>
      </c>
      <c r="J28">
        <f>5+3+2+3+2+1+2+1</f>
        <v>19</v>
      </c>
      <c r="K28">
        <f t="shared" si="9"/>
        <v>107</v>
      </c>
      <c r="L28">
        <f t="shared" si="5"/>
        <v>12</v>
      </c>
      <c r="M28">
        <f t="shared" si="2"/>
        <v>29</v>
      </c>
      <c r="N28">
        <f t="shared" si="6"/>
        <v>0.13333333333333333</v>
      </c>
      <c r="O28">
        <f t="shared" si="7"/>
        <v>7.5</v>
      </c>
      <c r="P28">
        <f t="shared" si="3"/>
        <v>3.103448275862069</v>
      </c>
      <c r="Q28">
        <v>8.42</v>
      </c>
      <c r="R28">
        <v>8.7200000000000006</v>
      </c>
      <c r="S28">
        <v>8.64</v>
      </c>
      <c r="T28">
        <v>8.51</v>
      </c>
      <c r="U28">
        <v>5.1100000000000003</v>
      </c>
      <c r="V28">
        <v>5.0999999999999996</v>
      </c>
      <c r="W28">
        <f t="shared" ref="W28:X91" si="10">Q28+S28+U28</f>
        <v>22.17</v>
      </c>
      <c r="X28">
        <f t="shared" si="10"/>
        <v>22.33</v>
      </c>
    </row>
    <row r="29" spans="1:24" x14ac:dyDescent="0.25">
      <c r="A29" t="s">
        <v>32</v>
      </c>
      <c r="B29" t="s">
        <v>25</v>
      </c>
      <c r="C29">
        <v>2</v>
      </c>
      <c r="D29" t="str">
        <f t="shared" si="0"/>
        <v>CA_a_2</v>
      </c>
      <c r="E29">
        <f>3+7+7+6+4+4+6+2+7+7+11+6+1+2+10+7</f>
        <v>90</v>
      </c>
      <c r="F29">
        <f>1+1+1+1+1</f>
        <v>5</v>
      </c>
      <c r="G29">
        <f>2+2+2+2</f>
        <v>8</v>
      </c>
      <c r="H29">
        <f t="shared" si="1"/>
        <v>93</v>
      </c>
      <c r="I29">
        <f>1+1+1+2+5+1</f>
        <v>11</v>
      </c>
      <c r="J29">
        <f>4+1+2+2+2+2</f>
        <v>13</v>
      </c>
      <c r="K29">
        <f t="shared" si="9"/>
        <v>95</v>
      </c>
      <c r="L29">
        <f t="shared" si="5"/>
        <v>16</v>
      </c>
      <c r="M29">
        <f t="shared" si="2"/>
        <v>21</v>
      </c>
      <c r="N29">
        <f t="shared" si="6"/>
        <v>0.17777777777777778</v>
      </c>
      <c r="O29">
        <f t="shared" si="7"/>
        <v>5.625</v>
      </c>
      <c r="P29">
        <f t="shared" si="3"/>
        <v>4.2857142857142856</v>
      </c>
      <c r="Q29">
        <v>10.1</v>
      </c>
      <c r="R29">
        <v>10.26</v>
      </c>
      <c r="S29">
        <v>7.36</v>
      </c>
      <c r="T29">
        <v>7.68</v>
      </c>
      <c r="U29">
        <v>6.33</v>
      </c>
      <c r="V29">
        <v>6.62</v>
      </c>
      <c r="W29">
        <f t="shared" si="10"/>
        <v>23.79</v>
      </c>
      <c r="X29">
        <f t="shared" si="10"/>
        <v>24.56</v>
      </c>
    </row>
    <row r="30" spans="1:24" x14ac:dyDescent="0.25">
      <c r="A30" t="s">
        <v>32</v>
      </c>
      <c r="B30" t="s">
        <v>26</v>
      </c>
      <c r="C30">
        <v>1</v>
      </c>
      <c r="D30" t="str">
        <f t="shared" si="0"/>
        <v>CA_b_1</v>
      </c>
      <c r="E30">
        <f>8+6+4+3+11</f>
        <v>32</v>
      </c>
      <c r="F30">
        <v>0</v>
      </c>
      <c r="G30">
        <v>2</v>
      </c>
      <c r="H30">
        <f t="shared" si="1"/>
        <v>34</v>
      </c>
      <c r="I30">
        <v>5</v>
      </c>
      <c r="J30">
        <v>2</v>
      </c>
      <c r="K30">
        <f t="shared" si="9"/>
        <v>31</v>
      </c>
      <c r="L30">
        <f t="shared" si="5"/>
        <v>5</v>
      </c>
      <c r="M30">
        <f t="shared" si="2"/>
        <v>4</v>
      </c>
      <c r="N30">
        <f>L30/E30</f>
        <v>0.15625</v>
      </c>
      <c r="O30">
        <f t="shared" si="7"/>
        <v>6.4</v>
      </c>
      <c r="P30">
        <f t="shared" si="3"/>
        <v>8</v>
      </c>
      <c r="Q30">
        <v>5.62</v>
      </c>
      <c r="R30">
        <v>5.75</v>
      </c>
      <c r="S30">
        <v>8.18</v>
      </c>
      <c r="T30">
        <v>8.01</v>
      </c>
      <c r="U30">
        <v>2.95</v>
      </c>
      <c r="V30">
        <v>2.98</v>
      </c>
      <c r="W30">
        <f t="shared" si="10"/>
        <v>16.75</v>
      </c>
      <c r="X30">
        <f t="shared" si="10"/>
        <v>16.739999999999998</v>
      </c>
    </row>
    <row r="31" spans="1:24" x14ac:dyDescent="0.25">
      <c r="A31" t="s">
        <v>32</v>
      </c>
      <c r="B31" t="s">
        <v>26</v>
      </c>
      <c r="C31">
        <v>2</v>
      </c>
      <c r="D31" t="str">
        <f t="shared" si="0"/>
        <v>CA_b_2</v>
      </c>
      <c r="E31">
        <f>1+4+7+13+2+1+6+11</f>
        <v>45</v>
      </c>
      <c r="F31">
        <f>1+2+1</f>
        <v>4</v>
      </c>
      <c r="G31">
        <v>0</v>
      </c>
      <c r="H31">
        <f t="shared" si="1"/>
        <v>41</v>
      </c>
      <c r="I31">
        <f>1+2+2</f>
        <v>5</v>
      </c>
      <c r="J31">
        <v>11</v>
      </c>
      <c r="K31">
        <f t="shared" si="9"/>
        <v>47</v>
      </c>
      <c r="L31">
        <f t="shared" si="5"/>
        <v>9</v>
      </c>
      <c r="M31">
        <f t="shared" si="2"/>
        <v>11</v>
      </c>
      <c r="N31">
        <f t="shared" si="6"/>
        <v>0.2</v>
      </c>
      <c r="O31">
        <f t="shared" si="7"/>
        <v>5</v>
      </c>
      <c r="P31">
        <f t="shared" si="3"/>
        <v>4.0909090909090908</v>
      </c>
      <c r="Q31">
        <v>6.11</v>
      </c>
      <c r="R31">
        <v>6.16</v>
      </c>
      <c r="S31">
        <v>4.17</v>
      </c>
      <c r="T31">
        <v>4.45</v>
      </c>
      <c r="U31">
        <v>5.54</v>
      </c>
      <c r="V31">
        <v>5.48</v>
      </c>
      <c r="W31">
        <f t="shared" si="10"/>
        <v>15.82</v>
      </c>
      <c r="X31">
        <f t="shared" si="10"/>
        <v>16.09</v>
      </c>
    </row>
    <row r="32" spans="1:24" x14ac:dyDescent="0.25">
      <c r="A32" t="s">
        <v>32</v>
      </c>
      <c r="B32" t="s">
        <v>27</v>
      </c>
      <c r="C32">
        <v>1</v>
      </c>
      <c r="D32" t="str">
        <f t="shared" si="0"/>
        <v>CA_c_1</v>
      </c>
      <c r="E32">
        <f>12+4+5+8+2+4+2+9+6+2+2+1+3+3+2+5+4+5</f>
        <v>79</v>
      </c>
      <c r="F32">
        <f>2+1+1+1+1+1</f>
        <v>7</v>
      </c>
      <c r="G32">
        <f>2</f>
        <v>2</v>
      </c>
      <c r="H32">
        <f t="shared" si="1"/>
        <v>74</v>
      </c>
      <c r="I32">
        <f>1+1+1+1</f>
        <v>4</v>
      </c>
      <c r="J32">
        <f>3+2+4+2+3+2</f>
        <v>16</v>
      </c>
      <c r="K32">
        <f t="shared" si="9"/>
        <v>86</v>
      </c>
      <c r="L32">
        <f t="shared" si="5"/>
        <v>11</v>
      </c>
      <c r="M32">
        <f t="shared" si="2"/>
        <v>18</v>
      </c>
      <c r="N32">
        <f t="shared" si="6"/>
        <v>0.13924050632911392</v>
      </c>
      <c r="O32">
        <f t="shared" si="7"/>
        <v>7.1818181818181825</v>
      </c>
      <c r="P32">
        <f t="shared" si="3"/>
        <v>4.3888888888888893</v>
      </c>
      <c r="Q32">
        <v>6.75</v>
      </c>
      <c r="R32">
        <v>7.86</v>
      </c>
      <c r="S32">
        <v>6.25</v>
      </c>
      <c r="T32">
        <v>6.46</v>
      </c>
      <c r="U32">
        <v>4.78</v>
      </c>
      <c r="V32">
        <v>5.83</v>
      </c>
      <c r="W32">
        <f t="shared" si="10"/>
        <v>17.78</v>
      </c>
      <c r="X32">
        <f t="shared" si="10"/>
        <v>20.149999999999999</v>
      </c>
    </row>
    <row r="33" spans="1:24" x14ac:dyDescent="0.25">
      <c r="A33" t="s">
        <v>32</v>
      </c>
      <c r="B33" t="s">
        <v>27</v>
      </c>
      <c r="C33">
        <v>2</v>
      </c>
      <c r="D33" t="str">
        <f t="shared" si="0"/>
        <v>CA_c_2</v>
      </c>
      <c r="E33">
        <f>9+2+2+9+2+13+7+4</f>
        <v>48</v>
      </c>
      <c r="F33">
        <v>1</v>
      </c>
      <c r="G33">
        <v>0</v>
      </c>
      <c r="H33">
        <f t="shared" si="1"/>
        <v>47</v>
      </c>
      <c r="I33">
        <f>1+2+1+2</f>
        <v>6</v>
      </c>
      <c r="J33">
        <f>4</f>
        <v>4</v>
      </c>
      <c r="K33">
        <f t="shared" si="9"/>
        <v>45</v>
      </c>
      <c r="L33">
        <f t="shared" si="5"/>
        <v>7</v>
      </c>
      <c r="M33">
        <f t="shared" si="2"/>
        <v>4</v>
      </c>
      <c r="N33">
        <f>L33/E33</f>
        <v>0.14583333333333334</v>
      </c>
      <c r="O33">
        <f t="shared" si="7"/>
        <v>6.8571428571428568</v>
      </c>
      <c r="P33">
        <f t="shared" si="3"/>
        <v>12</v>
      </c>
      <c r="Q33">
        <v>5.81</v>
      </c>
      <c r="R33">
        <v>6.01</v>
      </c>
      <c r="S33">
        <v>3.74</v>
      </c>
      <c r="T33">
        <v>3.77</v>
      </c>
      <c r="U33">
        <v>3.19</v>
      </c>
      <c r="V33">
        <v>3.53</v>
      </c>
      <c r="W33">
        <f t="shared" si="10"/>
        <v>12.74</v>
      </c>
      <c r="X33">
        <f t="shared" si="10"/>
        <v>13.309999999999999</v>
      </c>
    </row>
    <row r="34" spans="1:24" x14ac:dyDescent="0.25">
      <c r="A34" t="s">
        <v>32</v>
      </c>
      <c r="B34" t="s">
        <v>28</v>
      </c>
      <c r="C34">
        <v>1</v>
      </c>
      <c r="D34" t="str">
        <f t="shared" si="0"/>
        <v>CA_d_1</v>
      </c>
      <c r="E34">
        <f>5+4+2+4+3+12+2+1+11+3+8+1+8</f>
        <v>64</v>
      </c>
      <c r="F34">
        <f>1+1+3+2+2</f>
        <v>9</v>
      </c>
      <c r="G34">
        <f>2+2</f>
        <v>4</v>
      </c>
      <c r="H34">
        <f t="shared" si="1"/>
        <v>59</v>
      </c>
      <c r="I34">
        <f>2+1+1</f>
        <v>4</v>
      </c>
      <c r="J34">
        <f>4</f>
        <v>4</v>
      </c>
      <c r="K34">
        <f t="shared" si="9"/>
        <v>59</v>
      </c>
      <c r="L34">
        <f t="shared" si="5"/>
        <v>13</v>
      </c>
      <c r="M34">
        <f t="shared" si="2"/>
        <v>8</v>
      </c>
      <c r="N34">
        <f t="shared" si="6"/>
        <v>0.203125</v>
      </c>
      <c r="O34">
        <f t="shared" si="7"/>
        <v>4.9230769230769234</v>
      </c>
      <c r="P34">
        <f t="shared" si="3"/>
        <v>8</v>
      </c>
      <c r="Q34">
        <v>9.2100000000000009</v>
      </c>
      <c r="R34">
        <v>9.56</v>
      </c>
      <c r="S34">
        <v>6.12</v>
      </c>
      <c r="T34">
        <v>6.34</v>
      </c>
      <c r="W34">
        <f t="shared" si="10"/>
        <v>15.330000000000002</v>
      </c>
      <c r="X34">
        <f t="shared" si="10"/>
        <v>15.9</v>
      </c>
    </row>
    <row r="35" spans="1:24" x14ac:dyDescent="0.25">
      <c r="A35" t="s">
        <v>32</v>
      </c>
      <c r="B35" t="s">
        <v>28</v>
      </c>
      <c r="C35">
        <v>2</v>
      </c>
      <c r="D35" t="str">
        <f t="shared" si="0"/>
        <v>CA_d_2</v>
      </c>
      <c r="E35">
        <f>5+3+2+2+2+4+4+2+2+2+2+4+10+5+8+2+2+2+2+4+8</f>
        <v>77</v>
      </c>
      <c r="F35">
        <f>1+2+2+1+1+4+1+2</f>
        <v>14</v>
      </c>
      <c r="G35">
        <f>2+4</f>
        <v>6</v>
      </c>
      <c r="H35">
        <f t="shared" si="1"/>
        <v>69</v>
      </c>
      <c r="I35">
        <f>2</f>
        <v>2</v>
      </c>
      <c r="J35">
        <f>2+2+1+3</f>
        <v>8</v>
      </c>
      <c r="K35">
        <f t="shared" si="9"/>
        <v>75</v>
      </c>
      <c r="L35">
        <f t="shared" si="5"/>
        <v>16</v>
      </c>
      <c r="M35">
        <f t="shared" si="2"/>
        <v>14</v>
      </c>
      <c r="N35">
        <f t="shared" si="6"/>
        <v>0.20779220779220781</v>
      </c>
      <c r="O35">
        <f t="shared" si="7"/>
        <v>4.8125</v>
      </c>
      <c r="P35">
        <f t="shared" si="3"/>
        <v>5.5</v>
      </c>
      <c r="Q35">
        <v>7.05</v>
      </c>
      <c r="R35">
        <v>7.02</v>
      </c>
      <c r="S35">
        <v>2.5299999999999998</v>
      </c>
      <c r="T35">
        <v>2.35</v>
      </c>
      <c r="U35">
        <v>5.95</v>
      </c>
      <c r="V35">
        <v>6</v>
      </c>
      <c r="W35">
        <f t="shared" si="10"/>
        <v>15.530000000000001</v>
      </c>
      <c r="X35">
        <f t="shared" si="10"/>
        <v>15.37</v>
      </c>
    </row>
    <row r="36" spans="1:24" x14ac:dyDescent="0.25">
      <c r="A36" t="s">
        <v>32</v>
      </c>
      <c r="B36" t="s">
        <v>28</v>
      </c>
      <c r="C36">
        <v>3</v>
      </c>
      <c r="D36" t="str">
        <f t="shared" si="0"/>
        <v>CA_d_3</v>
      </c>
      <c r="E36">
        <f>6+2+4+10+1+6+6+3+3+2+9+2+7+6+2+3+2+10</f>
        <v>84</v>
      </c>
      <c r="F36">
        <f>1+2+1+2+1</f>
        <v>7</v>
      </c>
      <c r="G36">
        <f>2</f>
        <v>2</v>
      </c>
      <c r="H36">
        <f t="shared" si="1"/>
        <v>79</v>
      </c>
      <c r="I36">
        <f>1+1+1+1+2</f>
        <v>6</v>
      </c>
      <c r="J36">
        <f>2+2+1+2+2+2+1</f>
        <v>12</v>
      </c>
      <c r="K36">
        <f t="shared" si="9"/>
        <v>85</v>
      </c>
      <c r="L36">
        <f t="shared" si="5"/>
        <v>13</v>
      </c>
      <c r="M36">
        <f t="shared" si="2"/>
        <v>14</v>
      </c>
      <c r="N36">
        <f t="shared" si="6"/>
        <v>0.15476190476190477</v>
      </c>
      <c r="O36">
        <f t="shared" si="7"/>
        <v>6.4615384615384617</v>
      </c>
      <c r="P36">
        <f t="shared" si="3"/>
        <v>6</v>
      </c>
      <c r="Q36">
        <v>7.43</v>
      </c>
      <c r="R36">
        <v>7.58</v>
      </c>
      <c r="S36">
        <v>3.8</v>
      </c>
      <c r="T36">
        <v>3.8</v>
      </c>
      <c r="U36">
        <v>5.87</v>
      </c>
      <c r="V36">
        <v>5.9</v>
      </c>
      <c r="W36">
        <f t="shared" si="10"/>
        <v>17.100000000000001</v>
      </c>
      <c r="X36">
        <f t="shared" si="10"/>
        <v>17.28</v>
      </c>
    </row>
    <row r="37" spans="1:24" x14ac:dyDescent="0.25">
      <c r="A37" t="s">
        <v>32</v>
      </c>
      <c r="B37" t="s">
        <v>30</v>
      </c>
      <c r="C37">
        <v>1</v>
      </c>
      <c r="D37" t="str">
        <f t="shared" si="0"/>
        <v>CA_e_1</v>
      </c>
      <c r="E37">
        <f>8+4+2+2+5+7+5+8+6+8</f>
        <v>55</v>
      </c>
      <c r="F37">
        <f>2+1+1+1</f>
        <v>5</v>
      </c>
      <c r="G37">
        <f>2+1+2+2</f>
        <v>7</v>
      </c>
      <c r="H37">
        <f t="shared" si="1"/>
        <v>57</v>
      </c>
      <c r="I37">
        <f>2+1+3+2</f>
        <v>8</v>
      </c>
      <c r="J37">
        <f>2+2+3+2+2+1</f>
        <v>12</v>
      </c>
      <c r="K37">
        <f t="shared" si="9"/>
        <v>61</v>
      </c>
      <c r="L37">
        <f t="shared" si="5"/>
        <v>13</v>
      </c>
      <c r="M37">
        <f t="shared" si="2"/>
        <v>19</v>
      </c>
      <c r="N37">
        <f t="shared" si="6"/>
        <v>0.23636363636363636</v>
      </c>
      <c r="O37">
        <f t="shared" si="7"/>
        <v>4.2307692307692308</v>
      </c>
      <c r="P37">
        <f t="shared" si="3"/>
        <v>2.8947368421052633</v>
      </c>
      <c r="Q37">
        <v>7.61</v>
      </c>
      <c r="R37">
        <v>7.74</v>
      </c>
      <c r="S37">
        <v>6.5</v>
      </c>
      <c r="T37">
        <v>6.77</v>
      </c>
      <c r="U37">
        <v>5.35</v>
      </c>
      <c r="V37">
        <v>5.44</v>
      </c>
      <c r="W37">
        <f t="shared" si="10"/>
        <v>19.46</v>
      </c>
      <c r="X37">
        <f t="shared" si="10"/>
        <v>19.95</v>
      </c>
    </row>
    <row r="38" spans="1:24" x14ac:dyDescent="0.25">
      <c r="A38" t="s">
        <v>32</v>
      </c>
      <c r="B38" t="s">
        <v>30</v>
      </c>
      <c r="C38">
        <v>2</v>
      </c>
      <c r="D38" t="str">
        <f t="shared" si="0"/>
        <v>CA_e_2</v>
      </c>
      <c r="E38">
        <f>10+3+2+2+2+4+1+6+4+3+2+5+4</f>
        <v>48</v>
      </c>
      <c r="F38">
        <f>3+1</f>
        <v>4</v>
      </c>
      <c r="G38">
        <v>1</v>
      </c>
      <c r="H38">
        <f t="shared" si="1"/>
        <v>45</v>
      </c>
      <c r="I38">
        <f>1+3+1+3+1</f>
        <v>9</v>
      </c>
      <c r="J38">
        <f>2+3+2+1+4+1+2</f>
        <v>15</v>
      </c>
      <c r="K38">
        <f t="shared" si="9"/>
        <v>51</v>
      </c>
      <c r="L38">
        <f t="shared" si="5"/>
        <v>13</v>
      </c>
      <c r="M38">
        <f t="shared" si="2"/>
        <v>16</v>
      </c>
      <c r="N38">
        <f t="shared" si="6"/>
        <v>0.27083333333333331</v>
      </c>
      <c r="O38">
        <f t="shared" si="7"/>
        <v>3.6923076923076925</v>
      </c>
      <c r="P38">
        <f t="shared" si="3"/>
        <v>3</v>
      </c>
      <c r="Q38">
        <v>6.15</v>
      </c>
      <c r="R38">
        <v>6.93</v>
      </c>
      <c r="S38">
        <v>3.51</v>
      </c>
      <c r="T38">
        <v>3.6</v>
      </c>
      <c r="U38">
        <v>5.21</v>
      </c>
      <c r="V38">
        <v>5.52</v>
      </c>
      <c r="W38">
        <f t="shared" si="10"/>
        <v>14.870000000000001</v>
      </c>
      <c r="X38">
        <f t="shared" si="10"/>
        <v>16.049999999999997</v>
      </c>
    </row>
    <row r="39" spans="1:24" x14ac:dyDescent="0.25">
      <c r="A39" t="s">
        <v>33</v>
      </c>
      <c r="B39" t="s">
        <v>25</v>
      </c>
      <c r="C39">
        <v>1</v>
      </c>
      <c r="D39" t="str">
        <f t="shared" si="0"/>
        <v>CS_a_1</v>
      </c>
      <c r="E39">
        <f>10+5+7+3+4+3+6</f>
        <v>38</v>
      </c>
      <c r="F39">
        <f>2+1+1+1</f>
        <v>5</v>
      </c>
      <c r="G39">
        <f>2+2+1+2</f>
        <v>7</v>
      </c>
      <c r="H39">
        <f t="shared" si="1"/>
        <v>40</v>
      </c>
      <c r="I39">
        <f>3+2+1+1</f>
        <v>7</v>
      </c>
      <c r="J39">
        <f>6+4+4+2+2+4</f>
        <v>22</v>
      </c>
      <c r="K39">
        <f t="shared" si="9"/>
        <v>55</v>
      </c>
      <c r="L39">
        <f t="shared" si="5"/>
        <v>12</v>
      </c>
      <c r="M39">
        <f t="shared" si="2"/>
        <v>29</v>
      </c>
      <c r="N39">
        <f t="shared" si="6"/>
        <v>0.31578947368421051</v>
      </c>
      <c r="O39">
        <f t="shared" si="7"/>
        <v>3.166666666666667</v>
      </c>
      <c r="P39">
        <f t="shared" si="3"/>
        <v>1.3103448275862069</v>
      </c>
      <c r="Q39">
        <f>4.4</f>
        <v>4.4000000000000004</v>
      </c>
      <c r="R39">
        <v>4.71</v>
      </c>
      <c r="S39">
        <v>3.51</v>
      </c>
      <c r="T39">
        <v>3.54</v>
      </c>
      <c r="U39">
        <v>3.65</v>
      </c>
      <c r="V39">
        <v>3.8</v>
      </c>
      <c r="W39">
        <f t="shared" si="10"/>
        <v>11.56</v>
      </c>
      <c r="X39">
        <f t="shared" si="10"/>
        <v>12.05</v>
      </c>
    </row>
    <row r="40" spans="1:24" x14ac:dyDescent="0.25">
      <c r="A40" t="s">
        <v>33</v>
      </c>
      <c r="B40" t="s">
        <v>25</v>
      </c>
      <c r="C40">
        <v>2</v>
      </c>
      <c r="D40" t="str">
        <f t="shared" si="0"/>
        <v>CS_a_2</v>
      </c>
      <c r="E40">
        <f>2+7+4+5+5+7</f>
        <v>30</v>
      </c>
      <c r="F40">
        <f>1+2</f>
        <v>3</v>
      </c>
      <c r="G40">
        <f>2+1</f>
        <v>3</v>
      </c>
      <c r="H40">
        <f t="shared" si="1"/>
        <v>30</v>
      </c>
      <c r="I40">
        <f>1+2+1+2</f>
        <v>6</v>
      </c>
      <c r="J40">
        <f>2+4+4+4+8+7</f>
        <v>29</v>
      </c>
      <c r="K40">
        <f t="shared" si="9"/>
        <v>53</v>
      </c>
      <c r="L40">
        <f t="shared" si="5"/>
        <v>9</v>
      </c>
      <c r="M40">
        <f t="shared" si="2"/>
        <v>32</v>
      </c>
      <c r="N40">
        <f t="shared" si="6"/>
        <v>0.3</v>
      </c>
      <c r="O40">
        <f t="shared" si="7"/>
        <v>3.3333333333333335</v>
      </c>
      <c r="P40">
        <f t="shared" si="3"/>
        <v>0.9375</v>
      </c>
      <c r="Q40">
        <v>5.53</v>
      </c>
      <c r="R40">
        <v>5.45</v>
      </c>
      <c r="S40">
        <v>2.65</v>
      </c>
      <c r="T40">
        <v>2.69</v>
      </c>
      <c r="U40">
        <v>5.88</v>
      </c>
      <c r="V40">
        <v>5.9</v>
      </c>
      <c r="W40">
        <f t="shared" si="10"/>
        <v>14.059999999999999</v>
      </c>
      <c r="X40">
        <f t="shared" si="10"/>
        <v>14.040000000000001</v>
      </c>
    </row>
    <row r="41" spans="1:24" x14ac:dyDescent="0.25">
      <c r="A41" t="s">
        <v>33</v>
      </c>
      <c r="B41" t="s">
        <v>25</v>
      </c>
      <c r="C41">
        <v>3</v>
      </c>
      <c r="D41" t="str">
        <f t="shared" si="0"/>
        <v>CS_a_3</v>
      </c>
      <c r="E41">
        <f>3+1+2+2+4+4+2+7+7+2+6</f>
        <v>40</v>
      </c>
      <c r="F41">
        <f>1+2+1</f>
        <v>4</v>
      </c>
      <c r="G41">
        <f>2+2+2+2+2+2+2</f>
        <v>14</v>
      </c>
      <c r="H41">
        <f t="shared" si="1"/>
        <v>50</v>
      </c>
      <c r="I41">
        <f>1+1+1+2+2</f>
        <v>7</v>
      </c>
      <c r="J41">
        <f>2+2+4+2+2</f>
        <v>12</v>
      </c>
      <c r="K41">
        <f t="shared" si="9"/>
        <v>55</v>
      </c>
      <c r="L41">
        <f t="shared" si="5"/>
        <v>11</v>
      </c>
      <c r="M41">
        <f t="shared" si="2"/>
        <v>26</v>
      </c>
      <c r="N41">
        <f t="shared" si="6"/>
        <v>0.27500000000000002</v>
      </c>
      <c r="O41">
        <f t="shared" si="7"/>
        <v>3.6363636363636362</v>
      </c>
      <c r="P41">
        <f t="shared" si="3"/>
        <v>1.5384615384615383</v>
      </c>
      <c r="Q41">
        <v>4.82</v>
      </c>
      <c r="R41">
        <v>5.24</v>
      </c>
      <c r="S41">
        <v>7.44</v>
      </c>
      <c r="T41">
        <v>7.47</v>
      </c>
      <c r="U41">
        <v>3.35</v>
      </c>
      <c r="V41">
        <v>3.48</v>
      </c>
      <c r="W41">
        <f t="shared" si="10"/>
        <v>15.610000000000001</v>
      </c>
      <c r="X41">
        <f t="shared" si="10"/>
        <v>16.190000000000001</v>
      </c>
    </row>
    <row r="42" spans="1:24" x14ac:dyDescent="0.25">
      <c r="A42" t="s">
        <v>33</v>
      </c>
      <c r="B42" t="s">
        <v>26</v>
      </c>
      <c r="C42">
        <v>1</v>
      </c>
      <c r="D42" t="str">
        <f t="shared" si="0"/>
        <v>CS_b_1</v>
      </c>
      <c r="E42">
        <f>4+2+1+2+2+2+4+4+1+4+1+2+5+7</f>
        <v>41</v>
      </c>
      <c r="F42">
        <f>2+1+1+1+3+1</f>
        <v>9</v>
      </c>
      <c r="G42">
        <f>1+2</f>
        <v>3</v>
      </c>
      <c r="H42">
        <f t="shared" si="1"/>
        <v>35</v>
      </c>
      <c r="I42">
        <v>35</v>
      </c>
      <c r="J42">
        <v>0</v>
      </c>
      <c r="K42">
        <v>0</v>
      </c>
      <c r="L42">
        <f t="shared" si="5"/>
        <v>44</v>
      </c>
      <c r="M42">
        <f t="shared" si="2"/>
        <v>3</v>
      </c>
      <c r="P42">
        <f t="shared" si="3"/>
        <v>13.666666666666668</v>
      </c>
      <c r="Q42">
        <v>5.78</v>
      </c>
      <c r="R42">
        <v>5.78</v>
      </c>
      <c r="W42">
        <f t="shared" si="10"/>
        <v>5.78</v>
      </c>
      <c r="X42">
        <f t="shared" si="10"/>
        <v>5.78</v>
      </c>
    </row>
    <row r="43" spans="1:24" x14ac:dyDescent="0.25">
      <c r="A43" t="s">
        <v>33</v>
      </c>
      <c r="B43" t="s">
        <v>26</v>
      </c>
      <c r="C43">
        <v>2</v>
      </c>
      <c r="D43" t="str">
        <f t="shared" si="0"/>
        <v>CS_b_2</v>
      </c>
      <c r="E43">
        <f>4+2+1+1+1+2+2+2+3+2+3+2+4</f>
        <v>29</v>
      </c>
      <c r="F43">
        <f>1+1+2+1</f>
        <v>5</v>
      </c>
      <c r="G43">
        <f>2+2+2+2</f>
        <v>8</v>
      </c>
      <c r="H43">
        <f t="shared" si="1"/>
        <v>32</v>
      </c>
      <c r="I43">
        <f>2+3+1+2+1</f>
        <v>9</v>
      </c>
      <c r="J43">
        <f>4+2+2+2+2+2</f>
        <v>14</v>
      </c>
      <c r="K43">
        <f>H43-I43+J43</f>
        <v>37</v>
      </c>
      <c r="L43">
        <f t="shared" si="5"/>
        <v>14</v>
      </c>
      <c r="M43">
        <f t="shared" si="2"/>
        <v>22</v>
      </c>
      <c r="N43">
        <f t="shared" si="6"/>
        <v>0.48275862068965519</v>
      </c>
      <c r="O43">
        <f t="shared" si="7"/>
        <v>2.0714285714285712</v>
      </c>
      <c r="P43">
        <f t="shared" si="3"/>
        <v>1.3181818181818183</v>
      </c>
      <c r="Q43">
        <v>3.78</v>
      </c>
      <c r="R43">
        <v>3.8</v>
      </c>
      <c r="W43">
        <f t="shared" si="10"/>
        <v>3.78</v>
      </c>
      <c r="X43">
        <f t="shared" si="10"/>
        <v>3.8</v>
      </c>
    </row>
    <row r="44" spans="1:24" x14ac:dyDescent="0.25">
      <c r="A44" t="s">
        <v>33</v>
      </c>
      <c r="B44" t="s">
        <v>27</v>
      </c>
      <c r="C44">
        <v>1</v>
      </c>
      <c r="D44" t="str">
        <f t="shared" si="0"/>
        <v>CS_c_1</v>
      </c>
      <c r="E44">
        <f>2+6+5+4+2</f>
        <v>19</v>
      </c>
      <c r="F44">
        <v>0</v>
      </c>
      <c r="G44">
        <v>2</v>
      </c>
      <c r="H44">
        <f t="shared" si="1"/>
        <v>21</v>
      </c>
      <c r="I44">
        <f>2+2+3+2+1</f>
        <v>10</v>
      </c>
      <c r="J44">
        <f>8</f>
        <v>8</v>
      </c>
      <c r="K44">
        <f t="shared" ref="K44:K49" si="11">H44-I44+J44</f>
        <v>19</v>
      </c>
      <c r="L44">
        <f t="shared" si="5"/>
        <v>10</v>
      </c>
      <c r="M44">
        <f t="shared" si="2"/>
        <v>10</v>
      </c>
      <c r="N44">
        <f t="shared" si="6"/>
        <v>0.52631578947368418</v>
      </c>
      <c r="O44">
        <f t="shared" si="7"/>
        <v>1.9000000000000001</v>
      </c>
      <c r="P44">
        <f t="shared" si="3"/>
        <v>1.9000000000000001</v>
      </c>
      <c r="Q44">
        <v>3.56</v>
      </c>
      <c r="R44">
        <v>3.75</v>
      </c>
      <c r="S44">
        <v>7.47</v>
      </c>
      <c r="T44">
        <v>7.55</v>
      </c>
      <c r="W44">
        <f t="shared" si="10"/>
        <v>11.03</v>
      </c>
      <c r="X44">
        <f t="shared" si="10"/>
        <v>11.3</v>
      </c>
    </row>
    <row r="45" spans="1:24" x14ac:dyDescent="0.25">
      <c r="A45" t="s">
        <v>33</v>
      </c>
      <c r="B45" t="s">
        <v>27</v>
      </c>
      <c r="C45">
        <v>2</v>
      </c>
      <c r="D45" t="str">
        <f t="shared" si="0"/>
        <v>CS_c_2</v>
      </c>
      <c r="E45">
        <f>5+6+3+6+5+2+1+4+3</f>
        <v>35</v>
      </c>
      <c r="F45">
        <f>1+1+1+1+1+1+1</f>
        <v>7</v>
      </c>
      <c r="G45">
        <f>2+2</f>
        <v>4</v>
      </c>
      <c r="H45">
        <f t="shared" si="1"/>
        <v>32</v>
      </c>
      <c r="I45">
        <f>1+2+2+1+2+2</f>
        <v>10</v>
      </c>
      <c r="J45">
        <f>2+2+2</f>
        <v>6</v>
      </c>
      <c r="K45">
        <f t="shared" si="11"/>
        <v>28</v>
      </c>
      <c r="L45">
        <f t="shared" si="5"/>
        <v>17</v>
      </c>
      <c r="M45">
        <f t="shared" si="2"/>
        <v>10</v>
      </c>
      <c r="N45">
        <f t="shared" si="6"/>
        <v>0.48571428571428571</v>
      </c>
      <c r="O45">
        <f t="shared" si="7"/>
        <v>2.0588235294117649</v>
      </c>
      <c r="P45">
        <f t="shared" si="3"/>
        <v>3.5</v>
      </c>
      <c r="Q45">
        <v>4.42</v>
      </c>
      <c r="R45">
        <v>4.72</v>
      </c>
      <c r="S45">
        <v>5.51</v>
      </c>
      <c r="T45">
        <v>5.62</v>
      </c>
      <c r="U45">
        <v>2.82</v>
      </c>
      <c r="V45">
        <v>3</v>
      </c>
      <c r="W45">
        <f t="shared" si="10"/>
        <v>12.75</v>
      </c>
      <c r="X45">
        <f t="shared" si="10"/>
        <v>13.34</v>
      </c>
    </row>
    <row r="46" spans="1:24" x14ac:dyDescent="0.25">
      <c r="A46" t="s">
        <v>33</v>
      </c>
      <c r="B46" t="s">
        <v>27</v>
      </c>
      <c r="C46">
        <v>3</v>
      </c>
      <c r="D46" t="str">
        <f t="shared" si="0"/>
        <v>CS_c_3</v>
      </c>
      <c r="E46">
        <f>5+5+6+1</f>
        <v>17</v>
      </c>
      <c r="F46">
        <v>0</v>
      </c>
      <c r="G46">
        <f>2+2</f>
        <v>4</v>
      </c>
      <c r="H46">
        <f t="shared" si="1"/>
        <v>21</v>
      </c>
      <c r="I46">
        <f>2+1+1+1</f>
        <v>5</v>
      </c>
      <c r="J46">
        <f>6</f>
        <v>6</v>
      </c>
      <c r="K46">
        <f t="shared" si="11"/>
        <v>22</v>
      </c>
      <c r="L46">
        <f t="shared" si="5"/>
        <v>5</v>
      </c>
      <c r="M46">
        <f t="shared" si="2"/>
        <v>10</v>
      </c>
      <c r="N46">
        <f t="shared" si="6"/>
        <v>0.29411764705882354</v>
      </c>
      <c r="O46">
        <f t="shared" si="7"/>
        <v>3.4</v>
      </c>
      <c r="P46">
        <f t="shared" si="3"/>
        <v>1.7</v>
      </c>
      <c r="Q46">
        <v>3.86</v>
      </c>
      <c r="R46">
        <v>4.24</v>
      </c>
      <c r="S46">
        <v>7.16</v>
      </c>
      <c r="T46">
        <v>7.46</v>
      </c>
      <c r="W46">
        <f t="shared" si="10"/>
        <v>11.02</v>
      </c>
      <c r="X46">
        <f t="shared" si="10"/>
        <v>11.7</v>
      </c>
    </row>
    <row r="47" spans="1:24" x14ac:dyDescent="0.25">
      <c r="A47" t="s">
        <v>33</v>
      </c>
      <c r="B47" t="s">
        <v>28</v>
      </c>
      <c r="C47">
        <v>1</v>
      </c>
      <c r="D47" t="str">
        <f t="shared" si="0"/>
        <v>CS_d_1</v>
      </c>
      <c r="E47">
        <f>5+1+8+3+5+2+4+2+2+12+1+5+1+2+2+6+2+2</f>
        <v>65</v>
      </c>
      <c r="F47">
        <f>2+2+3+2+1</f>
        <v>10</v>
      </c>
      <c r="G47">
        <f>2+2+2+2+2</f>
        <v>10</v>
      </c>
      <c r="H47">
        <f t="shared" si="1"/>
        <v>65</v>
      </c>
      <c r="I47">
        <f>1+1+3+1+1+2+2</f>
        <v>11</v>
      </c>
      <c r="J47">
        <f>2+1+4+2+2+2+2+4+4+10+4+5+4+2+2</f>
        <v>50</v>
      </c>
      <c r="K47">
        <f t="shared" si="11"/>
        <v>104</v>
      </c>
      <c r="L47">
        <f t="shared" si="5"/>
        <v>21</v>
      </c>
      <c r="M47">
        <f t="shared" si="2"/>
        <v>60</v>
      </c>
      <c r="N47">
        <f t="shared" si="6"/>
        <v>0.32307692307692309</v>
      </c>
      <c r="O47">
        <f t="shared" si="7"/>
        <v>3.0952380952380949</v>
      </c>
      <c r="P47">
        <f t="shared" si="3"/>
        <v>1.0833333333333333</v>
      </c>
      <c r="Q47">
        <v>8.66</v>
      </c>
      <c r="R47">
        <v>9.43</v>
      </c>
      <c r="S47">
        <v>6.16</v>
      </c>
      <c r="T47">
        <v>6.46</v>
      </c>
      <c r="U47">
        <v>4.0599999999999996</v>
      </c>
      <c r="V47">
        <v>4.3499999999999996</v>
      </c>
      <c r="W47">
        <f t="shared" si="10"/>
        <v>18.88</v>
      </c>
      <c r="X47">
        <f t="shared" si="10"/>
        <v>20.240000000000002</v>
      </c>
    </row>
    <row r="48" spans="1:24" x14ac:dyDescent="0.25">
      <c r="A48" t="s">
        <v>33</v>
      </c>
      <c r="B48" t="s">
        <v>28</v>
      </c>
      <c r="C48">
        <v>2</v>
      </c>
      <c r="D48" t="str">
        <f t="shared" si="0"/>
        <v>CS_d_2</v>
      </c>
      <c r="E48">
        <f>4+4+3+3+2+2+2+3+1+2+4+3+6</f>
        <v>39</v>
      </c>
      <c r="F48">
        <f>1+1+1+2+2+2+1+2+2</f>
        <v>14</v>
      </c>
      <c r="G48">
        <f>2</f>
        <v>2</v>
      </c>
      <c r="H48">
        <f t="shared" si="1"/>
        <v>27</v>
      </c>
      <c r="I48">
        <f>2+1+1+1+2</f>
        <v>7</v>
      </c>
      <c r="J48">
        <f>5+4+2+2+2+2+2+2+4</f>
        <v>25</v>
      </c>
      <c r="K48">
        <f t="shared" si="11"/>
        <v>45</v>
      </c>
      <c r="L48">
        <f t="shared" si="5"/>
        <v>21</v>
      </c>
      <c r="M48">
        <f t="shared" si="2"/>
        <v>27</v>
      </c>
      <c r="N48">
        <f t="shared" si="6"/>
        <v>0.53846153846153844</v>
      </c>
      <c r="O48">
        <f t="shared" si="7"/>
        <v>1.8571428571428572</v>
      </c>
      <c r="P48">
        <f t="shared" si="3"/>
        <v>1.4444444444444444</v>
      </c>
      <c r="Q48">
        <v>4.42</v>
      </c>
      <c r="R48">
        <v>4.68</v>
      </c>
      <c r="S48">
        <v>2.87</v>
      </c>
      <c r="T48">
        <v>2.94</v>
      </c>
      <c r="W48">
        <f t="shared" si="10"/>
        <v>7.29</v>
      </c>
      <c r="X48">
        <f t="shared" si="10"/>
        <v>7.6199999999999992</v>
      </c>
    </row>
    <row r="49" spans="1:24" x14ac:dyDescent="0.25">
      <c r="A49" t="s">
        <v>33</v>
      </c>
      <c r="B49" t="s">
        <v>30</v>
      </c>
      <c r="C49">
        <v>1</v>
      </c>
      <c r="D49" t="str">
        <f t="shared" si="0"/>
        <v>CS_e_1</v>
      </c>
      <c r="E49">
        <f>8+2+2+2+4+2+2+2+8+2+4+1+5+1+2+2+4+5+3+6+6+2+3+1+10+12</f>
        <v>101</v>
      </c>
      <c r="F49">
        <f>2+1+2+1+1+2</f>
        <v>9</v>
      </c>
      <c r="G49">
        <v>0</v>
      </c>
      <c r="H49">
        <f t="shared" si="1"/>
        <v>92</v>
      </c>
      <c r="I49">
        <f>2+2+1+2+1+3+2+1+5+2+1+1+1+3+1+2</f>
        <v>30</v>
      </c>
      <c r="J49">
        <f>5+2+2+4+2+2+2+2+2+2</f>
        <v>25</v>
      </c>
      <c r="K49">
        <f t="shared" si="11"/>
        <v>87</v>
      </c>
      <c r="L49">
        <f t="shared" si="5"/>
        <v>39</v>
      </c>
      <c r="M49">
        <f t="shared" si="2"/>
        <v>25</v>
      </c>
      <c r="N49">
        <f t="shared" si="6"/>
        <v>0.38613861386138615</v>
      </c>
      <c r="O49">
        <f t="shared" si="7"/>
        <v>2.5897435897435899</v>
      </c>
      <c r="P49">
        <f t="shared" si="3"/>
        <v>4.04</v>
      </c>
      <c r="Q49">
        <v>7.92</v>
      </c>
      <c r="R49">
        <v>7.94</v>
      </c>
      <c r="S49">
        <v>5.87</v>
      </c>
      <c r="T49">
        <v>5.87</v>
      </c>
      <c r="W49">
        <f t="shared" si="10"/>
        <v>13.79</v>
      </c>
      <c r="X49">
        <f t="shared" si="10"/>
        <v>13.81</v>
      </c>
    </row>
    <row r="50" spans="1:24" x14ac:dyDescent="0.25">
      <c r="A50" t="s">
        <v>34</v>
      </c>
      <c r="B50" t="s">
        <v>25</v>
      </c>
      <c r="C50">
        <v>1</v>
      </c>
      <c r="D50" t="str">
        <f t="shared" si="0"/>
        <v>EH_a_1</v>
      </c>
      <c r="E50">
        <f>1+1+4+1+2+6+4+7+4+4</f>
        <v>34</v>
      </c>
      <c r="F50">
        <f>1+1+1</f>
        <v>3</v>
      </c>
      <c r="G50">
        <v>0</v>
      </c>
      <c r="H50">
        <f t="shared" si="1"/>
        <v>31</v>
      </c>
      <c r="I50">
        <f>1+3+5+4+4</f>
        <v>17</v>
      </c>
      <c r="J50">
        <f>8+2</f>
        <v>10</v>
      </c>
      <c r="K50">
        <f>H50-I50+J50</f>
        <v>24</v>
      </c>
      <c r="L50">
        <f t="shared" si="5"/>
        <v>20</v>
      </c>
      <c r="M50">
        <f t="shared" si="2"/>
        <v>10</v>
      </c>
      <c r="N50">
        <f t="shared" si="6"/>
        <v>0.58823529411764708</v>
      </c>
      <c r="O50">
        <f t="shared" si="7"/>
        <v>1.7</v>
      </c>
      <c r="P50">
        <f t="shared" si="3"/>
        <v>3.4</v>
      </c>
      <c r="Q50">
        <v>7.89</v>
      </c>
      <c r="R50">
        <v>7.91</v>
      </c>
      <c r="S50">
        <v>3.31</v>
      </c>
      <c r="T50">
        <v>3.34</v>
      </c>
      <c r="U50">
        <v>5.42</v>
      </c>
      <c r="V50">
        <v>5.62</v>
      </c>
      <c r="W50">
        <f t="shared" si="10"/>
        <v>16.619999999999997</v>
      </c>
      <c r="X50">
        <f t="shared" si="10"/>
        <v>16.87</v>
      </c>
    </row>
    <row r="51" spans="1:24" x14ac:dyDescent="0.25">
      <c r="A51" t="s">
        <v>34</v>
      </c>
      <c r="B51" t="s">
        <v>25</v>
      </c>
      <c r="C51">
        <v>2</v>
      </c>
      <c r="D51" t="str">
        <f t="shared" si="0"/>
        <v>EH_a_2</v>
      </c>
      <c r="E51">
        <f>5+1+1+1+3</f>
        <v>11</v>
      </c>
      <c r="F51">
        <v>0</v>
      </c>
      <c r="G51">
        <f>3</f>
        <v>3</v>
      </c>
      <c r="H51">
        <f t="shared" si="1"/>
        <v>14</v>
      </c>
      <c r="I51">
        <f>1+1+1</f>
        <v>3</v>
      </c>
      <c r="J51">
        <v>9</v>
      </c>
      <c r="K51">
        <f>H51-I51+J51</f>
        <v>20</v>
      </c>
      <c r="L51">
        <f t="shared" si="5"/>
        <v>3</v>
      </c>
      <c r="M51">
        <f t="shared" si="2"/>
        <v>12</v>
      </c>
      <c r="N51">
        <f t="shared" si="6"/>
        <v>0.27272727272727271</v>
      </c>
      <c r="O51">
        <f t="shared" si="7"/>
        <v>3.666666666666667</v>
      </c>
      <c r="P51">
        <f t="shared" si="3"/>
        <v>0.91666666666666674</v>
      </c>
      <c r="Q51">
        <v>6.22</v>
      </c>
      <c r="R51">
        <v>5.93</v>
      </c>
      <c r="S51">
        <v>3.79</v>
      </c>
      <c r="T51">
        <v>4.7</v>
      </c>
      <c r="W51">
        <f t="shared" si="10"/>
        <v>10.01</v>
      </c>
      <c r="X51">
        <f t="shared" si="10"/>
        <v>10.629999999999999</v>
      </c>
    </row>
    <row r="52" spans="1:24" x14ac:dyDescent="0.25">
      <c r="A52" t="s">
        <v>34</v>
      </c>
      <c r="B52" t="s">
        <v>26</v>
      </c>
      <c r="C52">
        <v>1</v>
      </c>
      <c r="D52" t="str">
        <f t="shared" si="0"/>
        <v>EH_b_1</v>
      </c>
      <c r="E52">
        <f>2+7+2+4+2+1+2+6</f>
        <v>26</v>
      </c>
      <c r="F52">
        <f>1+1+1</f>
        <v>3</v>
      </c>
      <c r="G52">
        <v>0</v>
      </c>
      <c r="H52">
        <f t="shared" si="1"/>
        <v>23</v>
      </c>
      <c r="I52">
        <f>1+1</f>
        <v>2</v>
      </c>
      <c r="J52">
        <v>3</v>
      </c>
      <c r="K52">
        <f>H52-I52+J52</f>
        <v>24</v>
      </c>
      <c r="L52">
        <f t="shared" si="5"/>
        <v>5</v>
      </c>
      <c r="M52">
        <f t="shared" si="2"/>
        <v>3</v>
      </c>
      <c r="N52">
        <f t="shared" si="6"/>
        <v>0.19230769230769232</v>
      </c>
      <c r="O52">
        <f t="shared" si="7"/>
        <v>5.1999999999999993</v>
      </c>
      <c r="P52">
        <f t="shared" si="3"/>
        <v>8.6666666666666661</v>
      </c>
      <c r="Q52">
        <v>22.69</v>
      </c>
      <c r="R52">
        <v>23.29</v>
      </c>
      <c r="S52">
        <v>5.41</v>
      </c>
      <c r="T52">
        <v>5.96</v>
      </c>
      <c r="U52">
        <v>3.02</v>
      </c>
      <c r="V52">
        <v>3.36</v>
      </c>
      <c r="W52">
        <f t="shared" si="10"/>
        <v>31.12</v>
      </c>
      <c r="X52">
        <f t="shared" si="10"/>
        <v>32.61</v>
      </c>
    </row>
    <row r="53" spans="1:24" x14ac:dyDescent="0.25">
      <c r="A53" t="s">
        <v>34</v>
      </c>
      <c r="B53" t="s">
        <v>26</v>
      </c>
      <c r="C53">
        <v>2</v>
      </c>
      <c r="D53" t="str">
        <f t="shared" si="0"/>
        <v>EH_b_2</v>
      </c>
      <c r="E53">
        <f>1+3+3+1+1+3+1+1+5+2+4+1</f>
        <v>26</v>
      </c>
      <c r="F53">
        <f>1+1</f>
        <v>2</v>
      </c>
      <c r="G53">
        <f>5+1</f>
        <v>6</v>
      </c>
      <c r="H53">
        <f t="shared" si="1"/>
        <v>30</v>
      </c>
      <c r="I53">
        <f>1+1+1</f>
        <v>3</v>
      </c>
      <c r="J53">
        <f>4+8</f>
        <v>12</v>
      </c>
      <c r="K53">
        <f>H53-I53+J53</f>
        <v>39</v>
      </c>
      <c r="L53">
        <f t="shared" si="5"/>
        <v>5</v>
      </c>
      <c r="M53">
        <f t="shared" si="2"/>
        <v>18</v>
      </c>
      <c r="N53">
        <f t="shared" si="6"/>
        <v>0.19230769230769232</v>
      </c>
      <c r="O53">
        <f t="shared" si="7"/>
        <v>5.1999999999999993</v>
      </c>
      <c r="P53">
        <f t="shared" si="3"/>
        <v>1.4444444444444444</v>
      </c>
      <c r="Q53">
        <v>21.05</v>
      </c>
      <c r="R53">
        <v>22.11</v>
      </c>
      <c r="S53">
        <v>7.85</v>
      </c>
      <c r="T53">
        <v>7.81</v>
      </c>
      <c r="U53">
        <v>6.25</v>
      </c>
      <c r="V53">
        <v>6.32</v>
      </c>
      <c r="W53">
        <f t="shared" si="10"/>
        <v>35.15</v>
      </c>
      <c r="X53">
        <f t="shared" si="10"/>
        <v>36.239999999999995</v>
      </c>
    </row>
    <row r="54" spans="1:24" x14ac:dyDescent="0.25">
      <c r="A54" t="s">
        <v>34</v>
      </c>
      <c r="B54" t="s">
        <v>27</v>
      </c>
      <c r="C54">
        <v>1</v>
      </c>
      <c r="D54" t="str">
        <f t="shared" si="0"/>
        <v>EH_c_1</v>
      </c>
      <c r="E54">
        <f>2+1+2+1+8+4+6</f>
        <v>24</v>
      </c>
      <c r="F54">
        <f>1+1+1</f>
        <v>3</v>
      </c>
      <c r="G54">
        <v>0</v>
      </c>
      <c r="H54">
        <f t="shared" si="1"/>
        <v>21</v>
      </c>
      <c r="I54">
        <f>3+3</f>
        <v>6</v>
      </c>
      <c r="J54">
        <f>9+11</f>
        <v>20</v>
      </c>
      <c r="K54">
        <f t="shared" ref="K54:K69" si="12">H54-I54+J54</f>
        <v>35</v>
      </c>
      <c r="L54">
        <f t="shared" si="5"/>
        <v>9</v>
      </c>
      <c r="M54">
        <f t="shared" si="2"/>
        <v>20</v>
      </c>
      <c r="N54">
        <f t="shared" si="6"/>
        <v>0.375</v>
      </c>
      <c r="O54">
        <f t="shared" si="7"/>
        <v>2.6666666666666665</v>
      </c>
      <c r="P54">
        <f t="shared" si="3"/>
        <v>1.2</v>
      </c>
      <c r="Q54">
        <v>30.61</v>
      </c>
      <c r="R54">
        <v>33.03</v>
      </c>
      <c r="S54">
        <v>7.91</v>
      </c>
      <c r="T54">
        <v>8.52</v>
      </c>
      <c r="U54">
        <v>4.6100000000000003</v>
      </c>
      <c r="V54">
        <v>5.72</v>
      </c>
      <c r="W54">
        <f t="shared" si="10"/>
        <v>43.129999999999995</v>
      </c>
      <c r="X54">
        <f t="shared" si="10"/>
        <v>47.269999999999996</v>
      </c>
    </row>
    <row r="55" spans="1:24" x14ac:dyDescent="0.25">
      <c r="A55" t="s">
        <v>34</v>
      </c>
      <c r="B55" t="s">
        <v>27</v>
      </c>
      <c r="C55">
        <v>2</v>
      </c>
      <c r="D55" t="str">
        <f t="shared" si="0"/>
        <v>EH_c_2</v>
      </c>
      <c r="E55">
        <f>1+3+1+1+2+2+3+2+5+6+1+3</f>
        <v>30</v>
      </c>
      <c r="F55">
        <f>2+1+1</f>
        <v>4</v>
      </c>
      <c r="G55">
        <f>1</f>
        <v>1</v>
      </c>
      <c r="H55">
        <f t="shared" si="1"/>
        <v>27</v>
      </c>
      <c r="I55">
        <f>1+2+1+1+1+1+1+1</f>
        <v>9</v>
      </c>
      <c r="J55">
        <f>2+2+5</f>
        <v>9</v>
      </c>
      <c r="K55">
        <f t="shared" si="12"/>
        <v>27</v>
      </c>
      <c r="L55">
        <f t="shared" si="5"/>
        <v>13</v>
      </c>
      <c r="M55">
        <f t="shared" si="2"/>
        <v>10</v>
      </c>
      <c r="N55">
        <f t="shared" si="6"/>
        <v>0.43333333333333335</v>
      </c>
      <c r="O55">
        <f t="shared" si="7"/>
        <v>2.3076923076923075</v>
      </c>
      <c r="P55">
        <f t="shared" si="3"/>
        <v>3</v>
      </c>
      <c r="Q55">
        <v>5.89</v>
      </c>
      <c r="R55">
        <v>6.52</v>
      </c>
      <c r="W55">
        <f t="shared" si="10"/>
        <v>5.89</v>
      </c>
      <c r="X55">
        <f t="shared" si="10"/>
        <v>6.52</v>
      </c>
    </row>
    <row r="56" spans="1:24" x14ac:dyDescent="0.25">
      <c r="A56" t="s">
        <v>34</v>
      </c>
      <c r="B56" t="s">
        <v>27</v>
      </c>
      <c r="C56">
        <v>3</v>
      </c>
      <c r="D56" t="str">
        <f t="shared" si="0"/>
        <v>EH_c_3</v>
      </c>
      <c r="E56">
        <f>2+4+2+1+4+2+1+3+3+4+1+1+3+4+1</f>
        <v>36</v>
      </c>
      <c r="F56">
        <f>1</f>
        <v>1</v>
      </c>
      <c r="G56">
        <f>1+1</f>
        <v>2</v>
      </c>
      <c r="H56">
        <f t="shared" si="1"/>
        <v>37</v>
      </c>
      <c r="I56">
        <f>2+1+3</f>
        <v>6</v>
      </c>
      <c r="J56">
        <f>3+1+6+3</f>
        <v>13</v>
      </c>
      <c r="K56">
        <f t="shared" si="12"/>
        <v>44</v>
      </c>
      <c r="L56">
        <f t="shared" si="5"/>
        <v>7</v>
      </c>
      <c r="M56">
        <f t="shared" si="2"/>
        <v>15</v>
      </c>
      <c r="N56">
        <f t="shared" si="6"/>
        <v>0.19444444444444445</v>
      </c>
      <c r="O56">
        <f t="shared" si="7"/>
        <v>5.1428571428571423</v>
      </c>
      <c r="P56">
        <f>1/(M56/E56)</f>
        <v>2.4</v>
      </c>
      <c r="Q56">
        <v>9.16</v>
      </c>
      <c r="R56">
        <v>9.61</v>
      </c>
      <c r="S56">
        <v>5.85</v>
      </c>
      <c r="T56">
        <v>5.94</v>
      </c>
      <c r="W56">
        <f t="shared" si="10"/>
        <v>15.01</v>
      </c>
      <c r="X56">
        <f t="shared" si="10"/>
        <v>15.55</v>
      </c>
    </row>
    <row r="57" spans="1:24" x14ac:dyDescent="0.25">
      <c r="A57" t="s">
        <v>34</v>
      </c>
      <c r="B57" t="s">
        <v>28</v>
      </c>
      <c r="C57">
        <v>1</v>
      </c>
      <c r="D57" t="str">
        <f t="shared" si="0"/>
        <v>EH_d_1</v>
      </c>
      <c r="E57">
        <f>6+8+2+1+6+1+9+5+8+6</f>
        <v>52</v>
      </c>
      <c r="F57">
        <f>1+4+2+1+2+4+1</f>
        <v>15</v>
      </c>
      <c r="G57">
        <v>0</v>
      </c>
      <c r="H57">
        <f t="shared" si="1"/>
        <v>37</v>
      </c>
      <c r="I57">
        <f>2+1+2+1+2+3+3</f>
        <v>14</v>
      </c>
      <c r="J57">
        <f>6+6+4+1+5+7</f>
        <v>29</v>
      </c>
      <c r="K57">
        <f t="shared" si="12"/>
        <v>52</v>
      </c>
      <c r="L57">
        <f t="shared" si="5"/>
        <v>29</v>
      </c>
      <c r="M57">
        <f t="shared" si="2"/>
        <v>29</v>
      </c>
      <c r="N57">
        <f t="shared" si="6"/>
        <v>0.55769230769230771</v>
      </c>
      <c r="O57">
        <f t="shared" si="7"/>
        <v>1.7931034482758621</v>
      </c>
      <c r="P57">
        <f t="shared" ref="P57:P120" si="13">1/(M57/E57)</f>
        <v>1.7931034482758621</v>
      </c>
      <c r="Q57">
        <v>9.02</v>
      </c>
      <c r="R57">
        <v>9.41</v>
      </c>
      <c r="S57">
        <v>5.31</v>
      </c>
      <c r="T57">
        <v>5.25</v>
      </c>
      <c r="U57">
        <v>5.08</v>
      </c>
      <c r="V57">
        <v>5.07</v>
      </c>
      <c r="W57">
        <f t="shared" si="10"/>
        <v>19.409999999999997</v>
      </c>
      <c r="X57">
        <f t="shared" si="10"/>
        <v>19.73</v>
      </c>
    </row>
    <row r="58" spans="1:24" x14ac:dyDescent="0.25">
      <c r="A58" t="s">
        <v>34</v>
      </c>
      <c r="B58" t="s">
        <v>28</v>
      </c>
      <c r="C58">
        <v>2</v>
      </c>
      <c r="D58" t="str">
        <f t="shared" si="0"/>
        <v>EH_d_2</v>
      </c>
      <c r="E58">
        <f>5+6+2+2+2+4+5+1+1+4</f>
        <v>32</v>
      </c>
      <c r="F58">
        <f>2</f>
        <v>2</v>
      </c>
      <c r="G58">
        <v>0</v>
      </c>
      <c r="H58">
        <f t="shared" si="1"/>
        <v>30</v>
      </c>
      <c r="I58">
        <f>1+1+1+1+2</f>
        <v>6</v>
      </c>
      <c r="J58">
        <f>6</f>
        <v>6</v>
      </c>
      <c r="K58">
        <f t="shared" si="12"/>
        <v>30</v>
      </c>
      <c r="L58">
        <f t="shared" si="5"/>
        <v>8</v>
      </c>
      <c r="M58">
        <f t="shared" si="2"/>
        <v>6</v>
      </c>
      <c r="N58">
        <f t="shared" si="6"/>
        <v>0.25</v>
      </c>
      <c r="O58">
        <f t="shared" si="7"/>
        <v>4</v>
      </c>
      <c r="P58">
        <f t="shared" si="13"/>
        <v>5.333333333333333</v>
      </c>
      <c r="Q58">
        <v>5.17</v>
      </c>
      <c r="R58">
        <v>5.97</v>
      </c>
      <c r="W58">
        <f t="shared" si="10"/>
        <v>5.17</v>
      </c>
      <c r="X58">
        <f t="shared" si="10"/>
        <v>5.97</v>
      </c>
    </row>
    <row r="59" spans="1:24" x14ac:dyDescent="0.25">
      <c r="A59" t="s">
        <v>34</v>
      </c>
      <c r="B59" t="s">
        <v>30</v>
      </c>
      <c r="C59">
        <v>1</v>
      </c>
      <c r="D59" t="str">
        <f t="shared" si="0"/>
        <v>EH_e_1</v>
      </c>
      <c r="E59">
        <f>5+2+5+2+2+2+2+2+1+1+6+3+7+1+1+1+6</f>
        <v>49</v>
      </c>
      <c r="F59">
        <f>2+1+1+1</f>
        <v>5</v>
      </c>
      <c r="G59">
        <f>1+1+1</f>
        <v>3</v>
      </c>
      <c r="H59">
        <f t="shared" si="1"/>
        <v>47</v>
      </c>
      <c r="I59">
        <f>1+1+1+5+1+3+1+1+1+1</f>
        <v>16</v>
      </c>
      <c r="J59">
        <f>1+9+1+5+10+1</f>
        <v>27</v>
      </c>
      <c r="K59">
        <f t="shared" si="12"/>
        <v>58</v>
      </c>
      <c r="L59">
        <f t="shared" si="5"/>
        <v>21</v>
      </c>
      <c r="M59">
        <f t="shared" si="2"/>
        <v>30</v>
      </c>
      <c r="N59">
        <f t="shared" si="6"/>
        <v>0.42857142857142855</v>
      </c>
      <c r="O59">
        <f t="shared" si="7"/>
        <v>2.3333333333333335</v>
      </c>
      <c r="P59">
        <f t="shared" si="13"/>
        <v>1.6333333333333333</v>
      </c>
      <c r="Q59">
        <v>7.66</v>
      </c>
      <c r="R59">
        <v>9.16</v>
      </c>
      <c r="S59">
        <v>5.34</v>
      </c>
      <c r="T59">
        <v>6.12</v>
      </c>
      <c r="U59">
        <v>7.88</v>
      </c>
      <c r="V59">
        <v>8.61</v>
      </c>
      <c r="W59">
        <f t="shared" si="10"/>
        <v>20.88</v>
      </c>
      <c r="X59">
        <f t="shared" si="10"/>
        <v>23.89</v>
      </c>
    </row>
    <row r="60" spans="1:24" x14ac:dyDescent="0.25">
      <c r="A60" t="s">
        <v>34</v>
      </c>
      <c r="B60" t="s">
        <v>30</v>
      </c>
      <c r="C60">
        <v>2</v>
      </c>
      <c r="D60" t="str">
        <f t="shared" si="0"/>
        <v>EH_e_2</v>
      </c>
      <c r="E60">
        <f>2+5+2+7+1+3+2+6+1+1+3+3</f>
        <v>36</v>
      </c>
      <c r="F60">
        <f>2+1+1</f>
        <v>4</v>
      </c>
      <c r="G60">
        <f>5+2+2</f>
        <v>9</v>
      </c>
      <c r="H60">
        <f t="shared" si="1"/>
        <v>41</v>
      </c>
      <c r="I60">
        <f>3+1+5+4</f>
        <v>13</v>
      </c>
      <c r="J60">
        <f>8+2+1+7+2</f>
        <v>20</v>
      </c>
      <c r="K60">
        <f t="shared" si="12"/>
        <v>48</v>
      </c>
      <c r="L60">
        <f t="shared" si="5"/>
        <v>17</v>
      </c>
      <c r="M60">
        <f t="shared" si="2"/>
        <v>29</v>
      </c>
      <c r="N60">
        <f t="shared" si="6"/>
        <v>0.47222222222222221</v>
      </c>
      <c r="O60">
        <f t="shared" si="7"/>
        <v>2.1176470588235294</v>
      </c>
      <c r="P60">
        <f t="shared" si="13"/>
        <v>1.2413793103448276</v>
      </c>
      <c r="Q60">
        <v>10.49</v>
      </c>
      <c r="R60">
        <v>10.220000000000001</v>
      </c>
      <c r="S60">
        <v>6.45</v>
      </c>
      <c r="T60">
        <v>7.1</v>
      </c>
      <c r="U60">
        <v>6.71</v>
      </c>
      <c r="V60">
        <v>8</v>
      </c>
      <c r="W60">
        <f t="shared" si="10"/>
        <v>23.650000000000002</v>
      </c>
      <c r="X60">
        <f t="shared" si="10"/>
        <v>25.32</v>
      </c>
    </row>
    <row r="61" spans="1:24" x14ac:dyDescent="0.25">
      <c r="A61" t="s">
        <v>35</v>
      </c>
      <c r="B61" t="s">
        <v>25</v>
      </c>
      <c r="C61">
        <v>1</v>
      </c>
      <c r="D61" t="str">
        <f t="shared" si="0"/>
        <v>EP_a_1</v>
      </c>
      <c r="E61">
        <f>2+3+4+1+4+2+5+2+1+2+2+1+5+3+5+5+3+2+4+5</f>
        <v>61</v>
      </c>
      <c r="F61">
        <f>1+1+1+1+1+1+3+1+2+2</f>
        <v>14</v>
      </c>
      <c r="G61">
        <f>2</f>
        <v>2</v>
      </c>
      <c r="H61">
        <f t="shared" si="1"/>
        <v>49</v>
      </c>
      <c r="I61">
        <f>1+1+3+1+1+4+3+3</f>
        <v>17</v>
      </c>
      <c r="J61">
        <f>6+4</f>
        <v>10</v>
      </c>
      <c r="K61">
        <f t="shared" si="12"/>
        <v>42</v>
      </c>
      <c r="L61">
        <f t="shared" si="5"/>
        <v>31</v>
      </c>
      <c r="M61">
        <f t="shared" si="2"/>
        <v>12</v>
      </c>
      <c r="N61">
        <f t="shared" si="6"/>
        <v>0.50819672131147542</v>
      </c>
      <c r="O61">
        <f t="shared" si="7"/>
        <v>1.967741935483871</v>
      </c>
      <c r="P61">
        <f t="shared" si="13"/>
        <v>5.083333333333333</v>
      </c>
      <c r="Q61">
        <v>9.6300000000000008</v>
      </c>
      <c r="R61">
        <v>10.050000000000001</v>
      </c>
      <c r="S61">
        <v>8.6</v>
      </c>
      <c r="T61">
        <v>9.06</v>
      </c>
      <c r="U61">
        <v>4.3600000000000003</v>
      </c>
      <c r="V61">
        <v>4.43</v>
      </c>
      <c r="W61">
        <f t="shared" si="10"/>
        <v>22.59</v>
      </c>
      <c r="X61">
        <f t="shared" si="10"/>
        <v>23.54</v>
      </c>
    </row>
    <row r="62" spans="1:24" x14ac:dyDescent="0.25">
      <c r="A62" t="s">
        <v>35</v>
      </c>
      <c r="B62" t="s">
        <v>25</v>
      </c>
      <c r="C62">
        <v>2</v>
      </c>
      <c r="D62" t="str">
        <f t="shared" si="0"/>
        <v>EP_a_2</v>
      </c>
      <c r="E62">
        <f>1+2+6+6+4+1+5+8+2+3+7+1+2+1+1+9+6+1</f>
        <v>66</v>
      </c>
      <c r="F62">
        <f>1+1+1+1+3+2+1+1+1+1</f>
        <v>13</v>
      </c>
      <c r="G62">
        <f>1</f>
        <v>1</v>
      </c>
      <c r="H62">
        <f t="shared" si="1"/>
        <v>54</v>
      </c>
      <c r="I62">
        <f>1+3</f>
        <v>4</v>
      </c>
      <c r="J62">
        <v>5</v>
      </c>
      <c r="K62">
        <f t="shared" si="12"/>
        <v>55</v>
      </c>
      <c r="L62">
        <f t="shared" si="5"/>
        <v>17</v>
      </c>
      <c r="M62">
        <f t="shared" si="2"/>
        <v>6</v>
      </c>
      <c r="N62">
        <f t="shared" si="6"/>
        <v>0.25757575757575757</v>
      </c>
      <c r="O62">
        <f t="shared" si="7"/>
        <v>3.8823529411764706</v>
      </c>
      <c r="P62">
        <f t="shared" si="13"/>
        <v>11</v>
      </c>
      <c r="Q62">
        <v>11.57</v>
      </c>
      <c r="R62">
        <v>11.16</v>
      </c>
      <c r="S62">
        <v>7.65</v>
      </c>
      <c r="T62">
        <v>7.73</v>
      </c>
      <c r="W62">
        <f t="shared" si="10"/>
        <v>19.22</v>
      </c>
      <c r="X62">
        <f t="shared" si="10"/>
        <v>18.89</v>
      </c>
    </row>
    <row r="63" spans="1:24" x14ac:dyDescent="0.25">
      <c r="A63" t="s">
        <v>35</v>
      </c>
      <c r="B63" t="s">
        <v>25</v>
      </c>
      <c r="C63">
        <v>3</v>
      </c>
      <c r="D63" t="str">
        <f t="shared" si="0"/>
        <v>EP_a_3</v>
      </c>
      <c r="E63">
        <f>2+4+7+1+2+1+5+1+5+4+3+2+1+55+2+4+2+2+2+4+3+3+4+2+2+4+1+5+5+4</f>
        <v>142</v>
      </c>
      <c r="F63">
        <f>4+1+1+1+3+3+1+2+3+3+2+1</f>
        <v>25</v>
      </c>
      <c r="G63">
        <f>1+10+3+3+4+1</f>
        <v>22</v>
      </c>
      <c r="H63">
        <f t="shared" si="1"/>
        <v>139</v>
      </c>
      <c r="I63">
        <f>1+1+1+1+1+1</f>
        <v>6</v>
      </c>
      <c r="J63">
        <f>7+20+5+2+6+3+4</f>
        <v>47</v>
      </c>
      <c r="K63">
        <f t="shared" si="12"/>
        <v>180</v>
      </c>
      <c r="L63">
        <f t="shared" si="5"/>
        <v>31</v>
      </c>
      <c r="M63">
        <f t="shared" si="2"/>
        <v>69</v>
      </c>
      <c r="N63">
        <f t="shared" si="6"/>
        <v>0.21830985915492956</v>
      </c>
      <c r="O63">
        <f t="shared" si="7"/>
        <v>4.580645161290323</v>
      </c>
      <c r="P63">
        <f t="shared" si="13"/>
        <v>2.0579710144927534</v>
      </c>
      <c r="Q63">
        <v>10.55</v>
      </c>
      <c r="R63">
        <v>11.78</v>
      </c>
      <c r="S63">
        <v>7.95</v>
      </c>
      <c r="T63">
        <v>8.06</v>
      </c>
      <c r="U63">
        <v>6.61</v>
      </c>
      <c r="V63">
        <v>6.59</v>
      </c>
      <c r="W63">
        <f t="shared" si="10"/>
        <v>25.11</v>
      </c>
      <c r="X63">
        <f t="shared" si="10"/>
        <v>26.43</v>
      </c>
    </row>
    <row r="64" spans="1:24" x14ac:dyDescent="0.25">
      <c r="A64" t="s">
        <v>35</v>
      </c>
      <c r="B64" t="s">
        <v>26</v>
      </c>
      <c r="C64">
        <v>1</v>
      </c>
      <c r="D64" t="str">
        <f t="shared" si="0"/>
        <v>EP_b_1</v>
      </c>
      <c r="E64">
        <f>4+1+1+1+1+5+5+1+3+3+1+2+4+4</f>
        <v>36</v>
      </c>
      <c r="F64">
        <f>1+1+1+2</f>
        <v>5</v>
      </c>
      <c r="G64">
        <f>1+2+2</f>
        <v>5</v>
      </c>
      <c r="H64">
        <f t="shared" si="1"/>
        <v>36</v>
      </c>
      <c r="I64">
        <f>2+1+1+1+1+1+1</f>
        <v>8</v>
      </c>
      <c r="J64">
        <f>15</f>
        <v>15</v>
      </c>
      <c r="K64">
        <f t="shared" si="12"/>
        <v>43</v>
      </c>
      <c r="L64">
        <f t="shared" si="5"/>
        <v>13</v>
      </c>
      <c r="M64">
        <f t="shared" si="2"/>
        <v>20</v>
      </c>
      <c r="N64">
        <f t="shared" si="6"/>
        <v>0.3611111111111111</v>
      </c>
      <c r="O64">
        <f t="shared" si="7"/>
        <v>2.7692307692307692</v>
      </c>
      <c r="P64">
        <f t="shared" si="13"/>
        <v>1.7999999999999998</v>
      </c>
      <c r="Q64">
        <v>8.07</v>
      </c>
      <c r="R64">
        <v>8.75</v>
      </c>
      <c r="S64">
        <v>5.71</v>
      </c>
      <c r="T64">
        <v>6.4</v>
      </c>
      <c r="U64">
        <v>3.23</v>
      </c>
      <c r="V64">
        <v>4.6100000000000003</v>
      </c>
      <c r="W64">
        <f t="shared" si="10"/>
        <v>17.010000000000002</v>
      </c>
      <c r="X64">
        <f t="shared" si="10"/>
        <v>19.760000000000002</v>
      </c>
    </row>
    <row r="65" spans="1:24" x14ac:dyDescent="0.25">
      <c r="A65" t="s">
        <v>35</v>
      </c>
      <c r="B65" t="s">
        <v>26</v>
      </c>
      <c r="C65">
        <v>2</v>
      </c>
      <c r="D65" t="str">
        <f t="shared" si="0"/>
        <v>EP_b_2</v>
      </c>
      <c r="E65">
        <f>1+1+3+5+4+1+1+4+2+1+3+1+3+1+3+1</f>
        <v>35</v>
      </c>
      <c r="F65">
        <v>1</v>
      </c>
      <c r="G65">
        <f>3+1</f>
        <v>4</v>
      </c>
      <c r="H65">
        <f t="shared" si="1"/>
        <v>38</v>
      </c>
      <c r="I65">
        <f>1+1+1+1+1</f>
        <v>5</v>
      </c>
      <c r="J65">
        <f>1+2+5+5</f>
        <v>13</v>
      </c>
      <c r="K65">
        <f t="shared" si="12"/>
        <v>46</v>
      </c>
      <c r="L65">
        <f t="shared" si="5"/>
        <v>6</v>
      </c>
      <c r="M65">
        <f t="shared" si="2"/>
        <v>17</v>
      </c>
      <c r="N65">
        <f t="shared" si="6"/>
        <v>0.17142857142857143</v>
      </c>
      <c r="O65">
        <f t="shared" si="7"/>
        <v>5.833333333333333</v>
      </c>
      <c r="P65">
        <f t="shared" si="13"/>
        <v>2.0588235294117649</v>
      </c>
      <c r="Q65">
        <v>7.84</v>
      </c>
      <c r="R65">
        <v>8.4700000000000006</v>
      </c>
      <c r="S65">
        <v>5.23</v>
      </c>
      <c r="T65">
        <v>7.18</v>
      </c>
      <c r="U65">
        <v>3.02</v>
      </c>
      <c r="V65">
        <v>6.33</v>
      </c>
      <c r="W65">
        <f t="shared" si="10"/>
        <v>16.09</v>
      </c>
      <c r="X65">
        <f t="shared" si="10"/>
        <v>21.98</v>
      </c>
    </row>
    <row r="66" spans="1:24" x14ac:dyDescent="0.25">
      <c r="A66" t="s">
        <v>35</v>
      </c>
      <c r="B66" t="s">
        <v>27</v>
      </c>
      <c r="C66">
        <v>1</v>
      </c>
      <c r="D66" t="str">
        <f t="shared" ref="D66:D129" si="14">A66&amp;B66&amp;"_"&amp;C66</f>
        <v>EP_c_1</v>
      </c>
      <c r="E66">
        <f>1+2+2+3+5+2+4+3+1+1+4+4+3+2+1+3+1</f>
        <v>42</v>
      </c>
      <c r="F66">
        <f>1+1+1+2+2</f>
        <v>7</v>
      </c>
      <c r="G66">
        <f>1+1+4+4+1</f>
        <v>11</v>
      </c>
      <c r="H66">
        <f t="shared" ref="H66:H129" si="15">E66-F66+G66</f>
        <v>46</v>
      </c>
      <c r="I66">
        <f>2+1+1+2+1+2</f>
        <v>9</v>
      </c>
      <c r="J66">
        <v>1</v>
      </c>
      <c r="K66">
        <f t="shared" si="12"/>
        <v>38</v>
      </c>
      <c r="L66">
        <f t="shared" si="5"/>
        <v>16</v>
      </c>
      <c r="M66">
        <f t="shared" si="2"/>
        <v>12</v>
      </c>
      <c r="N66">
        <f t="shared" si="6"/>
        <v>0.38095238095238093</v>
      </c>
      <c r="O66">
        <f t="shared" si="7"/>
        <v>2.625</v>
      </c>
      <c r="P66">
        <f t="shared" si="13"/>
        <v>3.5</v>
      </c>
      <c r="Q66">
        <v>5.72</v>
      </c>
      <c r="R66">
        <v>5.84</v>
      </c>
      <c r="W66">
        <f t="shared" si="10"/>
        <v>5.72</v>
      </c>
      <c r="X66">
        <f t="shared" si="10"/>
        <v>5.84</v>
      </c>
    </row>
    <row r="67" spans="1:24" x14ac:dyDescent="0.25">
      <c r="A67" t="s">
        <v>35</v>
      </c>
      <c r="B67" t="s">
        <v>27</v>
      </c>
      <c r="C67">
        <v>2</v>
      </c>
      <c r="D67" t="str">
        <f t="shared" si="14"/>
        <v>EP_c_2</v>
      </c>
      <c r="E67">
        <f>3+3+2+3+1+4+2+2+4+2+2+4+2+2</f>
        <v>36</v>
      </c>
      <c r="F67">
        <f>1+3+1+3+1+1+2+2</f>
        <v>14</v>
      </c>
      <c r="G67">
        <f>4+2+2+4+1</f>
        <v>13</v>
      </c>
      <c r="H67">
        <f t="shared" si="15"/>
        <v>35</v>
      </c>
      <c r="I67">
        <f>2+2+2+3+1+1</f>
        <v>11</v>
      </c>
      <c r="J67">
        <v>0</v>
      </c>
      <c r="K67">
        <f t="shared" si="12"/>
        <v>24</v>
      </c>
      <c r="L67">
        <f t="shared" si="5"/>
        <v>25</v>
      </c>
      <c r="M67">
        <f t="shared" si="5"/>
        <v>13</v>
      </c>
      <c r="N67">
        <f t="shared" ref="N67:N130" si="16">L67/E67</f>
        <v>0.69444444444444442</v>
      </c>
      <c r="O67">
        <f t="shared" ref="O67:O130" si="17">1/N67</f>
        <v>1.44</v>
      </c>
      <c r="P67">
        <f t="shared" si="13"/>
        <v>2.7692307692307692</v>
      </c>
      <c r="Q67">
        <v>10.73</v>
      </c>
      <c r="R67">
        <v>11.91</v>
      </c>
      <c r="S67">
        <v>7.53</v>
      </c>
      <c r="T67">
        <v>7.34</v>
      </c>
      <c r="U67">
        <v>5.54</v>
      </c>
      <c r="V67">
        <v>6.08</v>
      </c>
      <c r="W67">
        <f t="shared" si="10"/>
        <v>23.8</v>
      </c>
      <c r="X67">
        <f t="shared" si="10"/>
        <v>25.33</v>
      </c>
    </row>
    <row r="68" spans="1:24" x14ac:dyDescent="0.25">
      <c r="A68" t="s">
        <v>35</v>
      </c>
      <c r="B68" t="s">
        <v>28</v>
      </c>
      <c r="C68">
        <v>1</v>
      </c>
      <c r="D68" t="str">
        <f t="shared" si="14"/>
        <v>EP_d_1</v>
      </c>
      <c r="E68">
        <f>4+1+4+10+4+1+55+5+3+2+5+2+1+4+5+6</f>
        <v>112</v>
      </c>
      <c r="F68">
        <f>4+1+4+1+4+2</f>
        <v>16</v>
      </c>
      <c r="G68">
        <f>2</f>
        <v>2</v>
      </c>
      <c r="H68">
        <f t="shared" si="15"/>
        <v>98</v>
      </c>
      <c r="I68">
        <f>6+4+5+1+2+4</f>
        <v>22</v>
      </c>
      <c r="J68">
        <v>0</v>
      </c>
      <c r="K68">
        <f t="shared" si="12"/>
        <v>76</v>
      </c>
      <c r="L68">
        <f t="shared" ref="L68:M131" si="18">I68+F68</f>
        <v>38</v>
      </c>
      <c r="M68">
        <f t="shared" si="18"/>
        <v>2</v>
      </c>
      <c r="N68">
        <f t="shared" si="16"/>
        <v>0.3392857142857143</v>
      </c>
      <c r="O68">
        <f t="shared" si="17"/>
        <v>2.9473684210526314</v>
      </c>
      <c r="P68">
        <f t="shared" si="13"/>
        <v>56</v>
      </c>
      <c r="Q68">
        <v>7.19</v>
      </c>
      <c r="R68">
        <v>7.54</v>
      </c>
      <c r="S68">
        <v>5.95</v>
      </c>
      <c r="T68">
        <v>5.74</v>
      </c>
      <c r="W68">
        <f t="shared" si="10"/>
        <v>13.14</v>
      </c>
      <c r="X68">
        <f t="shared" si="10"/>
        <v>13.280000000000001</v>
      </c>
    </row>
    <row r="69" spans="1:24" x14ac:dyDescent="0.25">
      <c r="A69" t="s">
        <v>35</v>
      </c>
      <c r="B69" t="s">
        <v>30</v>
      </c>
      <c r="C69">
        <v>1</v>
      </c>
      <c r="D69" t="str">
        <f t="shared" si="14"/>
        <v>EP_e_1</v>
      </c>
      <c r="E69">
        <f>1+7+3+3+3+7+6+1+1+8+1</f>
        <v>41</v>
      </c>
      <c r="F69">
        <f>1+1</f>
        <v>2</v>
      </c>
      <c r="G69">
        <f>2+2+2+2</f>
        <v>8</v>
      </c>
      <c r="H69">
        <f t="shared" si="15"/>
        <v>47</v>
      </c>
      <c r="I69">
        <f>1+1+3+2+2+4</f>
        <v>13</v>
      </c>
      <c r="J69">
        <v>0</v>
      </c>
      <c r="K69">
        <f t="shared" si="12"/>
        <v>34</v>
      </c>
      <c r="L69">
        <f t="shared" si="18"/>
        <v>15</v>
      </c>
      <c r="M69">
        <f t="shared" si="18"/>
        <v>8</v>
      </c>
      <c r="N69">
        <f t="shared" si="16"/>
        <v>0.36585365853658536</v>
      </c>
      <c r="O69">
        <f t="shared" si="17"/>
        <v>2.7333333333333334</v>
      </c>
      <c r="P69">
        <f t="shared" si="13"/>
        <v>5.125</v>
      </c>
      <c r="Q69">
        <v>6.49</v>
      </c>
      <c r="R69">
        <v>7.45</v>
      </c>
      <c r="S69">
        <v>5.09</v>
      </c>
      <c r="T69">
        <v>5.26</v>
      </c>
      <c r="U69">
        <v>3.64</v>
      </c>
      <c r="V69">
        <v>3.81</v>
      </c>
      <c r="W69">
        <f t="shared" si="10"/>
        <v>15.22</v>
      </c>
      <c r="X69">
        <f t="shared" si="10"/>
        <v>16.52</v>
      </c>
    </row>
    <row r="70" spans="1:24" x14ac:dyDescent="0.25">
      <c r="A70" t="s">
        <v>35</v>
      </c>
      <c r="B70" t="s">
        <v>30</v>
      </c>
      <c r="C70">
        <v>2</v>
      </c>
      <c r="D70" t="str">
        <f t="shared" si="14"/>
        <v>EP_e_2</v>
      </c>
      <c r="E70">
        <f>2+1+1+9+5+4+3+3+6+2+3+7+3+3+9+2+1</f>
        <v>64</v>
      </c>
      <c r="F70">
        <v>1</v>
      </c>
      <c r="G70">
        <f>1+2+1</f>
        <v>4</v>
      </c>
      <c r="H70">
        <f t="shared" si="15"/>
        <v>67</v>
      </c>
      <c r="I70">
        <f>1+1+2+1</f>
        <v>5</v>
      </c>
      <c r="J70">
        <f>6+4+1+1+1</f>
        <v>13</v>
      </c>
      <c r="K70">
        <f>H70-I70+J70</f>
        <v>75</v>
      </c>
      <c r="L70">
        <f>I70+F70</f>
        <v>6</v>
      </c>
      <c r="M70">
        <f t="shared" si="18"/>
        <v>17</v>
      </c>
      <c r="N70">
        <f t="shared" si="16"/>
        <v>9.375E-2</v>
      </c>
      <c r="O70">
        <f t="shared" si="17"/>
        <v>10.666666666666666</v>
      </c>
      <c r="P70">
        <f t="shared" si="13"/>
        <v>3.7647058823529411</v>
      </c>
      <c r="Q70">
        <v>6.28</v>
      </c>
      <c r="R70">
        <v>7.97</v>
      </c>
      <c r="S70">
        <v>6.28</v>
      </c>
      <c r="T70">
        <v>6.84</v>
      </c>
      <c r="U70">
        <v>3.58</v>
      </c>
      <c r="V70">
        <v>4.55</v>
      </c>
      <c r="W70">
        <f t="shared" si="10"/>
        <v>16.14</v>
      </c>
      <c r="X70">
        <f t="shared" si="10"/>
        <v>19.36</v>
      </c>
    </row>
    <row r="71" spans="1:24" x14ac:dyDescent="0.25">
      <c r="A71" t="s">
        <v>36</v>
      </c>
      <c r="B71" t="s">
        <v>25</v>
      </c>
      <c r="C71">
        <v>1</v>
      </c>
      <c r="D71" t="str">
        <f t="shared" si="14"/>
        <v>ES_a_1</v>
      </c>
      <c r="E71">
        <f>2+1+9+8+2+1+2+2+2+4+3+7+2+2+2+4+5+1+11+5+6</f>
        <v>81</v>
      </c>
      <c r="F71">
        <f>1+1+1+2+2+2+4+1+1</f>
        <v>15</v>
      </c>
      <c r="G71">
        <v>0</v>
      </c>
      <c r="H71">
        <f t="shared" si="15"/>
        <v>66</v>
      </c>
      <c r="I71">
        <f>2+4+1+1+1+1+2+1+1+1</f>
        <v>15</v>
      </c>
      <c r="J71">
        <f>2+4+1+2+2+3+3+5+2+3</f>
        <v>27</v>
      </c>
      <c r="K71">
        <f>H71-I71+J71</f>
        <v>78</v>
      </c>
      <c r="L71">
        <f t="shared" si="18"/>
        <v>30</v>
      </c>
      <c r="M71">
        <f t="shared" si="18"/>
        <v>27</v>
      </c>
      <c r="N71">
        <f t="shared" si="16"/>
        <v>0.37037037037037035</v>
      </c>
      <c r="O71">
        <f t="shared" si="17"/>
        <v>2.7</v>
      </c>
      <c r="P71">
        <f t="shared" si="13"/>
        <v>3</v>
      </c>
      <c r="Q71">
        <v>7.11</v>
      </c>
      <c r="R71">
        <v>7.38</v>
      </c>
      <c r="S71">
        <v>6.62</v>
      </c>
      <c r="T71">
        <v>7.19</v>
      </c>
      <c r="U71">
        <v>3.57</v>
      </c>
      <c r="V71">
        <v>3.78</v>
      </c>
      <c r="W71">
        <f t="shared" si="10"/>
        <v>17.3</v>
      </c>
      <c r="X71">
        <f t="shared" si="10"/>
        <v>18.350000000000001</v>
      </c>
    </row>
    <row r="72" spans="1:24" x14ac:dyDescent="0.25">
      <c r="A72" t="s">
        <v>36</v>
      </c>
      <c r="B72" t="s">
        <v>25</v>
      </c>
      <c r="C72">
        <v>2</v>
      </c>
      <c r="D72" t="str">
        <f t="shared" si="14"/>
        <v>ES_a_2</v>
      </c>
      <c r="E72">
        <f>1+3+7+5+1+3+10+1+1+4+2+2+4+5+2+2+2+4+4+2+2+2+1+2+2+1</f>
        <v>75</v>
      </c>
      <c r="F72">
        <f>1+1</f>
        <v>2</v>
      </c>
      <c r="G72">
        <f>1+1+1</f>
        <v>3</v>
      </c>
      <c r="H72">
        <f t="shared" si="15"/>
        <v>76</v>
      </c>
      <c r="I72">
        <f>3+1+1+2+1+1+1+2+1+1+2+1+1+1</f>
        <v>19</v>
      </c>
      <c r="J72">
        <v>1</v>
      </c>
      <c r="K72">
        <f t="shared" ref="K72:K80" si="19">H72-I72+J72</f>
        <v>58</v>
      </c>
      <c r="L72">
        <f t="shared" si="18"/>
        <v>21</v>
      </c>
      <c r="M72">
        <f t="shared" si="18"/>
        <v>4</v>
      </c>
      <c r="N72">
        <f t="shared" si="16"/>
        <v>0.28000000000000003</v>
      </c>
      <c r="O72">
        <f t="shared" si="17"/>
        <v>3.5714285714285712</v>
      </c>
      <c r="P72">
        <f t="shared" si="13"/>
        <v>18.75</v>
      </c>
      <c r="Q72">
        <v>6.31</v>
      </c>
      <c r="R72">
        <v>6.74</v>
      </c>
      <c r="S72">
        <v>5.71</v>
      </c>
      <c r="T72">
        <v>5.9</v>
      </c>
      <c r="U72">
        <v>3.53</v>
      </c>
      <c r="V72">
        <v>3.7</v>
      </c>
      <c r="W72">
        <f t="shared" si="10"/>
        <v>15.549999999999999</v>
      </c>
      <c r="X72">
        <f t="shared" si="10"/>
        <v>16.34</v>
      </c>
    </row>
    <row r="73" spans="1:24" x14ac:dyDescent="0.25">
      <c r="A73" t="s">
        <v>36</v>
      </c>
      <c r="B73" t="s">
        <v>26</v>
      </c>
      <c r="C73">
        <v>1</v>
      </c>
      <c r="D73" t="str">
        <f t="shared" si="14"/>
        <v>ES_b_1</v>
      </c>
      <c r="E73">
        <f>4+7+3+2+3+4+6+2+3+2+2+3+3+1+3+3+2+6+6+1+1+1+1+1</f>
        <v>70</v>
      </c>
      <c r="F73">
        <f>1+1+1+1+1</f>
        <v>5</v>
      </c>
      <c r="G73">
        <f>2+1</f>
        <v>3</v>
      </c>
      <c r="H73">
        <f t="shared" si="15"/>
        <v>68</v>
      </c>
      <c r="I73">
        <v>2</v>
      </c>
      <c r="J73">
        <f>2+3+2+4+5+2</f>
        <v>18</v>
      </c>
      <c r="K73">
        <f t="shared" si="19"/>
        <v>84</v>
      </c>
      <c r="L73">
        <f t="shared" si="18"/>
        <v>7</v>
      </c>
      <c r="M73">
        <f t="shared" si="18"/>
        <v>21</v>
      </c>
      <c r="N73">
        <f>L73/E73</f>
        <v>0.1</v>
      </c>
      <c r="O73">
        <f t="shared" si="17"/>
        <v>10</v>
      </c>
      <c r="P73">
        <f t="shared" si="13"/>
        <v>3.3333333333333335</v>
      </c>
      <c r="Q73">
        <v>5.25</v>
      </c>
      <c r="R73">
        <v>6.05</v>
      </c>
      <c r="S73">
        <v>3.98</v>
      </c>
      <c r="T73">
        <v>4.1500000000000004</v>
      </c>
      <c r="W73">
        <f t="shared" si="10"/>
        <v>9.23</v>
      </c>
      <c r="X73">
        <f t="shared" si="10"/>
        <v>10.199999999999999</v>
      </c>
    </row>
    <row r="74" spans="1:24" x14ac:dyDescent="0.25">
      <c r="A74" t="s">
        <v>36</v>
      </c>
      <c r="B74" t="s">
        <v>26</v>
      </c>
      <c r="C74">
        <v>2</v>
      </c>
      <c r="D74" t="str">
        <f t="shared" si="14"/>
        <v>ES_b_2</v>
      </c>
      <c r="E74">
        <f>1+11+2+4+1+4+2+1+7+2+10+6+1</f>
        <v>52</v>
      </c>
      <c r="F74">
        <f>3+1+1</f>
        <v>5</v>
      </c>
      <c r="G74">
        <f>3+2</f>
        <v>5</v>
      </c>
      <c r="H74">
        <f t="shared" si="15"/>
        <v>52</v>
      </c>
      <c r="I74">
        <f>1+1</f>
        <v>2</v>
      </c>
      <c r="J74">
        <f>1</f>
        <v>1</v>
      </c>
      <c r="K74">
        <f t="shared" si="19"/>
        <v>51</v>
      </c>
      <c r="L74">
        <f t="shared" si="18"/>
        <v>7</v>
      </c>
      <c r="M74">
        <f t="shared" si="18"/>
        <v>6</v>
      </c>
      <c r="N74">
        <f t="shared" si="16"/>
        <v>0.13461538461538461</v>
      </c>
      <c r="O74">
        <f t="shared" si="17"/>
        <v>7.4285714285714288</v>
      </c>
      <c r="P74">
        <f t="shared" si="13"/>
        <v>8.6666666666666661</v>
      </c>
      <c r="Q74">
        <v>4.74</v>
      </c>
      <c r="R74">
        <v>5.76</v>
      </c>
      <c r="S74">
        <v>6.66</v>
      </c>
      <c r="T74">
        <v>7.29</v>
      </c>
      <c r="W74">
        <f t="shared" si="10"/>
        <v>11.4</v>
      </c>
      <c r="X74">
        <f t="shared" si="10"/>
        <v>13.05</v>
      </c>
    </row>
    <row r="75" spans="1:24" x14ac:dyDescent="0.25">
      <c r="A75" t="s">
        <v>36</v>
      </c>
      <c r="B75" t="s">
        <v>27</v>
      </c>
      <c r="C75">
        <v>1</v>
      </c>
      <c r="D75" t="str">
        <f t="shared" si="14"/>
        <v>ES_c_1</v>
      </c>
      <c r="E75">
        <f>1+7+3+2+6+1+5+2+2+7+3+1+1+8</f>
        <v>49</v>
      </c>
      <c r="F75">
        <f>1+1+2+1+2</f>
        <v>7</v>
      </c>
      <c r="G75">
        <v>0</v>
      </c>
      <c r="H75">
        <f t="shared" si="15"/>
        <v>42</v>
      </c>
      <c r="I75">
        <f>2+1+1+6</f>
        <v>10</v>
      </c>
      <c r="J75">
        <f>5</f>
        <v>5</v>
      </c>
      <c r="K75">
        <f t="shared" si="19"/>
        <v>37</v>
      </c>
      <c r="L75">
        <f t="shared" si="18"/>
        <v>17</v>
      </c>
      <c r="M75">
        <f t="shared" si="18"/>
        <v>5</v>
      </c>
      <c r="N75">
        <f t="shared" si="16"/>
        <v>0.34693877551020408</v>
      </c>
      <c r="O75">
        <f t="shared" si="17"/>
        <v>2.8823529411764706</v>
      </c>
      <c r="P75">
        <f t="shared" si="13"/>
        <v>9.7999999999999989</v>
      </c>
      <c r="Q75">
        <v>4.54</v>
      </c>
      <c r="R75">
        <v>4.72</v>
      </c>
      <c r="S75">
        <v>3.45</v>
      </c>
      <c r="T75">
        <v>3.54</v>
      </c>
      <c r="U75">
        <v>2.2000000000000002</v>
      </c>
      <c r="V75">
        <v>2.63</v>
      </c>
      <c r="W75">
        <f t="shared" si="10"/>
        <v>10.190000000000001</v>
      </c>
      <c r="X75">
        <f t="shared" si="10"/>
        <v>10.89</v>
      </c>
    </row>
    <row r="76" spans="1:24" x14ac:dyDescent="0.25">
      <c r="A76" t="s">
        <v>36</v>
      </c>
      <c r="B76" t="s">
        <v>27</v>
      </c>
      <c r="C76">
        <v>2</v>
      </c>
      <c r="D76" t="str">
        <f t="shared" si="14"/>
        <v>ES_c_2</v>
      </c>
      <c r="E76">
        <f>1+1+1+5+2+4+3+2+2+3+1+3+1+4+1+1</f>
        <v>35</v>
      </c>
      <c r="F76">
        <f>1</f>
        <v>1</v>
      </c>
      <c r="G76">
        <v>2</v>
      </c>
      <c r="H76">
        <f t="shared" si="15"/>
        <v>36</v>
      </c>
      <c r="I76">
        <f>1+1+1</f>
        <v>3</v>
      </c>
      <c r="J76">
        <f>5+5+5+1</f>
        <v>16</v>
      </c>
      <c r="K76">
        <f t="shared" si="19"/>
        <v>49</v>
      </c>
      <c r="L76">
        <f t="shared" si="18"/>
        <v>4</v>
      </c>
      <c r="M76">
        <f t="shared" si="18"/>
        <v>18</v>
      </c>
      <c r="N76">
        <f>L76/E76</f>
        <v>0.11428571428571428</v>
      </c>
      <c r="O76">
        <f t="shared" si="17"/>
        <v>8.75</v>
      </c>
      <c r="P76">
        <f t="shared" si="13"/>
        <v>1.9444444444444446</v>
      </c>
      <c r="Q76">
        <v>4.0199999999999996</v>
      </c>
      <c r="R76">
        <v>4.95</v>
      </c>
      <c r="S76">
        <v>2.48</v>
      </c>
      <c r="T76">
        <v>2.71</v>
      </c>
      <c r="U76">
        <v>1.6</v>
      </c>
      <c r="V76">
        <v>2.14</v>
      </c>
      <c r="W76">
        <f t="shared" si="10"/>
        <v>8.1</v>
      </c>
      <c r="X76">
        <f t="shared" si="10"/>
        <v>9.8000000000000007</v>
      </c>
    </row>
    <row r="77" spans="1:24" x14ac:dyDescent="0.25">
      <c r="A77" t="s">
        <v>36</v>
      </c>
      <c r="B77" t="s">
        <v>28</v>
      </c>
      <c r="C77">
        <v>1</v>
      </c>
      <c r="D77" t="str">
        <f t="shared" si="14"/>
        <v>ES_d_1</v>
      </c>
      <c r="E77">
        <f>1+6+1+7+2+3+1</f>
        <v>21</v>
      </c>
      <c r="F77">
        <f>1+2</f>
        <v>3</v>
      </c>
      <c r="G77">
        <v>0</v>
      </c>
      <c r="H77">
        <f t="shared" si="15"/>
        <v>18</v>
      </c>
      <c r="I77">
        <f>1</f>
        <v>1</v>
      </c>
      <c r="J77">
        <f>5+3+3</f>
        <v>11</v>
      </c>
      <c r="K77">
        <f>H77-I77+J77</f>
        <v>28</v>
      </c>
      <c r="L77">
        <f t="shared" si="18"/>
        <v>4</v>
      </c>
      <c r="M77">
        <f t="shared" si="18"/>
        <v>11</v>
      </c>
      <c r="N77">
        <f t="shared" si="16"/>
        <v>0.19047619047619047</v>
      </c>
      <c r="O77">
        <f t="shared" si="17"/>
        <v>5.25</v>
      </c>
      <c r="P77">
        <f t="shared" si="13"/>
        <v>1.9090909090909089</v>
      </c>
      <c r="Q77">
        <v>3.64</v>
      </c>
      <c r="R77">
        <v>3.96</v>
      </c>
      <c r="S77">
        <v>2.2200000000000002</v>
      </c>
      <c r="T77">
        <v>2.37</v>
      </c>
      <c r="W77">
        <f t="shared" si="10"/>
        <v>5.86</v>
      </c>
      <c r="X77">
        <f t="shared" si="10"/>
        <v>6.33</v>
      </c>
    </row>
    <row r="78" spans="1:24" x14ac:dyDescent="0.25">
      <c r="A78" t="s">
        <v>36</v>
      </c>
      <c r="B78" t="s">
        <v>28</v>
      </c>
      <c r="C78">
        <v>2</v>
      </c>
      <c r="D78" t="str">
        <f t="shared" si="14"/>
        <v>ES_d_2</v>
      </c>
      <c r="E78">
        <f>2+2+1+2+3+2+1+3+8+1</f>
        <v>25</v>
      </c>
      <c r="F78">
        <f>1</f>
        <v>1</v>
      </c>
      <c r="G78">
        <v>0</v>
      </c>
      <c r="H78">
        <f t="shared" si="15"/>
        <v>24</v>
      </c>
      <c r="I78">
        <f>1+1</f>
        <v>2</v>
      </c>
      <c r="J78">
        <f>1+3+3</f>
        <v>7</v>
      </c>
      <c r="K78">
        <f t="shared" si="19"/>
        <v>29</v>
      </c>
      <c r="L78">
        <f t="shared" si="18"/>
        <v>3</v>
      </c>
      <c r="M78">
        <f t="shared" si="18"/>
        <v>7</v>
      </c>
      <c r="N78">
        <f t="shared" si="16"/>
        <v>0.12</v>
      </c>
      <c r="O78">
        <f t="shared" si="17"/>
        <v>8.3333333333333339</v>
      </c>
      <c r="P78">
        <f t="shared" si="13"/>
        <v>3.5714285714285712</v>
      </c>
      <c r="Q78">
        <v>4.01</v>
      </c>
      <c r="R78">
        <v>4.12</v>
      </c>
      <c r="S78">
        <v>4.9400000000000004</v>
      </c>
      <c r="T78">
        <v>5.07</v>
      </c>
      <c r="W78">
        <f t="shared" si="10"/>
        <v>8.9499999999999993</v>
      </c>
      <c r="X78">
        <f t="shared" si="10"/>
        <v>9.1900000000000013</v>
      </c>
    </row>
    <row r="79" spans="1:24" x14ac:dyDescent="0.25">
      <c r="A79" t="s">
        <v>36</v>
      </c>
      <c r="B79" t="s">
        <v>30</v>
      </c>
      <c r="C79">
        <v>1</v>
      </c>
      <c r="D79" t="str">
        <f t="shared" si="14"/>
        <v>ES_e_1</v>
      </c>
      <c r="E79">
        <f>6+4+4+3+1+2+1+5+1+1</f>
        <v>28</v>
      </c>
      <c r="F79">
        <v>0</v>
      </c>
      <c r="G79">
        <v>0</v>
      </c>
      <c r="H79">
        <f t="shared" si="15"/>
        <v>28</v>
      </c>
      <c r="I79">
        <v>3</v>
      </c>
      <c r="J79">
        <v>0</v>
      </c>
      <c r="K79">
        <f t="shared" si="19"/>
        <v>25</v>
      </c>
      <c r="L79">
        <f t="shared" si="18"/>
        <v>3</v>
      </c>
      <c r="M79">
        <f t="shared" si="18"/>
        <v>0</v>
      </c>
      <c r="N79">
        <f>L79/E79</f>
        <v>0.10714285714285714</v>
      </c>
      <c r="O79">
        <f t="shared" si="17"/>
        <v>9.3333333333333339</v>
      </c>
      <c r="Q79">
        <v>4.47</v>
      </c>
      <c r="R79">
        <v>3.87</v>
      </c>
      <c r="S79">
        <v>3</v>
      </c>
      <c r="T79">
        <v>3.15</v>
      </c>
      <c r="W79">
        <f t="shared" si="10"/>
        <v>7.47</v>
      </c>
      <c r="X79">
        <f t="shared" si="10"/>
        <v>7.02</v>
      </c>
    </row>
    <row r="80" spans="1:24" x14ac:dyDescent="0.25">
      <c r="A80" t="s">
        <v>36</v>
      </c>
      <c r="B80" t="s">
        <v>30</v>
      </c>
      <c r="C80">
        <v>2</v>
      </c>
      <c r="D80" t="str">
        <f t="shared" si="14"/>
        <v>ES_e_2</v>
      </c>
      <c r="E80">
        <f>4+2+1+6+2+2+1+2+1+3+1+3+4+1+1+1+6</f>
        <v>41</v>
      </c>
      <c r="F80">
        <v>0</v>
      </c>
      <c r="G80">
        <v>0</v>
      </c>
      <c r="H80">
        <f t="shared" si="15"/>
        <v>41</v>
      </c>
      <c r="I80">
        <f>1+1+2+1</f>
        <v>5</v>
      </c>
      <c r="J80">
        <f>2+2+31+2+11+8+2</f>
        <v>58</v>
      </c>
      <c r="K80">
        <f t="shared" si="19"/>
        <v>94</v>
      </c>
      <c r="L80">
        <f t="shared" si="18"/>
        <v>5</v>
      </c>
      <c r="M80">
        <f t="shared" si="18"/>
        <v>58</v>
      </c>
      <c r="N80">
        <f>L80/E80</f>
        <v>0.12195121951219512</v>
      </c>
      <c r="O80">
        <f t="shared" si="17"/>
        <v>8.2000000000000011</v>
      </c>
      <c r="P80">
        <f t="shared" si="13"/>
        <v>0.70689655172413801</v>
      </c>
      <c r="Q80">
        <v>3.6</v>
      </c>
      <c r="R80">
        <v>4.18</v>
      </c>
      <c r="S80">
        <v>2.87</v>
      </c>
      <c r="T80">
        <v>4.01</v>
      </c>
      <c r="U80">
        <v>1.85</v>
      </c>
      <c r="V80">
        <v>2.0299999999999998</v>
      </c>
      <c r="W80">
        <f t="shared" si="10"/>
        <v>8.32</v>
      </c>
      <c r="X80">
        <f t="shared" si="10"/>
        <v>10.219999999999999</v>
      </c>
    </row>
    <row r="81" spans="1:24" x14ac:dyDescent="0.25">
      <c r="A81" t="s">
        <v>37</v>
      </c>
      <c r="B81" t="s">
        <v>25</v>
      </c>
      <c r="C81">
        <v>1</v>
      </c>
      <c r="D81" t="str">
        <f t="shared" si="14"/>
        <v>LP_a_1</v>
      </c>
      <c r="E81">
        <f>9+3+5+15+2+5+5+1+5+1+5+1+18+7+11+5+5+5+9+11+3+5+3+15+5+2+22+10+9+3+5</f>
        <v>210</v>
      </c>
      <c r="F81">
        <f>9+3+2+2+2+3+3+1+4+7+2+3+5+9+1+2+2+4+7+9+3+5</f>
        <v>88</v>
      </c>
      <c r="G81">
        <f>3+5+5+5+5+5</f>
        <v>28</v>
      </c>
      <c r="H81">
        <f t="shared" si="15"/>
        <v>150</v>
      </c>
      <c r="I81">
        <f>1+1+1+1+9+6+8+1+5+1+2+1+1+1+12+3</f>
        <v>54</v>
      </c>
      <c r="J81">
        <f>15+55+46+12+4+4+2+2</f>
        <v>140</v>
      </c>
      <c r="K81">
        <f>H81-I81+J81</f>
        <v>236</v>
      </c>
      <c r="L81">
        <f t="shared" si="18"/>
        <v>142</v>
      </c>
      <c r="M81">
        <f t="shared" si="18"/>
        <v>168</v>
      </c>
      <c r="N81">
        <f t="shared" si="16"/>
        <v>0.67619047619047623</v>
      </c>
      <c r="O81">
        <f t="shared" si="17"/>
        <v>1.4788732394366195</v>
      </c>
      <c r="P81">
        <f t="shared" si="13"/>
        <v>1.25</v>
      </c>
      <c r="Q81">
        <v>2.13</v>
      </c>
      <c r="R81">
        <v>3.15</v>
      </c>
      <c r="S81">
        <v>1.69</v>
      </c>
      <c r="T81">
        <v>2.02</v>
      </c>
      <c r="W81">
        <f t="shared" si="10"/>
        <v>3.82</v>
      </c>
      <c r="X81">
        <f t="shared" si="10"/>
        <v>5.17</v>
      </c>
    </row>
    <row r="82" spans="1:24" x14ac:dyDescent="0.25">
      <c r="A82" t="s">
        <v>37</v>
      </c>
      <c r="B82" t="s">
        <v>25</v>
      </c>
      <c r="C82">
        <v>2</v>
      </c>
      <c r="D82" t="str">
        <f t="shared" si="14"/>
        <v>LP_a_2</v>
      </c>
      <c r="E82">
        <f>4+5+11+1+9+1+9+11+1+9+1+10+9+10+6+1+4</f>
        <v>102</v>
      </c>
      <c r="F82">
        <f>4+3+1+1+1+4+5+1+1</f>
        <v>21</v>
      </c>
      <c r="G82">
        <f>4+5+1+1+3+3</f>
        <v>17</v>
      </c>
      <c r="H82">
        <f t="shared" si="15"/>
        <v>98</v>
      </c>
      <c r="I82">
        <v>98</v>
      </c>
      <c r="J82">
        <v>0</v>
      </c>
      <c r="K82">
        <v>0</v>
      </c>
      <c r="L82">
        <f t="shared" si="18"/>
        <v>119</v>
      </c>
      <c r="M82">
        <f t="shared" si="18"/>
        <v>17</v>
      </c>
      <c r="N82">
        <f>L82/E82</f>
        <v>1.1666666666666667</v>
      </c>
      <c r="O82">
        <f t="shared" si="17"/>
        <v>0.8571428571428571</v>
      </c>
      <c r="P82">
        <f t="shared" si="13"/>
        <v>6</v>
      </c>
      <c r="Q82">
        <v>1.22</v>
      </c>
      <c r="R82">
        <v>1.22</v>
      </c>
      <c r="W82">
        <f t="shared" si="10"/>
        <v>1.22</v>
      </c>
      <c r="X82">
        <f t="shared" si="10"/>
        <v>1.22</v>
      </c>
    </row>
    <row r="83" spans="1:24" x14ac:dyDescent="0.25">
      <c r="A83" t="s">
        <v>37</v>
      </c>
      <c r="B83" t="s">
        <v>26</v>
      </c>
      <c r="C83">
        <v>1</v>
      </c>
      <c r="D83" t="str">
        <f t="shared" si="14"/>
        <v>LP_b_1</v>
      </c>
      <c r="E83">
        <f>27+10+29+4+9+5+19+2+15+1+17+1+15+1+10+8+6+1+9+1+18+1+1+15+15+10+1+7+1+11+8+9+9+12+1+12</f>
        <v>321</v>
      </c>
      <c r="F83">
        <f>6+6+1+5+1+1+3+6</f>
        <v>29</v>
      </c>
      <c r="G83">
        <f>4+2+3+4+2+2+2+4+5+4+1+5+3</f>
        <v>41</v>
      </c>
      <c r="H83">
        <f t="shared" si="15"/>
        <v>333</v>
      </c>
      <c r="I83">
        <f>4+18+4+11+5+3+10+3+10+11+5+4+5+3+6+9+1+7+7+1+5+4+2+14+2+7</f>
        <v>161</v>
      </c>
      <c r="J83">
        <f>22+11+52+15+3+43+63+66+61+38+8+3+10+82+9+12+31+14+15+12</f>
        <v>570</v>
      </c>
      <c r="K83">
        <f t="shared" ref="K83:K93" si="20">H83-I83+J83</f>
        <v>742</v>
      </c>
      <c r="L83">
        <f t="shared" si="18"/>
        <v>190</v>
      </c>
      <c r="M83">
        <f t="shared" si="18"/>
        <v>611</v>
      </c>
      <c r="N83">
        <f t="shared" si="16"/>
        <v>0.59190031152647971</v>
      </c>
      <c r="O83">
        <f t="shared" si="17"/>
        <v>1.6894736842105265</v>
      </c>
      <c r="P83">
        <f t="shared" si="13"/>
        <v>0.5253682487725041</v>
      </c>
      <c r="Q83">
        <v>1.68</v>
      </c>
      <c r="R83">
        <v>2.34</v>
      </c>
      <c r="W83">
        <f t="shared" si="10"/>
        <v>1.68</v>
      </c>
      <c r="X83">
        <f t="shared" si="10"/>
        <v>2.34</v>
      </c>
    </row>
    <row r="84" spans="1:24" x14ac:dyDescent="0.25">
      <c r="A84" t="s">
        <v>37</v>
      </c>
      <c r="B84" t="s">
        <v>26</v>
      </c>
      <c r="C84">
        <v>2</v>
      </c>
      <c r="D84" t="str">
        <f t="shared" si="14"/>
        <v>LP_b_2</v>
      </c>
      <c r="E84">
        <f>7+26+10+16+1+1+9+12+9+1+7+10+17+1+1</f>
        <v>128</v>
      </c>
      <c r="F84">
        <f>4+4+2+1+4</f>
        <v>15</v>
      </c>
      <c r="G84">
        <f>4+4+2</f>
        <v>10</v>
      </c>
      <c r="H84">
        <f t="shared" si="15"/>
        <v>123</v>
      </c>
      <c r="I84">
        <f>3+15+1+10+3+7+5+3+1+1+1+5+6</f>
        <v>61</v>
      </c>
      <c r="J84">
        <f>13+2+18+9+14</f>
        <v>56</v>
      </c>
      <c r="K84">
        <f t="shared" si="20"/>
        <v>118</v>
      </c>
      <c r="L84">
        <f t="shared" si="18"/>
        <v>76</v>
      </c>
      <c r="M84">
        <f t="shared" si="18"/>
        <v>66</v>
      </c>
      <c r="N84">
        <f t="shared" si="16"/>
        <v>0.59375</v>
      </c>
      <c r="O84">
        <f t="shared" si="17"/>
        <v>1.6842105263157894</v>
      </c>
      <c r="P84">
        <f t="shared" si="13"/>
        <v>1.9393939393939394</v>
      </c>
      <c r="Q84">
        <v>2.1800000000000002</v>
      </c>
      <c r="R84">
        <v>2.94</v>
      </c>
      <c r="S84">
        <v>1.53</v>
      </c>
      <c r="T84">
        <v>1.73</v>
      </c>
      <c r="W84">
        <f t="shared" si="10"/>
        <v>3.71</v>
      </c>
      <c r="X84">
        <f t="shared" si="10"/>
        <v>4.67</v>
      </c>
    </row>
    <row r="85" spans="1:24" x14ac:dyDescent="0.25">
      <c r="A85" t="s">
        <v>37</v>
      </c>
      <c r="B85" t="s">
        <v>27</v>
      </c>
      <c r="C85">
        <v>1</v>
      </c>
      <c r="D85" t="str">
        <f t="shared" si="14"/>
        <v>LP_c_1</v>
      </c>
      <c r="E85">
        <f>37+1+1+5+1+10+6+4+9+7+1+11+1+19+9+1+3+17+12+2+5+4+17+1+14+1+17+16+14+7+4+9+5+12+1+9+1+1+16+1+7+16+16+3+8+4+2+17+9+7+3+8+1+1+5</f>
        <v>419</v>
      </c>
      <c r="F85">
        <f>16+1+7+1+1+1+2+1+4+2+1+1+1+1+8+10+2+2+1</f>
        <v>63</v>
      </c>
      <c r="G85">
        <f>2+2+3+3+3+2+3+2+2+4+3+2+2+7+3+3+4</f>
        <v>50</v>
      </c>
      <c r="H85">
        <f t="shared" si="15"/>
        <v>406</v>
      </c>
      <c r="I85">
        <f>19+1+1+1+1+1+3+6+4+2+4+1+3+5+10+1+6+6+2+1+1+4+8+6+1+5+3+1+5</f>
        <v>112</v>
      </c>
      <c r="J85">
        <f>13+6+34+7+3+17+8+5+38+58+7+22+15+11+20+11+12+14+13+5+11+3</f>
        <v>333</v>
      </c>
      <c r="K85">
        <f t="shared" si="20"/>
        <v>627</v>
      </c>
      <c r="L85">
        <f t="shared" si="18"/>
        <v>175</v>
      </c>
      <c r="M85">
        <f t="shared" si="18"/>
        <v>383</v>
      </c>
      <c r="N85">
        <f t="shared" si="16"/>
        <v>0.41766109785202865</v>
      </c>
      <c r="O85">
        <f t="shared" si="17"/>
        <v>2.3942857142857141</v>
      </c>
      <c r="P85">
        <f t="shared" si="13"/>
        <v>1.0939947780678851</v>
      </c>
      <c r="Q85">
        <v>2.5099999999999998</v>
      </c>
      <c r="R85">
        <v>3.44</v>
      </c>
      <c r="S85">
        <v>1.69</v>
      </c>
      <c r="T85">
        <v>1.89</v>
      </c>
      <c r="W85">
        <f t="shared" si="10"/>
        <v>4.1999999999999993</v>
      </c>
      <c r="X85">
        <f t="shared" si="10"/>
        <v>5.33</v>
      </c>
    </row>
    <row r="86" spans="1:24" x14ac:dyDescent="0.25">
      <c r="A86" t="s">
        <v>37</v>
      </c>
      <c r="B86" t="s">
        <v>27</v>
      </c>
      <c r="C86">
        <v>2</v>
      </c>
      <c r="D86" t="str">
        <f t="shared" si="14"/>
        <v>LP_c_2</v>
      </c>
      <c r="E86">
        <f>8+1+7+4+1+12+6+1+4+1+17+1+8+1+9+15+4+14+1+2+6+27+1+9+4+18+1+14+10+1+1+8</f>
        <v>217</v>
      </c>
      <c r="F86">
        <f>8+1+1+1+2+1</f>
        <v>14</v>
      </c>
      <c r="G86">
        <f>2+1+1+2+4+2+3+1+1+4</f>
        <v>21</v>
      </c>
      <c r="H86">
        <f t="shared" si="15"/>
        <v>224</v>
      </c>
      <c r="I86">
        <f>4+1+13+1+1+4+3+8+5+6+10+2+6+14+4+5+2+14+1+1+8</f>
        <v>113</v>
      </c>
      <c r="J86">
        <f>5+29+5+46+5+18+10+36+8</f>
        <v>162</v>
      </c>
      <c r="K86">
        <f t="shared" si="20"/>
        <v>273</v>
      </c>
      <c r="L86">
        <f t="shared" si="18"/>
        <v>127</v>
      </c>
      <c r="M86">
        <f t="shared" si="18"/>
        <v>183</v>
      </c>
      <c r="N86">
        <f t="shared" si="16"/>
        <v>0.58525345622119818</v>
      </c>
      <c r="O86">
        <f t="shared" si="17"/>
        <v>1.7086614173228345</v>
      </c>
      <c r="P86">
        <f t="shared" si="13"/>
        <v>1.1857923497267759</v>
      </c>
      <c r="Q86">
        <v>2.73</v>
      </c>
      <c r="R86">
        <v>3.69</v>
      </c>
      <c r="S86">
        <v>1.55</v>
      </c>
      <c r="T86">
        <v>2.1800000000000002</v>
      </c>
      <c r="W86">
        <f t="shared" si="10"/>
        <v>4.28</v>
      </c>
      <c r="X86">
        <f t="shared" si="10"/>
        <v>5.87</v>
      </c>
    </row>
    <row r="87" spans="1:24" x14ac:dyDescent="0.25">
      <c r="A87" t="s">
        <v>37</v>
      </c>
      <c r="B87" t="s">
        <v>28</v>
      </c>
      <c r="C87">
        <v>1</v>
      </c>
      <c r="D87" t="str">
        <f t="shared" si="14"/>
        <v>LP_d_1</v>
      </c>
      <c r="E87">
        <f>7+11+2+7+6+12+6+6+8+3+1+12+1+1+11+9+15+12+9+11+1+7+1+7+7+13+5+3+6+5+1+6+1+7+15+6+8+5+4+8+2+6+1+8+7+7+2+2+7+17+3+2+15+1+3+8+2+8+7+13+12+9+6+6+9+9+1+9+1+1+11+1+16</f>
        <v>478</v>
      </c>
      <c r="F87">
        <f>5+4+2+1+1+3+1+5+1+3+3+1+1+1+2+5+3+1+4+1+1+2+1+3+6+2+1+5+3+1+1+1+1+1</f>
        <v>77</v>
      </c>
      <c r="G87">
        <f>5+2+3+2+1+5+4+2+1+4+8+2+3+3+1+3+4+2+2+1+1+3+5</f>
        <v>67</v>
      </c>
      <c r="H87">
        <f t="shared" si="15"/>
        <v>468</v>
      </c>
      <c r="I87">
        <f>2+7+7+3+10+2+6+7+8+7+1+1+9+9+16+2+5+2+5+7+2+1+16+3+4+2+4+2+2+3+6+8+4+4+7+13+3+10+1+7+9+7+3+2+8+10</f>
        <v>257</v>
      </c>
      <c r="J87">
        <f>7+7+5+13+9+12+5+4+5</f>
        <v>67</v>
      </c>
      <c r="K87">
        <f t="shared" si="20"/>
        <v>278</v>
      </c>
      <c r="L87">
        <f t="shared" si="18"/>
        <v>334</v>
      </c>
      <c r="M87">
        <f t="shared" si="18"/>
        <v>134</v>
      </c>
      <c r="N87">
        <f t="shared" si="16"/>
        <v>0.69874476987447698</v>
      </c>
      <c r="O87">
        <f t="shared" si="17"/>
        <v>1.4311377245508983</v>
      </c>
      <c r="P87">
        <f t="shared" si="13"/>
        <v>3.5671641791044775</v>
      </c>
      <c r="Q87">
        <v>1.91</v>
      </c>
      <c r="R87">
        <v>2.04</v>
      </c>
      <c r="S87">
        <v>2.0499999999999998</v>
      </c>
      <c r="T87">
        <v>2.38</v>
      </c>
      <c r="W87">
        <f t="shared" si="10"/>
        <v>3.96</v>
      </c>
      <c r="X87">
        <f t="shared" si="10"/>
        <v>4.42</v>
      </c>
    </row>
    <row r="88" spans="1:24" x14ac:dyDescent="0.25">
      <c r="A88" t="s">
        <v>37</v>
      </c>
      <c r="B88" t="s">
        <v>28</v>
      </c>
      <c r="C88">
        <v>2</v>
      </c>
      <c r="D88" t="str">
        <f t="shared" si="14"/>
        <v>LP_d_2</v>
      </c>
      <c r="E88">
        <f>2+1+1+9+1+10+5+4+10+7+2+6+9+5+1+3+2+3+3+13+6+2+1+20+1+4+18+5+1+16+7+16+4+1+14+6+4+4+10+1+5+1+1+5+1+10+1+1+19+1+20+5+9+17+1+9+2+2+18+14+1+11+1+1</f>
        <v>394</v>
      </c>
      <c r="F88">
        <f>1+2+1+2+2+1+1+1+1+1+3+1+2+1+1+1+1+4+1</f>
        <v>28</v>
      </c>
      <c r="G88">
        <f>4+1+2+1+6+3+4+2+3+3+4+2+6+3+5+4+4+2</f>
        <v>59</v>
      </c>
      <c r="H88">
        <f t="shared" si="15"/>
        <v>425</v>
      </c>
      <c r="I88">
        <f>2+5+1+8+6+6+5+4+3+2+6+2+3+12+14+2+2+1+1+11+2+5+8+4+4+15+9+4+10+7+7+6+14+15+1+1+10+9+1+1+4+15+2+8+5</f>
        <v>263</v>
      </c>
      <c r="J88">
        <f>4+12+14+18+10+7+4+12+10+4+9+4+5+18+5+6+11+4+8+12</f>
        <v>177</v>
      </c>
      <c r="K88">
        <f t="shared" si="20"/>
        <v>339</v>
      </c>
      <c r="L88">
        <f t="shared" si="18"/>
        <v>291</v>
      </c>
      <c r="M88">
        <f t="shared" si="18"/>
        <v>236</v>
      </c>
      <c r="N88">
        <f t="shared" si="16"/>
        <v>0.73857868020304573</v>
      </c>
      <c r="O88">
        <f t="shared" si="17"/>
        <v>1.3539518900343641</v>
      </c>
      <c r="P88">
        <f t="shared" si="13"/>
        <v>1.6694915254237288</v>
      </c>
      <c r="Q88">
        <v>2.04</v>
      </c>
      <c r="R88">
        <v>2.73</v>
      </c>
      <c r="S88">
        <v>2.33</v>
      </c>
      <c r="T88">
        <v>3.07</v>
      </c>
      <c r="W88">
        <f t="shared" si="10"/>
        <v>4.37</v>
      </c>
      <c r="X88">
        <f t="shared" si="10"/>
        <v>5.8</v>
      </c>
    </row>
    <row r="89" spans="1:24" x14ac:dyDescent="0.25">
      <c r="A89" t="s">
        <v>37</v>
      </c>
      <c r="B89" t="s">
        <v>30</v>
      </c>
      <c r="C89">
        <v>1</v>
      </c>
      <c r="D89" t="str">
        <f t="shared" si="14"/>
        <v>LP_e_1</v>
      </c>
      <c r="E89">
        <f>6+1+4+5+4+1+2+1+1+5+2+4+1+3+5+1+15+1+1+20+14+1+10+8+1+6+3+6+1+6+1+1+5+1+10+12+4+5+6+4+1+1+4+1+1+4+20+12+1+16+1+1+3+4+6+4+5+1+21+4</f>
        <v>299</v>
      </c>
      <c r="F89">
        <f>1+2+1+2+1+1+1+4+1+1+3+1+4+3+1+2+1+4</f>
        <v>34</v>
      </c>
      <c r="G89">
        <f>1+2+5+6+3+2+7+4+1+1+2+4+4+4+2+4+1+3+1+1+1+3</f>
        <v>62</v>
      </c>
      <c r="H89">
        <f t="shared" si="15"/>
        <v>327</v>
      </c>
      <c r="I89">
        <f>1+11+1+1+3+1+12+1+1+9+8+1+4+3+2+2+2+1+1+1+12+2+2+10+1+1+1+1+1+1+1+9</f>
        <v>108</v>
      </c>
      <c r="J89">
        <f>1+52+20+2+39+59+85+8+15+27+16+22+14+13+7+176+48+20+33+91+9+15+6+3</f>
        <v>781</v>
      </c>
      <c r="K89">
        <f t="shared" si="20"/>
        <v>1000</v>
      </c>
      <c r="L89">
        <f t="shared" si="18"/>
        <v>142</v>
      </c>
      <c r="M89">
        <f t="shared" si="18"/>
        <v>843</v>
      </c>
      <c r="N89">
        <f t="shared" si="16"/>
        <v>0.47491638795986624</v>
      </c>
      <c r="O89">
        <f t="shared" si="17"/>
        <v>2.1056338028169015</v>
      </c>
      <c r="P89">
        <f t="shared" si="13"/>
        <v>0.35468564650059309</v>
      </c>
      <c r="Q89">
        <v>1.85</v>
      </c>
      <c r="R89">
        <v>3.37</v>
      </c>
      <c r="S89">
        <v>1.18</v>
      </c>
      <c r="T89">
        <v>2.41</v>
      </c>
      <c r="W89">
        <f t="shared" si="10"/>
        <v>3.0300000000000002</v>
      </c>
      <c r="X89">
        <f t="shared" si="10"/>
        <v>5.78</v>
      </c>
    </row>
    <row r="90" spans="1:24" x14ac:dyDescent="0.25">
      <c r="A90" t="s">
        <v>37</v>
      </c>
      <c r="B90" t="s">
        <v>30</v>
      </c>
      <c r="C90">
        <v>2</v>
      </c>
      <c r="D90" t="str">
        <f t="shared" si="14"/>
        <v>LP_e_2</v>
      </c>
      <c r="E90">
        <f>7+1+14+4+15+1+3+1+7+1+1+5+1+1+1+3+5+4+6+6+8+6+5+4+6+5+3+1+1+4+4+21+2+4</f>
        <v>161</v>
      </c>
      <c r="F90">
        <f>1+1+4+1+1+13+2+4</f>
        <v>27</v>
      </c>
      <c r="G90">
        <f>3+3+3+5+4+3+8+2+4+5+4+6+3+2+4+4</f>
        <v>63</v>
      </c>
      <c r="H90">
        <f t="shared" si="15"/>
        <v>197</v>
      </c>
      <c r="I90">
        <f>2+13+12+2+3+3+3+3+2+1+7+1+8</f>
        <v>60</v>
      </c>
      <c r="J90">
        <f>3+35+4+40+2+4+106+17+3+129+13+42+12</f>
        <v>410</v>
      </c>
      <c r="K90">
        <f t="shared" si="20"/>
        <v>547</v>
      </c>
      <c r="L90">
        <f t="shared" si="18"/>
        <v>87</v>
      </c>
      <c r="M90">
        <f t="shared" si="18"/>
        <v>473</v>
      </c>
      <c r="N90">
        <f t="shared" si="16"/>
        <v>0.54037267080745344</v>
      </c>
      <c r="O90">
        <f t="shared" si="17"/>
        <v>1.850574712643678</v>
      </c>
      <c r="P90">
        <f t="shared" si="13"/>
        <v>0.34038054968287523</v>
      </c>
      <c r="Q90">
        <v>1.71</v>
      </c>
      <c r="R90">
        <v>3.04</v>
      </c>
      <c r="S90">
        <v>2.0699999999999998</v>
      </c>
      <c r="T90">
        <v>3.16</v>
      </c>
      <c r="U90">
        <v>0.92</v>
      </c>
      <c r="V90">
        <v>2.4</v>
      </c>
      <c r="W90">
        <f t="shared" si="10"/>
        <v>4.7</v>
      </c>
      <c r="X90">
        <f t="shared" si="10"/>
        <v>8.6</v>
      </c>
    </row>
    <row r="91" spans="1:24" x14ac:dyDescent="0.25">
      <c r="A91" t="s">
        <v>38</v>
      </c>
      <c r="B91" t="s">
        <v>25</v>
      </c>
      <c r="C91">
        <v>1</v>
      </c>
      <c r="D91" t="str">
        <f t="shared" si="14"/>
        <v>PL_a_1</v>
      </c>
      <c r="E91">
        <f>4+15+7+30+8+5+28+10+15+4+10+25+3+15+1+3+21+13+10+11+18+22</f>
        <v>278</v>
      </c>
      <c r="F91">
        <f>4+13+6+5+1+5+1+2+4+6+1+3+2+72</f>
        <v>125</v>
      </c>
      <c r="G91">
        <f>3+4+4+2+2+5</f>
        <v>20</v>
      </c>
      <c r="H91">
        <f t="shared" si="15"/>
        <v>173</v>
      </c>
      <c r="I91">
        <f>2+3+5+1+1+1+2+1</f>
        <v>16</v>
      </c>
      <c r="J91">
        <f>12+25+20+7+25+28+28+7+3</f>
        <v>155</v>
      </c>
      <c r="K91">
        <f t="shared" si="20"/>
        <v>312</v>
      </c>
      <c r="L91">
        <f t="shared" si="18"/>
        <v>141</v>
      </c>
      <c r="M91">
        <f t="shared" si="18"/>
        <v>175</v>
      </c>
      <c r="N91">
        <f t="shared" si="16"/>
        <v>0.5071942446043165</v>
      </c>
      <c r="O91">
        <f t="shared" si="17"/>
        <v>1.971631205673759</v>
      </c>
      <c r="P91">
        <f t="shared" si="13"/>
        <v>1.5885714285714287</v>
      </c>
      <c r="Q91">
        <v>5.08</v>
      </c>
      <c r="R91">
        <v>5.2</v>
      </c>
      <c r="S91">
        <v>3.01</v>
      </c>
      <c r="T91">
        <v>3.29</v>
      </c>
      <c r="W91">
        <f t="shared" si="10"/>
        <v>8.09</v>
      </c>
      <c r="X91">
        <f t="shared" si="10"/>
        <v>8.49</v>
      </c>
    </row>
    <row r="92" spans="1:24" x14ac:dyDescent="0.25">
      <c r="A92" t="s">
        <v>38</v>
      </c>
      <c r="B92" t="s">
        <v>25</v>
      </c>
      <c r="C92">
        <v>2</v>
      </c>
      <c r="D92" t="str">
        <f t="shared" si="14"/>
        <v>PL_a_2</v>
      </c>
      <c r="E92">
        <f>8+8+3+5+14+4+3+9+33+47+20+16+17+21+5+27+12+12+5</f>
        <v>269</v>
      </c>
      <c r="F92">
        <f>3+5+2+5+4+20+3+2+4+1+3+2+3</f>
        <v>57</v>
      </c>
      <c r="G92">
        <f>2+4+1</f>
        <v>7</v>
      </c>
      <c r="H92">
        <f t="shared" si="15"/>
        <v>219</v>
      </c>
      <c r="I92">
        <f>3+5+1+1+1+2+3</f>
        <v>16</v>
      </c>
      <c r="J92">
        <f>3+7+6+24+26+27+10+15+5+7+4</f>
        <v>134</v>
      </c>
      <c r="K92">
        <f t="shared" si="20"/>
        <v>337</v>
      </c>
      <c r="L92">
        <f t="shared" si="18"/>
        <v>73</v>
      </c>
      <c r="M92">
        <f t="shared" si="18"/>
        <v>141</v>
      </c>
      <c r="N92">
        <f>L92/E92</f>
        <v>0.27137546468401486</v>
      </c>
      <c r="O92">
        <f t="shared" si="17"/>
        <v>3.6849315068493151</v>
      </c>
      <c r="P92">
        <f t="shared" si="13"/>
        <v>1.9078014184397163</v>
      </c>
      <c r="Q92">
        <v>4.79</v>
      </c>
      <c r="R92">
        <v>5.18</v>
      </c>
      <c r="S92">
        <v>4.1900000000000004</v>
      </c>
      <c r="T92">
        <v>4.43</v>
      </c>
      <c r="U92">
        <v>3.19</v>
      </c>
      <c r="V92">
        <v>3.59</v>
      </c>
      <c r="W92">
        <f t="shared" ref="W92:X154" si="21">Q92+S92+U92</f>
        <v>12.17</v>
      </c>
      <c r="X92">
        <f t="shared" si="21"/>
        <v>13.2</v>
      </c>
    </row>
    <row r="93" spans="1:24" x14ac:dyDescent="0.25">
      <c r="A93" t="s">
        <v>38</v>
      </c>
      <c r="B93" t="s">
        <v>25</v>
      </c>
      <c r="C93">
        <v>3</v>
      </c>
      <c r="D93" t="str">
        <f t="shared" si="14"/>
        <v>PL_a_3</v>
      </c>
      <c r="E93">
        <f>20+6+8+28</f>
        <v>62</v>
      </c>
      <c r="F93">
        <f>5+1+3+5</f>
        <v>14</v>
      </c>
      <c r="G93">
        <v>1</v>
      </c>
      <c r="H93">
        <f t="shared" si="15"/>
        <v>49</v>
      </c>
      <c r="I93">
        <f>1+3+1+3</f>
        <v>8</v>
      </c>
      <c r="J93">
        <f>9+10</f>
        <v>19</v>
      </c>
      <c r="K93">
        <f t="shared" si="20"/>
        <v>60</v>
      </c>
      <c r="L93">
        <f t="shared" si="18"/>
        <v>22</v>
      </c>
      <c r="M93">
        <f t="shared" si="18"/>
        <v>20</v>
      </c>
      <c r="N93">
        <f t="shared" si="16"/>
        <v>0.35483870967741937</v>
      </c>
      <c r="O93">
        <f t="shared" si="17"/>
        <v>2.8181818181818179</v>
      </c>
      <c r="P93">
        <f t="shared" si="13"/>
        <v>3.1</v>
      </c>
      <c r="Q93">
        <v>3.09</v>
      </c>
      <c r="R93">
        <v>2.83</v>
      </c>
      <c r="W93">
        <f t="shared" si="21"/>
        <v>3.09</v>
      </c>
      <c r="X93">
        <f t="shared" si="21"/>
        <v>2.83</v>
      </c>
    </row>
    <row r="94" spans="1:24" x14ac:dyDescent="0.25">
      <c r="A94" t="s">
        <v>38</v>
      </c>
      <c r="B94" t="s">
        <v>26</v>
      </c>
      <c r="C94">
        <v>1</v>
      </c>
      <c r="D94" t="str">
        <f t="shared" si="14"/>
        <v>PL_b_1</v>
      </c>
      <c r="E94">
        <f>20+31+59+17+16+41+25+32+18+26+22+21+12+37+10+30+32+15+11+28+16+17+44+28+14</f>
        <v>622</v>
      </c>
      <c r="F94">
        <f>6+28+19+1+16+16+11+5+15+8+2+20+11+19+14</f>
        <v>191</v>
      </c>
      <c r="G94">
        <f>5+5+1+4+2</f>
        <v>17</v>
      </c>
      <c r="H94">
        <f t="shared" si="15"/>
        <v>448</v>
      </c>
      <c r="I94">
        <f>1+1+2+6+1+12+4+2</f>
        <v>29</v>
      </c>
      <c r="J94">
        <f>21+32+24+5+7+28+12+8+20+23+13+3</f>
        <v>196</v>
      </c>
      <c r="K94">
        <f>H94-I94+J94</f>
        <v>615</v>
      </c>
      <c r="L94">
        <f t="shared" si="18"/>
        <v>220</v>
      </c>
      <c r="M94">
        <f t="shared" si="18"/>
        <v>213</v>
      </c>
      <c r="N94">
        <f t="shared" si="16"/>
        <v>0.3536977491961415</v>
      </c>
      <c r="O94">
        <f t="shared" si="17"/>
        <v>2.8272727272727272</v>
      </c>
      <c r="P94">
        <f t="shared" si="13"/>
        <v>2.92018779342723</v>
      </c>
      <c r="Q94">
        <v>8.5</v>
      </c>
      <c r="R94">
        <v>8.41</v>
      </c>
      <c r="S94">
        <v>5.6</v>
      </c>
      <c r="T94">
        <v>5.68</v>
      </c>
      <c r="U94">
        <v>3.47</v>
      </c>
      <c r="V94">
        <v>3.61</v>
      </c>
      <c r="W94">
        <f t="shared" si="21"/>
        <v>17.57</v>
      </c>
      <c r="X94">
        <f t="shared" si="21"/>
        <v>17.7</v>
      </c>
    </row>
    <row r="95" spans="1:24" x14ac:dyDescent="0.25">
      <c r="A95" t="s">
        <v>38</v>
      </c>
      <c r="B95" t="s">
        <v>26</v>
      </c>
      <c r="C95">
        <v>2</v>
      </c>
      <c r="D95" t="str">
        <f t="shared" si="14"/>
        <v>PL_b_2</v>
      </c>
      <c r="E95">
        <f>14+31+52+16+73+8+25+10+7+21+79+8+12+30+10+2+23+24+25+30+2+63+24</f>
        <v>589</v>
      </c>
      <c r="F95">
        <f>3+16+40+24+16+20+4+10+1+15+1+9+10</f>
        <v>169</v>
      </c>
      <c r="G95">
        <f>4+4+11+4</f>
        <v>23</v>
      </c>
      <c r="H95">
        <f t="shared" si="15"/>
        <v>443</v>
      </c>
      <c r="I95">
        <f>3+1+11+1+12+7+6+15+9</f>
        <v>65</v>
      </c>
      <c r="J95">
        <f>31+32+51+16+35+10+37+5+4+5+38+25+24+22</f>
        <v>335</v>
      </c>
      <c r="K95">
        <f>H95-I95+J95</f>
        <v>713</v>
      </c>
      <c r="L95">
        <f t="shared" si="18"/>
        <v>234</v>
      </c>
      <c r="M95">
        <f t="shared" si="18"/>
        <v>358</v>
      </c>
      <c r="N95">
        <f t="shared" si="16"/>
        <v>0.39728353140916806</v>
      </c>
      <c r="O95">
        <f t="shared" si="17"/>
        <v>2.5170940170940175</v>
      </c>
      <c r="P95">
        <f t="shared" si="13"/>
        <v>1.6452513966480449</v>
      </c>
      <c r="Q95">
        <v>8.5500000000000007</v>
      </c>
      <c r="R95">
        <v>8.65</v>
      </c>
      <c r="S95">
        <v>6.62</v>
      </c>
      <c r="T95">
        <v>7.68</v>
      </c>
      <c r="U95">
        <v>4.0999999999999996</v>
      </c>
      <c r="V95">
        <v>4.97</v>
      </c>
      <c r="W95">
        <f t="shared" si="21"/>
        <v>19.270000000000003</v>
      </c>
      <c r="X95">
        <f t="shared" si="21"/>
        <v>21.299999999999997</v>
      </c>
    </row>
    <row r="96" spans="1:24" x14ac:dyDescent="0.25">
      <c r="A96" t="s">
        <v>38</v>
      </c>
      <c r="B96" t="s">
        <v>27</v>
      </c>
      <c r="C96">
        <v>1</v>
      </c>
      <c r="D96" t="str">
        <f t="shared" si="14"/>
        <v>PL_c_1</v>
      </c>
      <c r="E96">
        <f>15+13+1+2+13+11+1+12+28+8+17+27+23+10+30+46</f>
        <v>257</v>
      </c>
      <c r="F96">
        <f>15+1+9+2+4+18+8+7+6+17+12</f>
        <v>99</v>
      </c>
      <c r="G96">
        <f>19+8+5+3+8+10+9+3</f>
        <v>65</v>
      </c>
      <c r="H96">
        <f t="shared" si="15"/>
        <v>223</v>
      </c>
      <c r="I96">
        <f>4+1+2+2+2+10</f>
        <v>21</v>
      </c>
      <c r="J96">
        <f>11+7+4+5+3+5+5+8+10+11+18+8</f>
        <v>95</v>
      </c>
      <c r="K96">
        <f t="shared" ref="K96:K99" si="22">H96-I96+J96</f>
        <v>297</v>
      </c>
      <c r="L96">
        <f t="shared" si="18"/>
        <v>120</v>
      </c>
      <c r="M96">
        <f t="shared" si="18"/>
        <v>160</v>
      </c>
      <c r="N96">
        <f t="shared" si="16"/>
        <v>0.46692607003891051</v>
      </c>
      <c r="O96">
        <f t="shared" si="17"/>
        <v>2.1416666666666666</v>
      </c>
      <c r="P96">
        <f t="shared" si="13"/>
        <v>1.60625</v>
      </c>
      <c r="Q96">
        <v>4.3600000000000003</v>
      </c>
      <c r="R96">
        <v>4.3600000000000003</v>
      </c>
      <c r="S96">
        <v>5.73</v>
      </c>
      <c r="T96">
        <v>5.95</v>
      </c>
      <c r="U96">
        <v>3.34</v>
      </c>
      <c r="V96">
        <v>3.69</v>
      </c>
      <c r="W96">
        <f t="shared" si="21"/>
        <v>13.43</v>
      </c>
      <c r="X96">
        <f t="shared" si="21"/>
        <v>14</v>
      </c>
    </row>
    <row r="97" spans="1:24" x14ac:dyDescent="0.25">
      <c r="A97" t="s">
        <v>38</v>
      </c>
      <c r="B97" t="s">
        <v>27</v>
      </c>
      <c r="C97">
        <v>2</v>
      </c>
      <c r="D97" t="str">
        <f t="shared" si="14"/>
        <v>PL_c_2</v>
      </c>
      <c r="E97">
        <f>2+9+38+15+29+26+44+31+18+12+29+30</f>
        <v>283</v>
      </c>
      <c r="F97">
        <f>2+9+4+7+12+4+5+6+10+14</f>
        <v>73</v>
      </c>
      <c r="G97">
        <f>3+9+3+4</f>
        <v>19</v>
      </c>
      <c r="H97">
        <f t="shared" si="15"/>
        <v>229</v>
      </c>
      <c r="I97">
        <f>1+6+4+1</f>
        <v>12</v>
      </c>
      <c r="J97">
        <f>7+13+6+13+22</f>
        <v>61</v>
      </c>
      <c r="K97">
        <f t="shared" si="22"/>
        <v>278</v>
      </c>
      <c r="L97">
        <f t="shared" si="18"/>
        <v>85</v>
      </c>
      <c r="M97">
        <f t="shared" si="18"/>
        <v>80</v>
      </c>
      <c r="N97">
        <f t="shared" si="16"/>
        <v>0.30035335689045939</v>
      </c>
      <c r="O97">
        <f t="shared" si="17"/>
        <v>3.3294117647058821</v>
      </c>
      <c r="P97">
        <f t="shared" si="13"/>
        <v>3.5375000000000001</v>
      </c>
      <c r="Q97">
        <v>4.78</v>
      </c>
      <c r="R97">
        <v>4.63</v>
      </c>
      <c r="S97">
        <v>2.33</v>
      </c>
      <c r="T97">
        <v>2.31</v>
      </c>
      <c r="W97">
        <f t="shared" si="21"/>
        <v>7.11</v>
      </c>
      <c r="X97">
        <f t="shared" si="21"/>
        <v>6.9399999999999995</v>
      </c>
    </row>
    <row r="98" spans="1:24" x14ac:dyDescent="0.25">
      <c r="A98" t="s">
        <v>38</v>
      </c>
      <c r="B98" t="s">
        <v>28</v>
      </c>
      <c r="C98">
        <v>1</v>
      </c>
      <c r="D98" t="str">
        <f t="shared" si="14"/>
        <v>PL_d_1</v>
      </c>
      <c r="E98">
        <f>15+11+2+32+33+20+9+31+8+18+14+9+16+34+20+17+27+38+16+18+69+33</f>
        <v>490</v>
      </c>
      <c r="F98">
        <f>15+11+9+14+7+6+31+1+10+4+33+9+29+4+2+13+16+1+31+25</f>
        <v>271</v>
      </c>
      <c r="G98">
        <f>2+7+6</f>
        <v>15</v>
      </c>
      <c r="H98">
        <f t="shared" si="15"/>
        <v>234</v>
      </c>
      <c r="I98">
        <f>1+2+1+2+5</f>
        <v>11</v>
      </c>
      <c r="J98">
        <f>4+3+15+4</f>
        <v>26</v>
      </c>
      <c r="K98">
        <f t="shared" si="22"/>
        <v>249</v>
      </c>
      <c r="L98">
        <f t="shared" si="18"/>
        <v>282</v>
      </c>
      <c r="M98">
        <f t="shared" si="18"/>
        <v>41</v>
      </c>
      <c r="N98">
        <f t="shared" si="16"/>
        <v>0.57551020408163267</v>
      </c>
      <c r="O98">
        <f t="shared" si="17"/>
        <v>1.7375886524822695</v>
      </c>
      <c r="P98">
        <f t="shared" si="13"/>
        <v>11.951219512195122</v>
      </c>
      <c r="Q98">
        <v>6.02</v>
      </c>
      <c r="R98">
        <v>6.06</v>
      </c>
      <c r="S98">
        <v>3.87</v>
      </c>
      <c r="T98">
        <v>3.78</v>
      </c>
      <c r="W98">
        <f t="shared" si="21"/>
        <v>9.89</v>
      </c>
      <c r="X98">
        <f t="shared" si="21"/>
        <v>9.84</v>
      </c>
    </row>
    <row r="99" spans="1:24" x14ac:dyDescent="0.25">
      <c r="A99" t="s">
        <v>38</v>
      </c>
      <c r="B99" t="s">
        <v>28</v>
      </c>
      <c r="C99">
        <v>2</v>
      </c>
      <c r="D99" t="str">
        <f t="shared" si="14"/>
        <v>PL_d_2</v>
      </c>
      <c r="E99">
        <f>3+16+9+52+12+17+9+75+21+23+20+9+3+15+33+30+53+20+9+48+22+9+71+65+39+8+29+37</f>
        <v>757</v>
      </c>
      <c r="F99">
        <f>3+16+13+8+2+19+1+1+4+3+13+8+20+13+9+15+1+34+20+12+8+3+28</f>
        <v>254</v>
      </c>
      <c r="G99">
        <f>4</f>
        <v>4</v>
      </c>
      <c r="H99">
        <f t="shared" si="15"/>
        <v>507</v>
      </c>
      <c r="I99">
        <f>2+1+9+4+8+5+1+10+3+4+5</f>
        <v>52</v>
      </c>
      <c r="J99">
        <f>9+10+3+5+29+12+29+15+8</f>
        <v>120</v>
      </c>
      <c r="K99">
        <f t="shared" si="22"/>
        <v>575</v>
      </c>
      <c r="L99">
        <f t="shared" si="18"/>
        <v>306</v>
      </c>
      <c r="M99">
        <f t="shared" si="18"/>
        <v>124</v>
      </c>
      <c r="N99">
        <f t="shared" si="16"/>
        <v>0.40422721268163803</v>
      </c>
      <c r="O99">
        <f t="shared" si="17"/>
        <v>2.4738562091503269</v>
      </c>
      <c r="P99">
        <f t="shared" si="13"/>
        <v>6.104838709677419</v>
      </c>
      <c r="Q99">
        <v>9.1300000000000008</v>
      </c>
      <c r="R99">
        <v>9.67</v>
      </c>
      <c r="W99">
        <f t="shared" si="21"/>
        <v>9.1300000000000008</v>
      </c>
      <c r="X99">
        <f t="shared" si="21"/>
        <v>9.67</v>
      </c>
    </row>
    <row r="100" spans="1:24" x14ac:dyDescent="0.25">
      <c r="A100" t="s">
        <v>38</v>
      </c>
      <c r="B100" t="s">
        <v>30</v>
      </c>
      <c r="C100">
        <v>1</v>
      </c>
      <c r="D100" t="str">
        <f t="shared" si="14"/>
        <v>PL_e_1</v>
      </c>
      <c r="E100">
        <f>1+21+5+18+20+15+94+15+40+21+25+19+29+10+11+12+48+25+4+5+8+23+11+38+19+30+35+20+25+22+64+18</f>
        <v>751</v>
      </c>
      <c r="F100">
        <f>1+1+4+3+1+8+12+2+19+18</f>
        <v>69</v>
      </c>
      <c r="G100">
        <f>3+8+5+7+2+8+8+7+6+4+3+1+5+2+12</f>
        <v>81</v>
      </c>
      <c r="H100">
        <f t="shared" si="15"/>
        <v>763</v>
      </c>
      <c r="I100">
        <f>3+3+5+9+4+1+3+3+3</f>
        <v>34</v>
      </c>
      <c r="J100">
        <f>12+16+31+12+15+8+11+15+8+11+5+32+8+8+4</f>
        <v>196</v>
      </c>
      <c r="K100">
        <f>H100-I100+J100</f>
        <v>925</v>
      </c>
      <c r="L100">
        <f t="shared" si="18"/>
        <v>103</v>
      </c>
      <c r="M100">
        <f t="shared" si="18"/>
        <v>277</v>
      </c>
      <c r="N100">
        <f t="shared" si="16"/>
        <v>0.13715046604527298</v>
      </c>
      <c r="O100">
        <f t="shared" si="17"/>
        <v>7.29126213592233</v>
      </c>
      <c r="P100">
        <f t="shared" si="13"/>
        <v>2.7111913357400721</v>
      </c>
      <c r="Q100">
        <v>7.98</v>
      </c>
      <c r="R100">
        <v>7.68</v>
      </c>
      <c r="S100">
        <v>4.55</v>
      </c>
      <c r="T100">
        <v>4.6100000000000003</v>
      </c>
      <c r="U100">
        <v>5.93</v>
      </c>
      <c r="V100">
        <v>6</v>
      </c>
      <c r="W100">
        <f t="shared" si="21"/>
        <v>18.46</v>
      </c>
      <c r="X100">
        <f t="shared" si="21"/>
        <v>18.29</v>
      </c>
    </row>
    <row r="101" spans="1:24" x14ac:dyDescent="0.25">
      <c r="A101" t="s">
        <v>39</v>
      </c>
      <c r="B101" t="s">
        <v>25</v>
      </c>
      <c r="C101">
        <v>1</v>
      </c>
      <c r="D101" t="str">
        <f t="shared" si="14"/>
        <v>PU_a_1</v>
      </c>
      <c r="E101">
        <f>14+16+6+4+4+3+7+4</f>
        <v>58</v>
      </c>
      <c r="F101">
        <f>5</f>
        <v>5</v>
      </c>
      <c r="G101">
        <f>5+2+3+5+4</f>
        <v>19</v>
      </c>
      <c r="H101">
        <f t="shared" si="15"/>
        <v>72</v>
      </c>
      <c r="I101">
        <f>2+1+1+4</f>
        <v>8</v>
      </c>
      <c r="J101">
        <f>4</f>
        <v>4</v>
      </c>
      <c r="K101">
        <f t="shared" ref="K101:K160" si="23">H101-I101+J101</f>
        <v>68</v>
      </c>
      <c r="L101">
        <f t="shared" si="18"/>
        <v>13</v>
      </c>
      <c r="M101">
        <f t="shared" si="18"/>
        <v>23</v>
      </c>
      <c r="N101">
        <f t="shared" si="16"/>
        <v>0.22413793103448276</v>
      </c>
      <c r="O101">
        <f t="shared" si="17"/>
        <v>4.4615384615384617</v>
      </c>
      <c r="P101">
        <f t="shared" si="13"/>
        <v>2.5217391304347827</v>
      </c>
      <c r="Q101">
        <v>5.9</v>
      </c>
      <c r="R101">
        <v>6.51</v>
      </c>
      <c r="S101">
        <v>4.8600000000000003</v>
      </c>
      <c r="T101">
        <v>5.53</v>
      </c>
      <c r="U101">
        <v>3.37</v>
      </c>
      <c r="V101">
        <v>3.51</v>
      </c>
      <c r="W101">
        <f t="shared" si="21"/>
        <v>14.130000000000003</v>
      </c>
      <c r="X101">
        <f t="shared" si="21"/>
        <v>15.549999999999999</v>
      </c>
    </row>
    <row r="102" spans="1:24" x14ac:dyDescent="0.25">
      <c r="A102" t="s">
        <v>39</v>
      </c>
      <c r="B102" t="s">
        <v>25</v>
      </c>
      <c r="C102">
        <v>2</v>
      </c>
      <c r="D102" t="str">
        <f t="shared" si="14"/>
        <v>PU_a_2</v>
      </c>
      <c r="E102">
        <f>7+3+10+7+2+3+3</f>
        <v>35</v>
      </c>
      <c r="F102">
        <f>3+1</f>
        <v>4</v>
      </c>
      <c r="G102">
        <f>1+2</f>
        <v>3</v>
      </c>
      <c r="H102">
        <f t="shared" si="15"/>
        <v>34</v>
      </c>
      <c r="I102">
        <f>1</f>
        <v>1</v>
      </c>
      <c r="J102">
        <v>0</v>
      </c>
      <c r="K102">
        <f t="shared" si="23"/>
        <v>33</v>
      </c>
      <c r="L102">
        <f t="shared" si="18"/>
        <v>5</v>
      </c>
      <c r="M102">
        <f t="shared" si="18"/>
        <v>3</v>
      </c>
      <c r="N102">
        <f t="shared" si="16"/>
        <v>0.14285714285714285</v>
      </c>
      <c r="O102">
        <f t="shared" si="17"/>
        <v>7</v>
      </c>
      <c r="P102">
        <f t="shared" si="13"/>
        <v>11.666666666666666</v>
      </c>
      <c r="Q102">
        <v>6.56</v>
      </c>
      <c r="R102">
        <v>6.41</v>
      </c>
      <c r="S102">
        <v>4.6399999999999997</v>
      </c>
      <c r="T102">
        <v>4.92</v>
      </c>
      <c r="U102">
        <v>3.88</v>
      </c>
      <c r="V102">
        <v>3.93</v>
      </c>
      <c r="W102">
        <f t="shared" si="21"/>
        <v>15.079999999999998</v>
      </c>
      <c r="X102">
        <f t="shared" si="21"/>
        <v>15.26</v>
      </c>
    </row>
    <row r="103" spans="1:24" x14ac:dyDescent="0.25">
      <c r="A103" t="s">
        <v>39</v>
      </c>
      <c r="B103" t="s">
        <v>26</v>
      </c>
      <c r="C103">
        <v>1</v>
      </c>
      <c r="D103" t="str">
        <f t="shared" si="14"/>
        <v>PU_b_1</v>
      </c>
      <c r="E103">
        <f>5+8+10+14+11</f>
        <v>48</v>
      </c>
      <c r="F103">
        <f>2</f>
        <v>2</v>
      </c>
      <c r="G103">
        <v>7</v>
      </c>
      <c r="H103">
        <f t="shared" si="15"/>
        <v>53</v>
      </c>
      <c r="I103">
        <f>2+3+1+10+5</f>
        <v>21</v>
      </c>
      <c r="J103">
        <f>3+4</f>
        <v>7</v>
      </c>
      <c r="K103">
        <f t="shared" si="23"/>
        <v>39</v>
      </c>
      <c r="L103">
        <f t="shared" si="18"/>
        <v>23</v>
      </c>
      <c r="M103">
        <f t="shared" si="18"/>
        <v>14</v>
      </c>
      <c r="N103">
        <f t="shared" si="16"/>
        <v>0.47916666666666669</v>
      </c>
      <c r="O103">
        <f t="shared" si="17"/>
        <v>2.0869565217391304</v>
      </c>
      <c r="P103">
        <f t="shared" si="13"/>
        <v>3.4285714285714284</v>
      </c>
      <c r="Q103">
        <v>5.8</v>
      </c>
      <c r="R103">
        <v>6.41</v>
      </c>
      <c r="S103">
        <v>3.77</v>
      </c>
      <c r="T103">
        <v>3.83</v>
      </c>
      <c r="U103">
        <v>5.5</v>
      </c>
      <c r="V103">
        <v>5.55</v>
      </c>
      <c r="W103">
        <f t="shared" si="21"/>
        <v>15.07</v>
      </c>
      <c r="X103">
        <f t="shared" si="21"/>
        <v>15.79</v>
      </c>
    </row>
    <row r="104" spans="1:24" x14ac:dyDescent="0.25">
      <c r="A104" t="s">
        <v>39</v>
      </c>
      <c r="B104" t="s">
        <v>27</v>
      </c>
      <c r="C104">
        <v>1</v>
      </c>
      <c r="D104" t="str">
        <f t="shared" si="14"/>
        <v>PU_c_1</v>
      </c>
      <c r="E104">
        <f>15+13+6+4+5</f>
        <v>43</v>
      </c>
      <c r="F104">
        <f>11+7+1+5</f>
        <v>24</v>
      </c>
      <c r="G104">
        <f>4+4+3+6+4+5+5</f>
        <v>31</v>
      </c>
      <c r="H104">
        <f t="shared" si="15"/>
        <v>50</v>
      </c>
      <c r="I104">
        <v>1</v>
      </c>
      <c r="J104">
        <v>1</v>
      </c>
      <c r="K104">
        <f t="shared" si="23"/>
        <v>50</v>
      </c>
      <c r="L104">
        <f t="shared" si="18"/>
        <v>25</v>
      </c>
      <c r="M104">
        <f t="shared" si="18"/>
        <v>32</v>
      </c>
      <c r="N104">
        <f t="shared" si="16"/>
        <v>0.58139534883720934</v>
      </c>
      <c r="O104">
        <f t="shared" si="17"/>
        <v>1.72</v>
      </c>
      <c r="P104">
        <f t="shared" si="13"/>
        <v>1.34375</v>
      </c>
      <c r="Q104">
        <v>6.31</v>
      </c>
      <c r="R104">
        <v>6.41</v>
      </c>
      <c r="S104">
        <v>4.5999999999999996</v>
      </c>
      <c r="T104">
        <v>4.82</v>
      </c>
      <c r="W104">
        <f t="shared" si="21"/>
        <v>10.91</v>
      </c>
      <c r="X104">
        <f t="shared" si="21"/>
        <v>11.23</v>
      </c>
    </row>
    <row r="105" spans="1:24" x14ac:dyDescent="0.25">
      <c r="A105" t="s">
        <v>39</v>
      </c>
      <c r="B105" t="s">
        <v>27</v>
      </c>
      <c r="C105">
        <v>2</v>
      </c>
      <c r="D105" t="str">
        <f t="shared" si="14"/>
        <v>PU_c_2</v>
      </c>
      <c r="E105">
        <f>2+6+7+6+11+9</f>
        <v>41</v>
      </c>
      <c r="F105">
        <f>2+5+1+2+2</f>
        <v>12</v>
      </c>
      <c r="G105">
        <f>5+4+4+5</f>
        <v>18</v>
      </c>
      <c r="H105">
        <f t="shared" si="15"/>
        <v>47</v>
      </c>
      <c r="I105">
        <f>1+1</f>
        <v>2</v>
      </c>
      <c r="J105">
        <v>0</v>
      </c>
      <c r="K105">
        <f t="shared" si="23"/>
        <v>45</v>
      </c>
      <c r="L105">
        <f t="shared" si="18"/>
        <v>14</v>
      </c>
      <c r="M105">
        <f t="shared" si="18"/>
        <v>18</v>
      </c>
      <c r="N105">
        <f t="shared" si="16"/>
        <v>0.34146341463414637</v>
      </c>
      <c r="O105">
        <f t="shared" si="17"/>
        <v>2.9285714285714284</v>
      </c>
      <c r="P105">
        <f t="shared" si="13"/>
        <v>2.2777777777777777</v>
      </c>
      <c r="Q105">
        <v>5.64</v>
      </c>
      <c r="R105">
        <v>5.81</v>
      </c>
      <c r="S105">
        <v>3.74</v>
      </c>
      <c r="T105">
        <v>3.74</v>
      </c>
      <c r="U105">
        <v>5.1100000000000003</v>
      </c>
      <c r="V105">
        <v>5.31</v>
      </c>
      <c r="W105">
        <f t="shared" si="21"/>
        <v>14.489999999999998</v>
      </c>
      <c r="X105">
        <f t="shared" si="21"/>
        <v>14.86</v>
      </c>
    </row>
    <row r="106" spans="1:24" x14ac:dyDescent="0.25">
      <c r="A106" t="s">
        <v>39</v>
      </c>
      <c r="B106" t="s">
        <v>27</v>
      </c>
      <c r="C106">
        <v>3</v>
      </c>
      <c r="D106" t="str">
        <f t="shared" si="14"/>
        <v>PU_c_3</v>
      </c>
      <c r="E106">
        <f>5+4+5+4+6+7+5+7+9+10+7</f>
        <v>69</v>
      </c>
      <c r="F106">
        <f>2+1+1+6+2+3+2</f>
        <v>17</v>
      </c>
      <c r="G106">
        <f>4+4+4+6+5+5+5+4+4</f>
        <v>41</v>
      </c>
      <c r="H106">
        <f t="shared" si="15"/>
        <v>93</v>
      </c>
      <c r="I106">
        <f>1+1+1</f>
        <v>3</v>
      </c>
      <c r="J106">
        <v>0</v>
      </c>
      <c r="K106">
        <f t="shared" si="23"/>
        <v>90</v>
      </c>
      <c r="L106">
        <f t="shared" si="18"/>
        <v>20</v>
      </c>
      <c r="M106">
        <f t="shared" si="18"/>
        <v>41</v>
      </c>
      <c r="N106">
        <f t="shared" si="16"/>
        <v>0.28985507246376813</v>
      </c>
      <c r="O106">
        <f t="shared" si="17"/>
        <v>3.4499999999999997</v>
      </c>
      <c r="P106">
        <f t="shared" si="13"/>
        <v>1.6829268292682928</v>
      </c>
      <c r="Q106">
        <v>7.72</v>
      </c>
      <c r="R106">
        <v>8.27</v>
      </c>
      <c r="S106">
        <v>4.72</v>
      </c>
      <c r="T106">
        <v>5.0199999999999996</v>
      </c>
      <c r="W106">
        <f t="shared" si="21"/>
        <v>12.44</v>
      </c>
      <c r="X106">
        <f t="shared" si="21"/>
        <v>13.29</v>
      </c>
    </row>
    <row r="107" spans="1:24" x14ac:dyDescent="0.25">
      <c r="A107" t="s">
        <v>39</v>
      </c>
      <c r="B107" t="s">
        <v>27</v>
      </c>
      <c r="C107">
        <v>4</v>
      </c>
      <c r="D107" t="str">
        <f t="shared" si="14"/>
        <v>PU_c_4</v>
      </c>
      <c r="E107">
        <f>1+3+11+7+9+11+12+9+1+11+3+9+3+7+4+6+5+7</f>
        <v>119</v>
      </c>
      <c r="F107">
        <f>1+1+3+2+1+4+3+3+3</f>
        <v>21</v>
      </c>
      <c r="G107">
        <f>1+2+3+5+5+4+6+5</f>
        <v>31</v>
      </c>
      <c r="H107">
        <f t="shared" si="15"/>
        <v>129</v>
      </c>
      <c r="I107">
        <f>1+1+1+5+2</f>
        <v>10</v>
      </c>
      <c r="J107">
        <v>1</v>
      </c>
      <c r="K107">
        <f t="shared" si="23"/>
        <v>120</v>
      </c>
      <c r="L107">
        <f t="shared" si="18"/>
        <v>31</v>
      </c>
      <c r="M107">
        <f t="shared" si="18"/>
        <v>32</v>
      </c>
      <c r="N107">
        <f t="shared" si="16"/>
        <v>0.26050420168067229</v>
      </c>
      <c r="O107">
        <f t="shared" si="17"/>
        <v>3.8387096774193545</v>
      </c>
      <c r="P107">
        <f t="shared" si="13"/>
        <v>3.71875</v>
      </c>
      <c r="Q107">
        <v>9.17</v>
      </c>
      <c r="R107">
        <v>9.19</v>
      </c>
      <c r="S107">
        <v>6.35</v>
      </c>
      <c r="T107">
        <v>6.61</v>
      </c>
      <c r="U107">
        <v>4.82</v>
      </c>
      <c r="V107">
        <v>4.8600000000000003</v>
      </c>
      <c r="W107">
        <f t="shared" si="21"/>
        <v>20.34</v>
      </c>
      <c r="X107">
        <f t="shared" si="21"/>
        <v>20.66</v>
      </c>
    </row>
    <row r="108" spans="1:24" x14ac:dyDescent="0.25">
      <c r="A108" t="s">
        <v>39</v>
      </c>
      <c r="B108" t="s">
        <v>28</v>
      </c>
      <c r="C108">
        <v>1</v>
      </c>
      <c r="D108" t="str">
        <f t="shared" si="14"/>
        <v>PU_d_1</v>
      </c>
      <c r="E108">
        <f>6+5+1+5+6+8+6+5+2+9+4</f>
        <v>57</v>
      </c>
      <c r="F108">
        <f>2+1+2+4+3+2+3+2+3+1</f>
        <v>23</v>
      </c>
      <c r="G108">
        <f>5+5+4+6+5+3+3</f>
        <v>31</v>
      </c>
      <c r="H108">
        <f t="shared" si="15"/>
        <v>65</v>
      </c>
      <c r="I108">
        <v>9</v>
      </c>
      <c r="J108">
        <v>0</v>
      </c>
      <c r="K108">
        <f t="shared" si="23"/>
        <v>56</v>
      </c>
      <c r="L108">
        <f t="shared" si="18"/>
        <v>32</v>
      </c>
      <c r="M108">
        <f t="shared" si="18"/>
        <v>31</v>
      </c>
      <c r="N108">
        <f t="shared" si="16"/>
        <v>0.56140350877192979</v>
      </c>
      <c r="O108">
        <f t="shared" si="17"/>
        <v>1.78125</v>
      </c>
      <c r="P108">
        <f t="shared" si="13"/>
        <v>1.8387096774193548</v>
      </c>
      <c r="Q108">
        <v>7.12</v>
      </c>
      <c r="R108">
        <v>7.2</v>
      </c>
      <c r="S108">
        <v>6.3</v>
      </c>
      <c r="T108">
        <v>6.58</v>
      </c>
      <c r="U108">
        <v>4.5999999999999996</v>
      </c>
      <c r="V108">
        <v>4.8499999999999996</v>
      </c>
      <c r="W108">
        <f t="shared" si="21"/>
        <v>18.02</v>
      </c>
      <c r="X108">
        <f t="shared" si="21"/>
        <v>18.630000000000003</v>
      </c>
    </row>
    <row r="109" spans="1:24" x14ac:dyDescent="0.25">
      <c r="A109" t="s">
        <v>39</v>
      </c>
      <c r="B109" t="s">
        <v>30</v>
      </c>
      <c r="C109">
        <v>1</v>
      </c>
      <c r="D109" t="str">
        <f t="shared" si="14"/>
        <v>PU_e_1</v>
      </c>
      <c r="E109">
        <f>11+6+4+5+3</f>
        <v>29</v>
      </c>
      <c r="F109">
        <f>2+1+2</f>
        <v>5</v>
      </c>
      <c r="G109">
        <f>3+1+4</f>
        <v>8</v>
      </c>
      <c r="H109">
        <f t="shared" si="15"/>
        <v>32</v>
      </c>
      <c r="I109">
        <v>5</v>
      </c>
      <c r="J109">
        <v>0</v>
      </c>
      <c r="K109">
        <f t="shared" si="23"/>
        <v>27</v>
      </c>
      <c r="L109">
        <f t="shared" si="18"/>
        <v>10</v>
      </c>
      <c r="M109">
        <f t="shared" si="18"/>
        <v>8</v>
      </c>
      <c r="N109">
        <f t="shared" si="16"/>
        <v>0.34482758620689657</v>
      </c>
      <c r="O109">
        <f t="shared" si="17"/>
        <v>2.9</v>
      </c>
      <c r="P109">
        <f t="shared" si="13"/>
        <v>3.625</v>
      </c>
      <c r="Q109">
        <v>5.8</v>
      </c>
      <c r="R109">
        <v>5.77</v>
      </c>
      <c r="S109">
        <v>3.62</v>
      </c>
      <c r="T109">
        <v>3.87</v>
      </c>
      <c r="W109">
        <f t="shared" si="21"/>
        <v>9.42</v>
      </c>
      <c r="X109">
        <f t="shared" si="21"/>
        <v>9.64</v>
      </c>
    </row>
    <row r="110" spans="1:24" x14ac:dyDescent="0.25">
      <c r="A110" t="s">
        <v>39</v>
      </c>
      <c r="B110" t="s">
        <v>40</v>
      </c>
      <c r="C110">
        <v>1</v>
      </c>
      <c r="D110" t="str">
        <f t="shared" si="14"/>
        <v>PU_f_1</v>
      </c>
      <c r="E110">
        <f>8+7+4+5+11+3+5</f>
        <v>43</v>
      </c>
      <c r="F110">
        <f>4+3+2</f>
        <v>9</v>
      </c>
      <c r="G110">
        <f>2+5+7+5+7</f>
        <v>26</v>
      </c>
      <c r="H110">
        <f t="shared" si="15"/>
        <v>60</v>
      </c>
      <c r="I110">
        <v>6</v>
      </c>
      <c r="J110">
        <v>0</v>
      </c>
      <c r="K110">
        <f t="shared" si="23"/>
        <v>54</v>
      </c>
      <c r="L110">
        <f t="shared" si="18"/>
        <v>15</v>
      </c>
      <c r="M110">
        <f t="shared" si="18"/>
        <v>26</v>
      </c>
      <c r="N110">
        <f t="shared" si="16"/>
        <v>0.34883720930232559</v>
      </c>
      <c r="O110">
        <f t="shared" si="17"/>
        <v>2.8666666666666667</v>
      </c>
      <c r="P110">
        <f t="shared" si="13"/>
        <v>1.653846153846154</v>
      </c>
      <c r="Q110">
        <v>6.93</v>
      </c>
      <c r="R110">
        <v>7.24</v>
      </c>
      <c r="S110">
        <v>5.78</v>
      </c>
      <c r="T110">
        <v>6.26</v>
      </c>
      <c r="U110">
        <v>3.44</v>
      </c>
      <c r="V110">
        <v>3.74</v>
      </c>
      <c r="W110">
        <f t="shared" si="21"/>
        <v>16.150000000000002</v>
      </c>
      <c r="X110">
        <f t="shared" si="21"/>
        <v>17.240000000000002</v>
      </c>
    </row>
    <row r="111" spans="1:24" x14ac:dyDescent="0.25">
      <c r="A111" t="s">
        <v>41</v>
      </c>
      <c r="B111" t="s">
        <v>25</v>
      </c>
      <c r="C111">
        <v>1</v>
      </c>
      <c r="D111" t="str">
        <f t="shared" si="14"/>
        <v>SA_a_1</v>
      </c>
      <c r="E111">
        <f>4+4+1+5+3+1+3+3+3+3+1</f>
        <v>31</v>
      </c>
      <c r="F111">
        <v>0</v>
      </c>
      <c r="G111">
        <v>1</v>
      </c>
      <c r="H111">
        <f t="shared" si="15"/>
        <v>32</v>
      </c>
      <c r="I111">
        <f>1+2+3+1+2+2</f>
        <v>11</v>
      </c>
      <c r="J111">
        <f>3</f>
        <v>3</v>
      </c>
      <c r="K111">
        <f t="shared" si="23"/>
        <v>24</v>
      </c>
      <c r="L111">
        <f t="shared" si="18"/>
        <v>11</v>
      </c>
      <c r="M111">
        <f t="shared" si="18"/>
        <v>4</v>
      </c>
      <c r="N111">
        <f t="shared" si="16"/>
        <v>0.35483870967741937</v>
      </c>
      <c r="O111">
        <f t="shared" si="17"/>
        <v>2.8181818181818179</v>
      </c>
      <c r="P111">
        <f t="shared" si="13"/>
        <v>7.75</v>
      </c>
      <c r="Q111">
        <v>9.92</v>
      </c>
      <c r="R111">
        <v>9.7899999999999991</v>
      </c>
      <c r="S111">
        <v>7.89</v>
      </c>
      <c r="T111">
        <v>8.7200000000000006</v>
      </c>
      <c r="U111">
        <v>4.8499999999999996</v>
      </c>
      <c r="V111">
        <v>5.5</v>
      </c>
      <c r="W111">
        <f t="shared" si="21"/>
        <v>22.659999999999997</v>
      </c>
      <c r="X111">
        <f t="shared" si="21"/>
        <v>24.009999999999998</v>
      </c>
    </row>
    <row r="112" spans="1:24" x14ac:dyDescent="0.25">
      <c r="A112" t="s">
        <v>41</v>
      </c>
      <c r="B112" t="s">
        <v>26</v>
      </c>
      <c r="C112">
        <v>1</v>
      </c>
      <c r="D112" t="str">
        <f t="shared" si="14"/>
        <v>SA_b_1</v>
      </c>
      <c r="E112">
        <f>5+6+6+1+4+4+2+7+6</f>
        <v>41</v>
      </c>
      <c r="F112">
        <v>1</v>
      </c>
      <c r="G112">
        <v>0</v>
      </c>
      <c r="H112">
        <f t="shared" si="15"/>
        <v>40</v>
      </c>
      <c r="I112">
        <f>1+1+2</f>
        <v>4</v>
      </c>
      <c r="J112">
        <f>4+8+4</f>
        <v>16</v>
      </c>
      <c r="K112">
        <f t="shared" si="23"/>
        <v>52</v>
      </c>
      <c r="L112">
        <f t="shared" si="18"/>
        <v>5</v>
      </c>
      <c r="M112">
        <f t="shared" si="18"/>
        <v>16</v>
      </c>
      <c r="N112">
        <f t="shared" si="16"/>
        <v>0.12195121951219512</v>
      </c>
      <c r="O112">
        <f t="shared" si="17"/>
        <v>8.2000000000000011</v>
      </c>
      <c r="P112">
        <f t="shared" si="13"/>
        <v>2.5625</v>
      </c>
      <c r="Q112">
        <v>10.62</v>
      </c>
      <c r="R112">
        <v>10.65</v>
      </c>
      <c r="S112">
        <v>7.86</v>
      </c>
      <c r="T112">
        <v>8.39</v>
      </c>
      <c r="U112">
        <v>4.71</v>
      </c>
      <c r="V112">
        <v>5.04</v>
      </c>
      <c r="W112">
        <f t="shared" si="21"/>
        <v>23.19</v>
      </c>
      <c r="X112">
        <f t="shared" si="21"/>
        <v>24.08</v>
      </c>
    </row>
    <row r="113" spans="1:24" x14ac:dyDescent="0.25">
      <c r="A113" t="s">
        <v>41</v>
      </c>
      <c r="B113" t="s">
        <v>26</v>
      </c>
      <c r="C113">
        <v>2</v>
      </c>
      <c r="D113" t="str">
        <f t="shared" si="14"/>
        <v>SA_b_2</v>
      </c>
      <c r="E113">
        <f>2+11+2+4+9+3+3+4+6</f>
        <v>44</v>
      </c>
      <c r="F113">
        <v>0</v>
      </c>
      <c r="G113">
        <v>0</v>
      </c>
      <c r="H113">
        <f t="shared" si="15"/>
        <v>44</v>
      </c>
      <c r="I113">
        <f>2+2+1</f>
        <v>5</v>
      </c>
      <c r="J113">
        <f>6+3+4+3+3+3+7</f>
        <v>29</v>
      </c>
      <c r="K113">
        <f t="shared" si="23"/>
        <v>68</v>
      </c>
      <c r="L113">
        <f t="shared" si="18"/>
        <v>5</v>
      </c>
      <c r="M113">
        <f t="shared" si="18"/>
        <v>29</v>
      </c>
      <c r="N113">
        <f>L113/E113</f>
        <v>0.11363636363636363</v>
      </c>
      <c r="O113">
        <f t="shared" si="17"/>
        <v>8.8000000000000007</v>
      </c>
      <c r="P113">
        <f t="shared" si="13"/>
        <v>1.517241379310345</v>
      </c>
      <c r="Q113">
        <v>11.59</v>
      </c>
      <c r="R113">
        <v>12.65</v>
      </c>
      <c r="S113">
        <v>9.2200000000000006</v>
      </c>
      <c r="T113">
        <v>10.4</v>
      </c>
      <c r="U113">
        <v>5.68</v>
      </c>
      <c r="V113">
        <v>7.24</v>
      </c>
      <c r="W113">
        <f t="shared" si="21"/>
        <v>26.490000000000002</v>
      </c>
      <c r="X113">
        <f t="shared" si="21"/>
        <v>30.29</v>
      </c>
    </row>
    <row r="114" spans="1:24" x14ac:dyDescent="0.25">
      <c r="A114" t="s">
        <v>41</v>
      </c>
      <c r="B114" t="s">
        <v>26</v>
      </c>
      <c r="C114">
        <v>3</v>
      </c>
      <c r="D114" t="str">
        <f t="shared" si="14"/>
        <v>SA_b_3</v>
      </c>
      <c r="E114">
        <f>4+6+3+6+1+7</f>
        <v>27</v>
      </c>
      <c r="F114">
        <v>1</v>
      </c>
      <c r="G114">
        <v>0</v>
      </c>
      <c r="H114">
        <f t="shared" si="15"/>
        <v>26</v>
      </c>
      <c r="I114">
        <f>1+1+1</f>
        <v>3</v>
      </c>
      <c r="J114">
        <f>6+3</f>
        <v>9</v>
      </c>
      <c r="K114">
        <f t="shared" si="23"/>
        <v>32</v>
      </c>
      <c r="L114">
        <f t="shared" si="18"/>
        <v>4</v>
      </c>
      <c r="M114">
        <f t="shared" si="18"/>
        <v>9</v>
      </c>
      <c r="N114">
        <f t="shared" si="16"/>
        <v>0.14814814814814814</v>
      </c>
      <c r="O114">
        <f t="shared" si="17"/>
        <v>6.75</v>
      </c>
      <c r="P114">
        <f t="shared" si="13"/>
        <v>3</v>
      </c>
      <c r="Q114">
        <v>9.6999999999999993</v>
      </c>
      <c r="R114">
        <v>9.7100000000000009</v>
      </c>
      <c r="S114">
        <v>3.61</v>
      </c>
      <c r="T114">
        <v>3.85</v>
      </c>
      <c r="U114">
        <v>7.14</v>
      </c>
      <c r="V114">
        <v>7.88</v>
      </c>
      <c r="W114">
        <f t="shared" si="21"/>
        <v>20.45</v>
      </c>
      <c r="X114">
        <f t="shared" si="21"/>
        <v>21.44</v>
      </c>
    </row>
    <row r="115" spans="1:24" x14ac:dyDescent="0.25">
      <c r="A115" t="s">
        <v>41</v>
      </c>
      <c r="B115" t="s">
        <v>27</v>
      </c>
      <c r="C115">
        <v>1</v>
      </c>
      <c r="D115" t="str">
        <f t="shared" si="14"/>
        <v>SA_c_1</v>
      </c>
      <c r="E115">
        <f>7+3+8+6+3+10</f>
        <v>37</v>
      </c>
      <c r="F115">
        <v>2</v>
      </c>
      <c r="G115">
        <v>1</v>
      </c>
      <c r="H115">
        <f t="shared" si="15"/>
        <v>36</v>
      </c>
      <c r="I115">
        <f>3+1+1+2</f>
        <v>7</v>
      </c>
      <c r="J115">
        <f>4+2+5</f>
        <v>11</v>
      </c>
      <c r="K115">
        <f t="shared" si="23"/>
        <v>40</v>
      </c>
      <c r="L115">
        <f t="shared" si="18"/>
        <v>9</v>
      </c>
      <c r="M115">
        <f t="shared" si="18"/>
        <v>12</v>
      </c>
      <c r="N115">
        <f t="shared" si="16"/>
        <v>0.24324324324324326</v>
      </c>
      <c r="O115">
        <f t="shared" si="17"/>
        <v>4.1111111111111107</v>
      </c>
      <c r="P115">
        <f t="shared" si="13"/>
        <v>3.083333333333333</v>
      </c>
      <c r="Q115">
        <v>10.31</v>
      </c>
      <c r="R115">
        <v>10.54</v>
      </c>
      <c r="S115">
        <v>7.27</v>
      </c>
      <c r="T115">
        <v>8.25</v>
      </c>
      <c r="U115">
        <v>4.33</v>
      </c>
      <c r="V115">
        <v>4.9000000000000004</v>
      </c>
      <c r="W115">
        <f t="shared" si="21"/>
        <v>21.909999999999997</v>
      </c>
      <c r="X115">
        <f t="shared" si="21"/>
        <v>23.689999999999998</v>
      </c>
    </row>
    <row r="116" spans="1:24" x14ac:dyDescent="0.25">
      <c r="A116" t="s">
        <v>41</v>
      </c>
      <c r="B116" t="s">
        <v>27</v>
      </c>
      <c r="C116">
        <v>2</v>
      </c>
      <c r="D116" t="str">
        <f t="shared" si="14"/>
        <v>SA_c_2</v>
      </c>
      <c r="E116">
        <f>13+6</f>
        <v>19</v>
      </c>
      <c r="F116">
        <v>0</v>
      </c>
      <c r="G116">
        <v>0</v>
      </c>
      <c r="H116">
        <f t="shared" si="15"/>
        <v>19</v>
      </c>
      <c r="I116">
        <f>3</f>
        <v>3</v>
      </c>
      <c r="J116">
        <f>7+42</f>
        <v>49</v>
      </c>
      <c r="K116">
        <f t="shared" si="23"/>
        <v>65</v>
      </c>
      <c r="L116">
        <f t="shared" si="18"/>
        <v>3</v>
      </c>
      <c r="M116">
        <f t="shared" si="18"/>
        <v>49</v>
      </c>
      <c r="N116">
        <f t="shared" si="16"/>
        <v>0.15789473684210525</v>
      </c>
      <c r="O116">
        <f t="shared" si="17"/>
        <v>6.3333333333333339</v>
      </c>
      <c r="P116">
        <f t="shared" si="13"/>
        <v>0.38775510204081631</v>
      </c>
      <c r="Q116">
        <v>8.27</v>
      </c>
      <c r="R116">
        <v>11.37</v>
      </c>
      <c r="S116">
        <v>5.28</v>
      </c>
      <c r="T116">
        <v>8.65</v>
      </c>
      <c r="W116">
        <f t="shared" si="21"/>
        <v>13.55</v>
      </c>
      <c r="X116">
        <f t="shared" si="21"/>
        <v>20.02</v>
      </c>
    </row>
    <row r="117" spans="1:24" x14ac:dyDescent="0.25">
      <c r="A117" t="s">
        <v>41</v>
      </c>
      <c r="B117" t="s">
        <v>28</v>
      </c>
      <c r="C117">
        <v>1</v>
      </c>
      <c r="D117" t="str">
        <f t="shared" si="14"/>
        <v>SA_d_1</v>
      </c>
      <c r="E117">
        <f>3+4+2+2+4+8+4+2+2+2+3+4+4+6+2+6+5</f>
        <v>63</v>
      </c>
      <c r="F117">
        <f>1</f>
        <v>1</v>
      </c>
      <c r="G117">
        <v>3</v>
      </c>
      <c r="H117">
        <f t="shared" si="15"/>
        <v>65</v>
      </c>
      <c r="I117">
        <f>1+1+4+1+4+1+6+3</f>
        <v>21</v>
      </c>
      <c r="J117">
        <f>4+8+1+4+4+4+3</f>
        <v>28</v>
      </c>
      <c r="K117">
        <f t="shared" si="23"/>
        <v>72</v>
      </c>
      <c r="L117">
        <f t="shared" si="18"/>
        <v>22</v>
      </c>
      <c r="M117">
        <f t="shared" si="18"/>
        <v>31</v>
      </c>
      <c r="N117">
        <f t="shared" si="16"/>
        <v>0.34920634920634919</v>
      </c>
      <c r="O117">
        <f t="shared" si="17"/>
        <v>2.8636363636363638</v>
      </c>
      <c r="P117">
        <f t="shared" si="13"/>
        <v>2.032258064516129</v>
      </c>
      <c r="Q117">
        <v>12.64</v>
      </c>
      <c r="R117">
        <v>11.51</v>
      </c>
      <c r="S117">
        <v>8.41</v>
      </c>
      <c r="T117">
        <v>8.61</v>
      </c>
      <c r="U117">
        <v>4.16</v>
      </c>
      <c r="V117">
        <v>6.01</v>
      </c>
      <c r="W117">
        <f t="shared" si="21"/>
        <v>25.21</v>
      </c>
      <c r="X117">
        <f t="shared" si="21"/>
        <v>26.129999999999995</v>
      </c>
    </row>
    <row r="118" spans="1:24" x14ac:dyDescent="0.25">
      <c r="A118" t="s">
        <v>41</v>
      </c>
      <c r="B118" t="s">
        <v>28</v>
      </c>
      <c r="C118">
        <v>2</v>
      </c>
      <c r="D118" t="str">
        <f t="shared" si="14"/>
        <v>SA_d_2</v>
      </c>
      <c r="E118">
        <f>6+2+2+6+6+11</f>
        <v>33</v>
      </c>
      <c r="F118">
        <f>1+3+2</f>
        <v>6</v>
      </c>
      <c r="G118">
        <v>1</v>
      </c>
      <c r="H118">
        <f t="shared" si="15"/>
        <v>28</v>
      </c>
      <c r="I118">
        <f>2+3+2+3</f>
        <v>10</v>
      </c>
      <c r="J118">
        <f>10+3</f>
        <v>13</v>
      </c>
      <c r="K118">
        <f t="shared" si="23"/>
        <v>31</v>
      </c>
      <c r="L118">
        <f t="shared" si="18"/>
        <v>16</v>
      </c>
      <c r="M118">
        <f t="shared" si="18"/>
        <v>14</v>
      </c>
      <c r="N118">
        <f t="shared" si="16"/>
        <v>0.48484848484848486</v>
      </c>
      <c r="O118">
        <f t="shared" si="17"/>
        <v>2.0625</v>
      </c>
      <c r="P118">
        <f t="shared" si="13"/>
        <v>2.3571428571428572</v>
      </c>
      <c r="Q118">
        <v>11.08</v>
      </c>
      <c r="R118">
        <v>11.15</v>
      </c>
      <c r="S118">
        <v>7.94</v>
      </c>
      <c r="T118">
        <v>8.67</v>
      </c>
      <c r="U118">
        <v>3.34</v>
      </c>
      <c r="V118">
        <v>4.8499999999999996</v>
      </c>
      <c r="W118">
        <f t="shared" si="21"/>
        <v>22.36</v>
      </c>
      <c r="X118">
        <f t="shared" si="21"/>
        <v>24.67</v>
      </c>
    </row>
    <row r="119" spans="1:24" x14ac:dyDescent="0.25">
      <c r="A119" t="s">
        <v>41</v>
      </c>
      <c r="B119" t="s">
        <v>30</v>
      </c>
      <c r="C119">
        <v>1</v>
      </c>
      <c r="D119" t="str">
        <f t="shared" si="14"/>
        <v>SA_e_1</v>
      </c>
      <c r="E119">
        <f>5+3+7+6+11+1+3+1+8+2+2+2+2+9+4+3</f>
        <v>69</v>
      </c>
      <c r="F119">
        <f>1+1+1</f>
        <v>3</v>
      </c>
      <c r="G119">
        <f>2+1+1</f>
        <v>4</v>
      </c>
      <c r="H119">
        <f t="shared" si="15"/>
        <v>70</v>
      </c>
      <c r="I119">
        <f>1+1+2</f>
        <v>4</v>
      </c>
      <c r="J119">
        <v>1</v>
      </c>
      <c r="K119">
        <f t="shared" si="23"/>
        <v>67</v>
      </c>
      <c r="L119">
        <f t="shared" si="18"/>
        <v>7</v>
      </c>
      <c r="M119">
        <f t="shared" si="18"/>
        <v>5</v>
      </c>
      <c r="N119">
        <f t="shared" si="16"/>
        <v>0.10144927536231885</v>
      </c>
      <c r="O119">
        <f t="shared" si="17"/>
        <v>9.8571428571428559</v>
      </c>
      <c r="P119">
        <f t="shared" si="13"/>
        <v>13.799999999999999</v>
      </c>
      <c r="Q119">
        <v>12.1</v>
      </c>
      <c r="R119">
        <v>12.49</v>
      </c>
      <c r="S119">
        <v>9.0299999999999994</v>
      </c>
      <c r="T119">
        <v>9.57</v>
      </c>
      <c r="U119">
        <v>6.53</v>
      </c>
      <c r="V119">
        <v>6.97</v>
      </c>
      <c r="W119">
        <f t="shared" si="21"/>
        <v>27.66</v>
      </c>
      <c r="X119">
        <f t="shared" si="21"/>
        <v>29.03</v>
      </c>
    </row>
    <row r="120" spans="1:24" x14ac:dyDescent="0.25">
      <c r="A120" t="s">
        <v>41</v>
      </c>
      <c r="B120" t="s">
        <v>30</v>
      </c>
      <c r="C120">
        <v>2</v>
      </c>
      <c r="D120" t="str">
        <f t="shared" si="14"/>
        <v>SA_e_2</v>
      </c>
      <c r="E120">
        <f>3+3+1+2+6+2+2+1+4+2+3+2+5+2+3+3</f>
        <v>44</v>
      </c>
      <c r="F120">
        <f>2+1+1</f>
        <v>4</v>
      </c>
      <c r="G120">
        <v>0</v>
      </c>
      <c r="H120">
        <f t="shared" si="15"/>
        <v>40</v>
      </c>
      <c r="I120">
        <v>2</v>
      </c>
      <c r="J120">
        <f>3+3+3+2+3+4</f>
        <v>18</v>
      </c>
      <c r="K120">
        <f t="shared" si="23"/>
        <v>56</v>
      </c>
      <c r="L120">
        <f t="shared" si="18"/>
        <v>6</v>
      </c>
      <c r="M120">
        <f t="shared" si="18"/>
        <v>18</v>
      </c>
      <c r="N120">
        <f t="shared" si="16"/>
        <v>0.13636363636363635</v>
      </c>
      <c r="O120">
        <f t="shared" si="17"/>
        <v>7.3333333333333339</v>
      </c>
      <c r="P120">
        <f t="shared" si="13"/>
        <v>2.4444444444444442</v>
      </c>
      <c r="Q120">
        <v>13.44</v>
      </c>
      <c r="R120">
        <v>13.44</v>
      </c>
      <c r="S120">
        <v>4.0999999999999996</v>
      </c>
      <c r="T120">
        <v>4.13</v>
      </c>
      <c r="U120">
        <v>6.1</v>
      </c>
      <c r="V120">
        <v>6.36</v>
      </c>
      <c r="W120">
        <f t="shared" si="21"/>
        <v>23.64</v>
      </c>
      <c r="X120">
        <f t="shared" si="21"/>
        <v>23.93</v>
      </c>
    </row>
    <row r="121" spans="1:24" x14ac:dyDescent="0.25">
      <c r="A121" t="s">
        <v>42</v>
      </c>
      <c r="B121" t="s">
        <v>25</v>
      </c>
      <c r="C121">
        <v>1</v>
      </c>
      <c r="D121" t="str">
        <f t="shared" si="14"/>
        <v>SG_a_1</v>
      </c>
      <c r="E121">
        <f>2+2+4+2+13+4+4+2+3+2+4+2+4+2+4+4+2+2+4+4+4+13+6+10+4+5+8+5+11+2+4+3+2+1+8+2</f>
        <v>158</v>
      </c>
      <c r="F121">
        <f>2+7+2+2+1+3+1+2+3+1+1+5+1+1+2</f>
        <v>34</v>
      </c>
      <c r="G121">
        <f>2+2+2+6+2+2+6+2+2+2+3+2+6+2+4+4+4+2+2+4+2</f>
        <v>63</v>
      </c>
      <c r="H121">
        <f t="shared" si="15"/>
        <v>187</v>
      </c>
      <c r="I121">
        <f>1+2+1+2+1+1+1+1+2</f>
        <v>12</v>
      </c>
      <c r="J121">
        <f>4+2+4+4+2+2+5+2+4+4+2+2</f>
        <v>37</v>
      </c>
      <c r="K121">
        <f t="shared" si="23"/>
        <v>212</v>
      </c>
      <c r="L121">
        <f t="shared" si="18"/>
        <v>46</v>
      </c>
      <c r="M121">
        <f t="shared" si="18"/>
        <v>100</v>
      </c>
      <c r="N121">
        <f t="shared" si="16"/>
        <v>0.29113924050632911</v>
      </c>
      <c r="O121">
        <f t="shared" si="17"/>
        <v>3.4347826086956523</v>
      </c>
      <c r="P121">
        <f t="shared" ref="P121:P160" si="24">1/(M121/E121)</f>
        <v>1.5799999999999998</v>
      </c>
      <c r="Q121">
        <v>7.89</v>
      </c>
      <c r="R121">
        <v>8.43</v>
      </c>
      <c r="S121">
        <v>3.3</v>
      </c>
      <c r="T121">
        <v>3.38</v>
      </c>
      <c r="U121">
        <v>5.26</v>
      </c>
      <c r="V121">
        <v>5.85</v>
      </c>
      <c r="W121">
        <f t="shared" si="21"/>
        <v>16.45</v>
      </c>
      <c r="X121">
        <f t="shared" si="21"/>
        <v>17.659999999999997</v>
      </c>
    </row>
    <row r="122" spans="1:24" x14ac:dyDescent="0.25">
      <c r="A122" t="s">
        <v>42</v>
      </c>
      <c r="B122" t="s">
        <v>25</v>
      </c>
      <c r="C122">
        <v>2</v>
      </c>
      <c r="D122" t="str">
        <f t="shared" si="14"/>
        <v>SG_a_2</v>
      </c>
      <c r="E122">
        <f>7+6+12+6+3+2+2+4+2+2+4+4+4+4</f>
        <v>62</v>
      </c>
      <c r="F122">
        <f>3+2+1+1+2+1</f>
        <v>10</v>
      </c>
      <c r="G122">
        <f>2+4+4+2+2+2+2</f>
        <v>18</v>
      </c>
      <c r="H122">
        <f t="shared" si="15"/>
        <v>70</v>
      </c>
      <c r="I122">
        <f>3+2+2+1</f>
        <v>8</v>
      </c>
      <c r="J122">
        <f>4+2</f>
        <v>6</v>
      </c>
      <c r="K122">
        <f t="shared" si="23"/>
        <v>68</v>
      </c>
      <c r="L122">
        <f t="shared" si="18"/>
        <v>18</v>
      </c>
      <c r="M122">
        <f t="shared" si="18"/>
        <v>24</v>
      </c>
      <c r="N122">
        <f t="shared" si="16"/>
        <v>0.29032258064516131</v>
      </c>
      <c r="O122">
        <f t="shared" si="17"/>
        <v>3.4444444444444442</v>
      </c>
      <c r="P122">
        <f t="shared" si="24"/>
        <v>2.5833333333333335</v>
      </c>
      <c r="Q122">
        <v>5.39</v>
      </c>
      <c r="R122">
        <v>5.46</v>
      </c>
      <c r="S122">
        <v>5.29</v>
      </c>
      <c r="T122">
        <v>5.01</v>
      </c>
      <c r="W122">
        <f t="shared" si="21"/>
        <v>10.68</v>
      </c>
      <c r="X122">
        <f t="shared" si="21"/>
        <v>10.469999999999999</v>
      </c>
    </row>
    <row r="123" spans="1:24" x14ac:dyDescent="0.25">
      <c r="A123" t="s">
        <v>42</v>
      </c>
      <c r="B123" t="s">
        <v>26</v>
      </c>
      <c r="C123">
        <v>1</v>
      </c>
      <c r="D123" t="str">
        <f t="shared" si="14"/>
        <v>SG_b_1</v>
      </c>
      <c r="E123">
        <f>2+2+2+4+2+2+6+2+6+2+5+6+3+6+6+2+1+6+7+7+6+2+4+6+4+8+4+2</f>
        <v>115</v>
      </c>
      <c r="F123">
        <f>2+1+2+5+1+1+2+2+1+2+2+3+1+3+4+2+1+1+1+2</f>
        <v>39</v>
      </c>
      <c r="G123">
        <f>2+3+6+4+1+2+1+2+2+4+5+2+8+4+2</f>
        <v>48</v>
      </c>
      <c r="H123">
        <f t="shared" si="15"/>
        <v>124</v>
      </c>
      <c r="I123">
        <f>1+2+1+4</f>
        <v>8</v>
      </c>
      <c r="J123">
        <f>6+2+2+8+4+4+4+2</f>
        <v>32</v>
      </c>
      <c r="K123">
        <f t="shared" si="23"/>
        <v>148</v>
      </c>
      <c r="L123">
        <f t="shared" si="18"/>
        <v>47</v>
      </c>
      <c r="M123">
        <f t="shared" si="18"/>
        <v>80</v>
      </c>
      <c r="N123">
        <f t="shared" si="16"/>
        <v>0.40869565217391307</v>
      </c>
      <c r="O123">
        <f t="shared" si="17"/>
        <v>2.4468085106382977</v>
      </c>
      <c r="P123">
        <f t="shared" si="24"/>
        <v>1.4375</v>
      </c>
      <c r="Q123">
        <v>8.15</v>
      </c>
      <c r="R123">
        <f>8.64</f>
        <v>8.64</v>
      </c>
      <c r="S123">
        <v>4.1900000000000004</v>
      </c>
      <c r="T123">
        <v>4.25</v>
      </c>
      <c r="U123">
        <v>6.68</v>
      </c>
      <c r="V123">
        <v>6.83</v>
      </c>
      <c r="W123">
        <f t="shared" si="21"/>
        <v>19.02</v>
      </c>
      <c r="X123">
        <f t="shared" si="21"/>
        <v>19.72</v>
      </c>
    </row>
    <row r="124" spans="1:24" x14ac:dyDescent="0.25">
      <c r="A124" t="s">
        <v>42</v>
      </c>
      <c r="B124" t="s">
        <v>26</v>
      </c>
      <c r="C124">
        <v>2</v>
      </c>
      <c r="D124" t="str">
        <f t="shared" si="14"/>
        <v>SG_b_2</v>
      </c>
      <c r="E124">
        <f>7+3+2+2+4+3+2+1+7+4+3+2+5+1+2+3+4</f>
        <v>55</v>
      </c>
      <c r="F124">
        <f>4+1+1+2+2+1+2+1+1+4+2+1+1+1+2+2</f>
        <v>28</v>
      </c>
      <c r="G124">
        <f>4+8+2+2+2+4+2+2+2+4</f>
        <v>32</v>
      </c>
      <c r="H124">
        <f t="shared" si="15"/>
        <v>59</v>
      </c>
      <c r="I124">
        <f>6</f>
        <v>6</v>
      </c>
      <c r="J124">
        <f>2+4+6</f>
        <v>12</v>
      </c>
      <c r="K124">
        <f t="shared" si="23"/>
        <v>65</v>
      </c>
      <c r="L124">
        <f t="shared" si="18"/>
        <v>34</v>
      </c>
      <c r="M124">
        <f t="shared" si="18"/>
        <v>44</v>
      </c>
      <c r="N124">
        <f t="shared" si="16"/>
        <v>0.61818181818181817</v>
      </c>
      <c r="O124">
        <f t="shared" si="17"/>
        <v>1.6176470588235294</v>
      </c>
      <c r="P124">
        <f t="shared" si="24"/>
        <v>1.25</v>
      </c>
      <c r="Q124">
        <v>5.7</v>
      </c>
      <c r="R124">
        <v>5.33</v>
      </c>
      <c r="S124">
        <v>4.5</v>
      </c>
      <c r="T124">
        <v>4.99</v>
      </c>
      <c r="U124">
        <v>2.11</v>
      </c>
      <c r="V124">
        <v>2.0699999999999998</v>
      </c>
      <c r="W124">
        <f t="shared" si="21"/>
        <v>12.309999999999999</v>
      </c>
      <c r="X124">
        <f t="shared" si="21"/>
        <v>12.39</v>
      </c>
    </row>
    <row r="125" spans="1:24" x14ac:dyDescent="0.25">
      <c r="A125" t="s">
        <v>42</v>
      </c>
      <c r="B125" t="s">
        <v>27</v>
      </c>
      <c r="C125">
        <v>1</v>
      </c>
      <c r="D125" t="str">
        <f t="shared" si="14"/>
        <v>SG_c_1</v>
      </c>
      <c r="E125">
        <f>5+2+3+3+9+4+7+2+4+4+13+5+2+4+8+3+10</f>
        <v>88</v>
      </c>
      <c r="F125">
        <f>3+1+3+1+1+1+2+2+3+1+5</f>
        <v>23</v>
      </c>
      <c r="G125">
        <f>2+2+2+4</f>
        <v>10</v>
      </c>
      <c r="H125">
        <f t="shared" si="15"/>
        <v>75</v>
      </c>
      <c r="I125">
        <f>1+1</f>
        <v>2</v>
      </c>
      <c r="J125">
        <f>2+4+2+2+10+4</f>
        <v>24</v>
      </c>
      <c r="K125">
        <f t="shared" si="23"/>
        <v>97</v>
      </c>
      <c r="L125">
        <f t="shared" si="18"/>
        <v>25</v>
      </c>
      <c r="M125">
        <f t="shared" si="18"/>
        <v>34</v>
      </c>
      <c r="N125">
        <f t="shared" si="16"/>
        <v>0.28409090909090912</v>
      </c>
      <c r="O125">
        <f t="shared" si="17"/>
        <v>3.5199999999999996</v>
      </c>
      <c r="P125">
        <f t="shared" si="24"/>
        <v>2.5882352941176472</v>
      </c>
      <c r="Q125">
        <v>7.5</v>
      </c>
      <c r="R125">
        <v>6.42</v>
      </c>
      <c r="S125">
        <v>3.77</v>
      </c>
      <c r="T125">
        <v>3.78</v>
      </c>
      <c r="W125">
        <f t="shared" si="21"/>
        <v>11.27</v>
      </c>
      <c r="X125">
        <f t="shared" si="21"/>
        <v>10.199999999999999</v>
      </c>
    </row>
    <row r="126" spans="1:24" x14ac:dyDescent="0.25">
      <c r="A126" t="s">
        <v>42</v>
      </c>
      <c r="B126" t="s">
        <v>27</v>
      </c>
      <c r="C126">
        <v>2</v>
      </c>
      <c r="D126" t="str">
        <f t="shared" si="14"/>
        <v>SG_c_2</v>
      </c>
      <c r="E126">
        <f>4+5+10+2+4+2+4+3+6+6+4+5+9+8+10+1+5</f>
        <v>88</v>
      </c>
      <c r="F126">
        <f>4+1+2+2+1+1+1+2+1</f>
        <v>15</v>
      </c>
      <c r="G126">
        <f>2+2</f>
        <v>4</v>
      </c>
      <c r="H126">
        <f t="shared" si="15"/>
        <v>77</v>
      </c>
      <c r="I126">
        <f>1+2+1+1</f>
        <v>5</v>
      </c>
      <c r="J126">
        <f>2+4+2+4+1</f>
        <v>13</v>
      </c>
      <c r="K126">
        <f t="shared" si="23"/>
        <v>85</v>
      </c>
      <c r="L126">
        <f t="shared" si="18"/>
        <v>20</v>
      </c>
      <c r="M126">
        <f t="shared" si="18"/>
        <v>17</v>
      </c>
      <c r="N126">
        <f t="shared" si="16"/>
        <v>0.22727272727272727</v>
      </c>
      <c r="O126">
        <f t="shared" si="17"/>
        <v>4.4000000000000004</v>
      </c>
      <c r="P126">
        <f t="shared" si="24"/>
        <v>5.1764705882352944</v>
      </c>
      <c r="Q126">
        <v>6.73</v>
      </c>
      <c r="R126">
        <v>6.94</v>
      </c>
      <c r="S126">
        <v>5.55</v>
      </c>
      <c r="T126">
        <v>5.92</v>
      </c>
      <c r="U126">
        <v>4.3899999999999997</v>
      </c>
      <c r="V126">
        <v>4.49</v>
      </c>
      <c r="W126">
        <f t="shared" si="21"/>
        <v>16.670000000000002</v>
      </c>
      <c r="X126">
        <f t="shared" si="21"/>
        <v>17.350000000000001</v>
      </c>
    </row>
    <row r="127" spans="1:24" x14ac:dyDescent="0.25">
      <c r="A127" t="s">
        <v>42</v>
      </c>
      <c r="B127" t="s">
        <v>28</v>
      </c>
      <c r="C127">
        <v>1</v>
      </c>
      <c r="D127" t="str">
        <f t="shared" si="14"/>
        <v>SG_d_1</v>
      </c>
      <c r="E127">
        <f>2+5+4+4+4+4+4+6+2+4+4+6+14+7+4+2+3</f>
        <v>79</v>
      </c>
      <c r="F127">
        <f>1+1+4+2</f>
        <v>8</v>
      </c>
      <c r="G127">
        <f>2+6+7+8+4+2+4</f>
        <v>33</v>
      </c>
      <c r="H127">
        <f t="shared" si="15"/>
        <v>104</v>
      </c>
      <c r="I127">
        <f>4+2</f>
        <v>6</v>
      </c>
      <c r="J127">
        <f>2+4+4+4+4+6+4</f>
        <v>28</v>
      </c>
      <c r="K127">
        <f t="shared" si="23"/>
        <v>126</v>
      </c>
      <c r="L127">
        <f t="shared" si="18"/>
        <v>14</v>
      </c>
      <c r="M127">
        <f t="shared" si="18"/>
        <v>61</v>
      </c>
      <c r="N127">
        <f t="shared" si="16"/>
        <v>0.17721518987341772</v>
      </c>
      <c r="O127">
        <f t="shared" si="17"/>
        <v>5.6428571428571432</v>
      </c>
      <c r="P127">
        <f t="shared" si="24"/>
        <v>1.2950819672131146</v>
      </c>
      <c r="Q127">
        <v>6.18</v>
      </c>
      <c r="R127">
        <v>6.43</v>
      </c>
      <c r="S127">
        <v>5.22</v>
      </c>
      <c r="T127">
        <v>5.62</v>
      </c>
      <c r="U127">
        <v>4.21</v>
      </c>
      <c r="V127">
        <v>4.38</v>
      </c>
      <c r="W127">
        <f t="shared" si="21"/>
        <v>15.61</v>
      </c>
      <c r="X127">
        <f t="shared" si="21"/>
        <v>16.43</v>
      </c>
    </row>
    <row r="128" spans="1:24" x14ac:dyDescent="0.25">
      <c r="A128" t="s">
        <v>42</v>
      </c>
      <c r="B128" t="s">
        <v>28</v>
      </c>
      <c r="C128">
        <v>2</v>
      </c>
      <c r="D128" t="str">
        <f t="shared" si="14"/>
        <v>SG_d_2</v>
      </c>
      <c r="E128">
        <f>4+2+4+2+4+8+7+2+3+3+5+4+4+4+4+4+6+6+5+4+3+3+4+4+4</f>
        <v>103</v>
      </c>
      <c r="F128">
        <f>3+1+3+3+3+3+1+1+3</f>
        <v>21</v>
      </c>
      <c r="G128">
        <f>6+1+4+5+4</f>
        <v>20</v>
      </c>
      <c r="H128">
        <f t="shared" si="15"/>
        <v>102</v>
      </c>
      <c r="I128">
        <f>1+3</f>
        <v>4</v>
      </c>
      <c r="J128">
        <f>4+4+6+10+6+4+3+10+3+4</f>
        <v>54</v>
      </c>
      <c r="K128">
        <f t="shared" si="23"/>
        <v>152</v>
      </c>
      <c r="L128">
        <f t="shared" si="18"/>
        <v>25</v>
      </c>
      <c r="M128">
        <f t="shared" si="18"/>
        <v>74</v>
      </c>
      <c r="N128">
        <f t="shared" si="16"/>
        <v>0.24271844660194175</v>
      </c>
      <c r="O128">
        <f t="shared" si="17"/>
        <v>4.12</v>
      </c>
      <c r="P128">
        <f t="shared" si="24"/>
        <v>1.3918918918918919</v>
      </c>
      <c r="Q128">
        <v>6.34</v>
      </c>
      <c r="R128">
        <v>6.68</v>
      </c>
      <c r="S128">
        <v>6.15</v>
      </c>
      <c r="T128">
        <v>6.2</v>
      </c>
      <c r="W128">
        <f t="shared" si="21"/>
        <v>12.49</v>
      </c>
      <c r="X128">
        <f t="shared" si="21"/>
        <v>12.879999999999999</v>
      </c>
    </row>
    <row r="129" spans="1:24" x14ac:dyDescent="0.25">
      <c r="A129" t="s">
        <v>42</v>
      </c>
      <c r="B129" t="s">
        <v>30</v>
      </c>
      <c r="C129">
        <v>1</v>
      </c>
      <c r="D129" t="str">
        <f t="shared" si="14"/>
        <v>SG_e_1</v>
      </c>
      <c r="E129">
        <f>2+8+4+2+9+10+5+3+4+2+1+1+3+4+2+8+2+3+3+2+15+2+4</f>
        <v>99</v>
      </c>
      <c r="F129">
        <f>2+2+5+3+2+3+3+2+1+1+2+1+2+2+2+4+2</f>
        <v>39</v>
      </c>
      <c r="G129">
        <f>2+2+2+5+4+3+2+3+3+2+2</f>
        <v>30</v>
      </c>
      <c r="H129">
        <f t="shared" si="15"/>
        <v>90</v>
      </c>
      <c r="I129">
        <f>1+1+1+1+1</f>
        <v>5</v>
      </c>
      <c r="J129">
        <f>1+4+2+2+6+2</f>
        <v>17</v>
      </c>
      <c r="K129">
        <f t="shared" si="23"/>
        <v>102</v>
      </c>
      <c r="L129">
        <f t="shared" si="18"/>
        <v>44</v>
      </c>
      <c r="M129">
        <f t="shared" si="18"/>
        <v>47</v>
      </c>
      <c r="N129">
        <f t="shared" si="16"/>
        <v>0.44444444444444442</v>
      </c>
      <c r="O129">
        <f t="shared" si="17"/>
        <v>2.25</v>
      </c>
      <c r="P129">
        <f t="shared" si="24"/>
        <v>2.1063829787234041</v>
      </c>
      <c r="Q129">
        <v>6.12</v>
      </c>
      <c r="R129">
        <v>6.55</v>
      </c>
      <c r="W129">
        <f t="shared" si="21"/>
        <v>6.12</v>
      </c>
      <c r="X129">
        <f t="shared" si="21"/>
        <v>6.55</v>
      </c>
    </row>
    <row r="130" spans="1:24" x14ac:dyDescent="0.25">
      <c r="A130" t="s">
        <v>43</v>
      </c>
      <c r="B130" t="s">
        <v>25</v>
      </c>
      <c r="C130">
        <v>1</v>
      </c>
      <c r="D130" t="str">
        <f t="shared" ref="D130:D160" si="25">A130&amp;B130&amp;"_"&amp;C130</f>
        <v>SO_a_1</v>
      </c>
      <c r="E130">
        <f>1+8+2+2+2+3+2+6+3+2+4+5+5+1</f>
        <v>46</v>
      </c>
      <c r="F130">
        <f>1+2+1</f>
        <v>4</v>
      </c>
      <c r="G130">
        <f>4+2+2+1+2+1</f>
        <v>12</v>
      </c>
      <c r="H130">
        <f t="shared" ref="H130:H160" si="26">E130-F130+G130</f>
        <v>54</v>
      </c>
      <c r="I130">
        <f>1</f>
        <v>1</v>
      </c>
      <c r="J130">
        <v>3</v>
      </c>
      <c r="K130">
        <f t="shared" si="23"/>
        <v>56</v>
      </c>
      <c r="L130">
        <f t="shared" si="18"/>
        <v>5</v>
      </c>
      <c r="M130">
        <f t="shared" si="18"/>
        <v>15</v>
      </c>
      <c r="N130">
        <f t="shared" si="16"/>
        <v>0.10869565217391304</v>
      </c>
      <c r="O130">
        <f t="shared" si="17"/>
        <v>9.2000000000000011</v>
      </c>
      <c r="P130">
        <f t="shared" si="24"/>
        <v>3.0666666666666664</v>
      </c>
      <c r="Q130">
        <v>4.78</v>
      </c>
      <c r="R130">
        <v>4.66</v>
      </c>
      <c r="S130">
        <v>4.51</v>
      </c>
      <c r="T130">
        <v>4.6500000000000004</v>
      </c>
      <c r="U130">
        <v>3.45</v>
      </c>
      <c r="V130">
        <v>3.62</v>
      </c>
      <c r="W130">
        <f t="shared" si="21"/>
        <v>12.739999999999998</v>
      </c>
      <c r="X130">
        <f t="shared" si="21"/>
        <v>12.93</v>
      </c>
    </row>
    <row r="131" spans="1:24" x14ac:dyDescent="0.25">
      <c r="A131" t="s">
        <v>43</v>
      </c>
      <c r="B131" t="s">
        <v>25</v>
      </c>
      <c r="C131">
        <v>2</v>
      </c>
      <c r="D131" t="str">
        <f t="shared" si="25"/>
        <v>SO_a_2</v>
      </c>
      <c r="E131">
        <f>4+4+2+3+4+10+2+1+3</f>
        <v>33</v>
      </c>
      <c r="F131">
        <f>1</f>
        <v>1</v>
      </c>
      <c r="G131">
        <f>2+2+2</f>
        <v>6</v>
      </c>
      <c r="H131">
        <f t="shared" si="26"/>
        <v>38</v>
      </c>
      <c r="I131">
        <v>2</v>
      </c>
      <c r="J131">
        <v>2</v>
      </c>
      <c r="K131">
        <f t="shared" si="23"/>
        <v>38</v>
      </c>
      <c r="L131">
        <f t="shared" si="18"/>
        <v>3</v>
      </c>
      <c r="M131">
        <f t="shared" si="18"/>
        <v>8</v>
      </c>
      <c r="N131">
        <f t="shared" ref="N131:N160" si="27">L131/E131</f>
        <v>9.0909090909090912E-2</v>
      </c>
      <c r="O131">
        <f t="shared" ref="O131:O160" si="28">1/N131</f>
        <v>11</v>
      </c>
      <c r="P131">
        <f t="shared" si="24"/>
        <v>4.125</v>
      </c>
      <c r="Q131">
        <v>4.49</v>
      </c>
      <c r="R131">
        <v>4.5999999999999996</v>
      </c>
      <c r="S131">
        <v>3.36</v>
      </c>
      <c r="T131">
        <v>3.6</v>
      </c>
      <c r="W131">
        <f t="shared" si="21"/>
        <v>7.85</v>
      </c>
      <c r="X131">
        <f t="shared" si="21"/>
        <v>8.1999999999999993</v>
      </c>
    </row>
    <row r="132" spans="1:24" x14ac:dyDescent="0.25">
      <c r="A132" t="s">
        <v>43</v>
      </c>
      <c r="B132" t="s">
        <v>26</v>
      </c>
      <c r="C132">
        <v>1</v>
      </c>
      <c r="D132" t="str">
        <f t="shared" si="25"/>
        <v>SO_b_1</v>
      </c>
      <c r="E132">
        <f>4+6+4+4+4+1+2+1+1+1+6+2+4+4+2</f>
        <v>46</v>
      </c>
      <c r="F132">
        <f>1+2</f>
        <v>3</v>
      </c>
      <c r="G132">
        <f>2+1+4+4+1</f>
        <v>12</v>
      </c>
      <c r="H132">
        <f t="shared" si="26"/>
        <v>55</v>
      </c>
      <c r="I132">
        <f>2+1+3+1+1+1+1</f>
        <v>10</v>
      </c>
      <c r="J132">
        <v>2</v>
      </c>
      <c r="K132">
        <f t="shared" si="23"/>
        <v>47</v>
      </c>
      <c r="L132">
        <f t="shared" ref="L132:M161" si="29">I132+F132</f>
        <v>13</v>
      </c>
      <c r="M132">
        <f t="shared" si="29"/>
        <v>14</v>
      </c>
      <c r="N132">
        <f t="shared" si="27"/>
        <v>0.28260869565217389</v>
      </c>
      <c r="O132">
        <f t="shared" si="28"/>
        <v>3.5384615384615388</v>
      </c>
      <c r="P132">
        <f t="shared" si="24"/>
        <v>3.2857142857142856</v>
      </c>
      <c r="Q132">
        <v>4.6900000000000004</v>
      </c>
      <c r="R132">
        <v>5.48</v>
      </c>
      <c r="S132">
        <v>3.7</v>
      </c>
      <c r="T132">
        <v>3.73</v>
      </c>
      <c r="U132">
        <v>2.42</v>
      </c>
      <c r="V132">
        <v>2.4700000000000002</v>
      </c>
      <c r="W132">
        <f t="shared" si="21"/>
        <v>10.81</v>
      </c>
      <c r="X132">
        <f t="shared" si="21"/>
        <v>11.680000000000001</v>
      </c>
    </row>
    <row r="133" spans="1:24" x14ac:dyDescent="0.25">
      <c r="A133" t="s">
        <v>43</v>
      </c>
      <c r="B133" t="s">
        <v>26</v>
      </c>
      <c r="C133">
        <v>2</v>
      </c>
      <c r="D133" t="str">
        <f t="shared" si="25"/>
        <v>SO_b_2</v>
      </c>
      <c r="E133">
        <f>4+2+4+3+7+5+3+8+8+2+4+2+4+4+3+4+8+1+3</f>
        <v>79</v>
      </c>
      <c r="F133">
        <f>1+1+1+1</f>
        <v>4</v>
      </c>
      <c r="G133">
        <f>1+3+1+1</f>
        <v>6</v>
      </c>
      <c r="H133">
        <f t="shared" si="26"/>
        <v>81</v>
      </c>
      <c r="I133">
        <f>1+1+2+4+1+3+1+3</f>
        <v>16</v>
      </c>
      <c r="J133">
        <v>3</v>
      </c>
      <c r="K133">
        <f t="shared" si="23"/>
        <v>68</v>
      </c>
      <c r="L133">
        <f t="shared" si="29"/>
        <v>20</v>
      </c>
      <c r="M133">
        <f t="shared" si="29"/>
        <v>9</v>
      </c>
      <c r="N133">
        <f t="shared" si="27"/>
        <v>0.25316455696202533</v>
      </c>
      <c r="O133">
        <f t="shared" si="28"/>
        <v>3.9499999999999997</v>
      </c>
      <c r="P133">
        <f t="shared" si="24"/>
        <v>8.7777777777777786</v>
      </c>
      <c r="Q133">
        <v>5.34</v>
      </c>
      <c r="R133">
        <v>5.61</v>
      </c>
      <c r="S133">
        <v>3.25</v>
      </c>
      <c r="T133">
        <v>3.33</v>
      </c>
      <c r="U133">
        <v>1.81</v>
      </c>
      <c r="V133">
        <v>1.86</v>
      </c>
      <c r="W133">
        <f t="shared" si="21"/>
        <v>10.4</v>
      </c>
      <c r="X133">
        <f t="shared" si="21"/>
        <v>10.8</v>
      </c>
    </row>
    <row r="134" spans="1:24" x14ac:dyDescent="0.25">
      <c r="A134" t="s">
        <v>43</v>
      </c>
      <c r="B134" t="s">
        <v>27</v>
      </c>
      <c r="C134">
        <v>1</v>
      </c>
      <c r="D134" t="str">
        <f t="shared" si="25"/>
        <v>SO_c_1</v>
      </c>
      <c r="E134">
        <f>3+2+3+1+1+4+2+2+2+2+6</f>
        <v>28</v>
      </c>
      <c r="F134">
        <f>1</f>
        <v>1</v>
      </c>
      <c r="G134">
        <f>2+2+1+1</f>
        <v>6</v>
      </c>
      <c r="H134">
        <f t="shared" si="26"/>
        <v>33</v>
      </c>
      <c r="I134">
        <f>1+2+1</f>
        <v>4</v>
      </c>
      <c r="J134">
        <v>2</v>
      </c>
      <c r="K134">
        <f t="shared" si="23"/>
        <v>31</v>
      </c>
      <c r="L134">
        <f t="shared" si="29"/>
        <v>5</v>
      </c>
      <c r="M134">
        <f t="shared" si="29"/>
        <v>8</v>
      </c>
      <c r="N134">
        <f t="shared" si="27"/>
        <v>0.17857142857142858</v>
      </c>
      <c r="O134">
        <f t="shared" si="28"/>
        <v>5.6</v>
      </c>
      <c r="P134">
        <f t="shared" si="24"/>
        <v>3.5</v>
      </c>
      <c r="Q134">
        <v>6.06</v>
      </c>
      <c r="R134">
        <v>6.09</v>
      </c>
      <c r="S134">
        <v>3.42</v>
      </c>
      <c r="T134">
        <v>3.8</v>
      </c>
      <c r="W134">
        <f t="shared" si="21"/>
        <v>9.48</v>
      </c>
      <c r="X134">
        <f t="shared" si="21"/>
        <v>9.89</v>
      </c>
    </row>
    <row r="135" spans="1:24" x14ac:dyDescent="0.25">
      <c r="A135" t="s">
        <v>43</v>
      </c>
      <c r="B135" t="s">
        <v>27</v>
      </c>
      <c r="C135">
        <v>2</v>
      </c>
      <c r="D135" t="str">
        <f t="shared" si="25"/>
        <v>SO_c_2</v>
      </c>
      <c r="E135">
        <f>1+1+1+4+2+7+1+7+4+4</f>
        <v>32</v>
      </c>
      <c r="F135">
        <v>3</v>
      </c>
      <c r="G135">
        <f>1+3+1+2+2+1</f>
        <v>10</v>
      </c>
      <c r="H135">
        <f t="shared" si="26"/>
        <v>39</v>
      </c>
      <c r="I135">
        <v>1</v>
      </c>
      <c r="J135">
        <v>2</v>
      </c>
      <c r="K135">
        <f t="shared" si="23"/>
        <v>40</v>
      </c>
      <c r="L135">
        <f t="shared" si="29"/>
        <v>4</v>
      </c>
      <c r="M135">
        <f t="shared" si="29"/>
        <v>12</v>
      </c>
      <c r="N135">
        <f t="shared" si="27"/>
        <v>0.125</v>
      </c>
      <c r="O135">
        <f t="shared" si="28"/>
        <v>8</v>
      </c>
      <c r="P135">
        <f t="shared" si="24"/>
        <v>2.6666666666666665</v>
      </c>
      <c r="Q135">
        <v>4.8600000000000003</v>
      </c>
      <c r="R135">
        <v>5.49</v>
      </c>
      <c r="S135">
        <v>2.34</v>
      </c>
      <c r="T135">
        <v>2.62</v>
      </c>
      <c r="W135">
        <f t="shared" si="21"/>
        <v>7.2</v>
      </c>
      <c r="X135">
        <f t="shared" si="21"/>
        <v>8.11</v>
      </c>
    </row>
    <row r="136" spans="1:24" x14ac:dyDescent="0.25">
      <c r="A136" t="s">
        <v>43</v>
      </c>
      <c r="B136" t="s">
        <v>28</v>
      </c>
      <c r="C136">
        <v>1</v>
      </c>
      <c r="D136" t="str">
        <f t="shared" si="25"/>
        <v>SO_d_1</v>
      </c>
      <c r="E136">
        <f>3+6+4+4+3+6+2+6+1+3</f>
        <v>38</v>
      </c>
      <c r="F136">
        <v>4</v>
      </c>
      <c r="G136">
        <f>2+3</f>
        <v>5</v>
      </c>
      <c r="H136">
        <f t="shared" si="26"/>
        <v>39</v>
      </c>
      <c r="I136">
        <f>2+2+1</f>
        <v>5</v>
      </c>
      <c r="J136">
        <v>0</v>
      </c>
      <c r="K136">
        <f t="shared" si="23"/>
        <v>34</v>
      </c>
      <c r="L136">
        <f t="shared" si="29"/>
        <v>9</v>
      </c>
      <c r="M136">
        <f t="shared" si="29"/>
        <v>5</v>
      </c>
      <c r="N136">
        <f t="shared" si="27"/>
        <v>0.23684210526315788</v>
      </c>
      <c r="O136">
        <f t="shared" si="28"/>
        <v>4.2222222222222223</v>
      </c>
      <c r="P136">
        <f t="shared" si="24"/>
        <v>7.6000000000000005</v>
      </c>
      <c r="Q136">
        <v>4.67</v>
      </c>
      <c r="R136">
        <v>4.72</v>
      </c>
      <c r="S136">
        <v>3.01</v>
      </c>
      <c r="T136">
        <v>3.04</v>
      </c>
      <c r="U136">
        <v>3.85</v>
      </c>
      <c r="V136">
        <v>3.97</v>
      </c>
      <c r="W136">
        <f t="shared" si="21"/>
        <v>11.53</v>
      </c>
      <c r="X136">
        <f t="shared" si="21"/>
        <v>11.73</v>
      </c>
    </row>
    <row r="137" spans="1:24" x14ac:dyDescent="0.25">
      <c r="A137" t="s">
        <v>43</v>
      </c>
      <c r="B137" t="s">
        <v>28</v>
      </c>
      <c r="C137">
        <v>2</v>
      </c>
      <c r="D137" t="str">
        <f t="shared" si="25"/>
        <v>SO_d_2</v>
      </c>
      <c r="E137">
        <f>1+1+7+5+6+5+3+4+2+6</f>
        <v>40</v>
      </c>
      <c r="F137">
        <f>1+1+1</f>
        <v>3</v>
      </c>
      <c r="G137">
        <v>0</v>
      </c>
      <c r="H137">
        <f t="shared" si="26"/>
        <v>37</v>
      </c>
      <c r="I137">
        <v>2</v>
      </c>
      <c r="J137">
        <v>0</v>
      </c>
      <c r="K137">
        <f t="shared" si="23"/>
        <v>35</v>
      </c>
      <c r="L137">
        <f t="shared" si="29"/>
        <v>5</v>
      </c>
      <c r="M137">
        <f t="shared" si="29"/>
        <v>0</v>
      </c>
      <c r="N137">
        <f>L137/E137</f>
        <v>0.125</v>
      </c>
      <c r="O137">
        <f t="shared" si="28"/>
        <v>8</v>
      </c>
      <c r="Q137">
        <v>5.18</v>
      </c>
      <c r="R137">
        <v>4.87</v>
      </c>
      <c r="S137">
        <v>2.95</v>
      </c>
      <c r="T137">
        <v>3.36</v>
      </c>
      <c r="W137">
        <f t="shared" si="21"/>
        <v>8.129999999999999</v>
      </c>
      <c r="X137">
        <f t="shared" si="21"/>
        <v>8.23</v>
      </c>
    </row>
    <row r="138" spans="1:24" x14ac:dyDescent="0.25">
      <c r="A138" t="s">
        <v>43</v>
      </c>
      <c r="B138" t="s">
        <v>30</v>
      </c>
      <c r="C138">
        <v>1</v>
      </c>
      <c r="D138" t="str">
        <f t="shared" si="25"/>
        <v>SO_e_1</v>
      </c>
      <c r="E138">
        <f>7+4+3+5+2+2+4+1+4+1+3+1+2</f>
        <v>39</v>
      </c>
      <c r="F138">
        <f>2+1</f>
        <v>3</v>
      </c>
      <c r="G138">
        <v>0</v>
      </c>
      <c r="H138">
        <f t="shared" si="26"/>
        <v>36</v>
      </c>
      <c r="I138">
        <v>3</v>
      </c>
      <c r="J138">
        <v>0</v>
      </c>
      <c r="K138">
        <f t="shared" si="23"/>
        <v>33</v>
      </c>
      <c r="L138">
        <f t="shared" si="29"/>
        <v>6</v>
      </c>
      <c r="M138">
        <f t="shared" si="29"/>
        <v>0</v>
      </c>
      <c r="N138">
        <f t="shared" si="27"/>
        <v>0.15384615384615385</v>
      </c>
      <c r="O138">
        <f t="shared" si="28"/>
        <v>6.5</v>
      </c>
      <c r="Q138">
        <v>5.04</v>
      </c>
      <c r="R138">
        <v>4.91</v>
      </c>
      <c r="S138">
        <v>4.1100000000000003</v>
      </c>
      <c r="T138">
        <v>4.24</v>
      </c>
      <c r="U138">
        <v>2.27</v>
      </c>
      <c r="V138">
        <v>2.4500000000000002</v>
      </c>
      <c r="W138">
        <f t="shared" si="21"/>
        <v>11.42</v>
      </c>
      <c r="X138">
        <f t="shared" si="21"/>
        <v>11.600000000000001</v>
      </c>
    </row>
    <row r="139" spans="1:24" x14ac:dyDescent="0.25">
      <c r="A139" t="s">
        <v>43</v>
      </c>
      <c r="B139" t="s">
        <v>30</v>
      </c>
      <c r="C139">
        <v>2</v>
      </c>
      <c r="D139" t="str">
        <f t="shared" si="25"/>
        <v>SO_e_2</v>
      </c>
      <c r="E139">
        <f>1+4+4+4+3+1+2+6+8+2+2+6+6</f>
        <v>49</v>
      </c>
      <c r="F139">
        <f>1+1</f>
        <v>2</v>
      </c>
      <c r="G139">
        <f>1+3+2+1</f>
        <v>7</v>
      </c>
      <c r="H139">
        <f t="shared" si="26"/>
        <v>54</v>
      </c>
      <c r="I139">
        <v>5</v>
      </c>
      <c r="J139">
        <v>3</v>
      </c>
      <c r="K139">
        <f t="shared" si="23"/>
        <v>52</v>
      </c>
      <c r="L139">
        <f t="shared" si="29"/>
        <v>7</v>
      </c>
      <c r="M139">
        <f t="shared" si="29"/>
        <v>10</v>
      </c>
      <c r="N139">
        <f t="shared" si="27"/>
        <v>0.14285714285714285</v>
      </c>
      <c r="O139">
        <f t="shared" si="28"/>
        <v>7</v>
      </c>
      <c r="P139">
        <f t="shared" si="24"/>
        <v>4.8999999999999995</v>
      </c>
      <c r="Q139">
        <v>4.74</v>
      </c>
      <c r="R139">
        <v>4.8099999999999996</v>
      </c>
      <c r="S139">
        <v>4.62</v>
      </c>
      <c r="T139">
        <v>4.76</v>
      </c>
      <c r="W139">
        <f t="shared" si="21"/>
        <v>9.36</v>
      </c>
      <c r="X139">
        <f t="shared" si="21"/>
        <v>9.57</v>
      </c>
    </row>
    <row r="140" spans="1:24" x14ac:dyDescent="0.25">
      <c r="A140" t="s">
        <v>44</v>
      </c>
      <c r="B140" t="s">
        <v>25</v>
      </c>
      <c r="C140">
        <v>1</v>
      </c>
      <c r="D140" t="str">
        <f t="shared" si="25"/>
        <v>SYG_a_1</v>
      </c>
      <c r="E140">
        <f>1+3+3+1+4+3+9+1+2+5+3+2+3</f>
        <v>40</v>
      </c>
      <c r="F140">
        <f>1+2+1</f>
        <v>4</v>
      </c>
      <c r="G140">
        <f>2+2+1+1+1</f>
        <v>7</v>
      </c>
      <c r="H140">
        <f t="shared" si="26"/>
        <v>43</v>
      </c>
      <c r="I140">
        <f>2+1+1+3+3+2+1</f>
        <v>13</v>
      </c>
      <c r="J140">
        <f>13</f>
        <v>13</v>
      </c>
      <c r="K140">
        <f t="shared" si="23"/>
        <v>43</v>
      </c>
      <c r="L140">
        <f t="shared" si="29"/>
        <v>17</v>
      </c>
      <c r="M140">
        <f t="shared" si="29"/>
        <v>20</v>
      </c>
      <c r="N140">
        <f t="shared" si="27"/>
        <v>0.42499999999999999</v>
      </c>
      <c r="O140">
        <f t="shared" si="28"/>
        <v>2.3529411764705883</v>
      </c>
      <c r="P140">
        <f t="shared" si="24"/>
        <v>2</v>
      </c>
      <c r="Q140">
        <v>7.27</v>
      </c>
      <c r="R140">
        <v>7.93</v>
      </c>
      <c r="S140">
        <v>6.06</v>
      </c>
      <c r="T140">
        <v>6.07</v>
      </c>
      <c r="U140">
        <v>5.21</v>
      </c>
      <c r="V140">
        <v>5.21</v>
      </c>
      <c r="W140">
        <f t="shared" si="21"/>
        <v>18.54</v>
      </c>
      <c r="X140">
        <f t="shared" si="21"/>
        <v>19.21</v>
      </c>
    </row>
    <row r="141" spans="1:24" x14ac:dyDescent="0.25">
      <c r="A141" t="s">
        <v>44</v>
      </c>
      <c r="B141" t="s">
        <v>25</v>
      </c>
      <c r="C141">
        <v>2</v>
      </c>
      <c r="D141" t="str">
        <f t="shared" si="25"/>
        <v>SYG_a_2</v>
      </c>
      <c r="E141">
        <f>5+3+7+6+4+4+4+6</f>
        <v>39</v>
      </c>
      <c r="F141">
        <f>1+1+1+2+1</f>
        <v>6</v>
      </c>
      <c r="G141">
        <f>1+1+2</f>
        <v>4</v>
      </c>
      <c r="H141">
        <f t="shared" si="26"/>
        <v>37</v>
      </c>
      <c r="I141">
        <f>2+3+2+1+2</f>
        <v>10</v>
      </c>
      <c r="J141">
        <v>12</v>
      </c>
      <c r="K141">
        <f t="shared" si="23"/>
        <v>39</v>
      </c>
      <c r="L141">
        <f t="shared" si="29"/>
        <v>16</v>
      </c>
      <c r="M141">
        <f t="shared" si="29"/>
        <v>16</v>
      </c>
      <c r="N141">
        <f t="shared" si="27"/>
        <v>0.41025641025641024</v>
      </c>
      <c r="O141">
        <f t="shared" si="28"/>
        <v>2.4375</v>
      </c>
      <c r="P141">
        <f t="shared" si="24"/>
        <v>2.4375</v>
      </c>
      <c r="Q141">
        <v>7.62</v>
      </c>
      <c r="R141">
        <v>7.87</v>
      </c>
      <c r="S141">
        <v>5.56</v>
      </c>
      <c r="T141">
        <v>5.82</v>
      </c>
      <c r="U141">
        <v>4.97</v>
      </c>
      <c r="V141">
        <v>5.0599999999999996</v>
      </c>
      <c r="W141">
        <f t="shared" si="21"/>
        <v>18.149999999999999</v>
      </c>
      <c r="X141">
        <f t="shared" si="21"/>
        <v>18.75</v>
      </c>
    </row>
    <row r="142" spans="1:24" x14ac:dyDescent="0.25">
      <c r="A142" t="s">
        <v>44</v>
      </c>
      <c r="B142" t="s">
        <v>26</v>
      </c>
      <c r="C142">
        <v>1</v>
      </c>
      <c r="D142" t="str">
        <f t="shared" si="25"/>
        <v>SYG_b_1</v>
      </c>
      <c r="E142">
        <f>1+14+1+6+11</f>
        <v>33</v>
      </c>
      <c r="F142">
        <f>2+1</f>
        <v>3</v>
      </c>
      <c r="G142">
        <v>2</v>
      </c>
      <c r="H142">
        <f t="shared" si="26"/>
        <v>32</v>
      </c>
      <c r="I142">
        <v>7</v>
      </c>
      <c r="J142">
        <v>9</v>
      </c>
      <c r="K142">
        <f t="shared" si="23"/>
        <v>34</v>
      </c>
      <c r="L142">
        <f t="shared" si="29"/>
        <v>10</v>
      </c>
      <c r="M142">
        <f t="shared" si="29"/>
        <v>11</v>
      </c>
      <c r="N142">
        <f t="shared" si="27"/>
        <v>0.30303030303030304</v>
      </c>
      <c r="O142">
        <f t="shared" si="28"/>
        <v>3.3</v>
      </c>
      <c r="P142">
        <f t="shared" si="24"/>
        <v>3</v>
      </c>
      <c r="Q142">
        <v>9.56</v>
      </c>
      <c r="R142">
        <v>9.1999999999999993</v>
      </c>
      <c r="S142">
        <v>6.59</v>
      </c>
      <c r="T142">
        <v>6.87</v>
      </c>
      <c r="U142">
        <v>6.38</v>
      </c>
      <c r="V142">
        <v>6.44</v>
      </c>
      <c r="W142">
        <f t="shared" si="21"/>
        <v>22.529999999999998</v>
      </c>
      <c r="X142">
        <f t="shared" si="21"/>
        <v>22.51</v>
      </c>
    </row>
    <row r="143" spans="1:24" x14ac:dyDescent="0.25">
      <c r="A143" t="s">
        <v>44</v>
      </c>
      <c r="B143" t="s">
        <v>26</v>
      </c>
      <c r="C143">
        <v>2</v>
      </c>
      <c r="D143" t="str">
        <f t="shared" si="25"/>
        <v>SYG_b_2</v>
      </c>
      <c r="E143">
        <f>13+8</f>
        <v>21</v>
      </c>
      <c r="F143">
        <v>0</v>
      </c>
      <c r="G143">
        <v>0</v>
      </c>
      <c r="H143">
        <f t="shared" si="26"/>
        <v>21</v>
      </c>
      <c r="I143">
        <v>4</v>
      </c>
      <c r="J143">
        <v>8</v>
      </c>
      <c r="K143">
        <f t="shared" si="23"/>
        <v>25</v>
      </c>
      <c r="L143">
        <f t="shared" si="29"/>
        <v>4</v>
      </c>
      <c r="M143">
        <f t="shared" si="29"/>
        <v>8</v>
      </c>
      <c r="N143">
        <f t="shared" si="27"/>
        <v>0.19047619047619047</v>
      </c>
      <c r="O143">
        <f t="shared" si="28"/>
        <v>5.25</v>
      </c>
      <c r="P143">
        <f t="shared" si="24"/>
        <v>2.625</v>
      </c>
      <c r="Q143">
        <v>12.78</v>
      </c>
      <c r="R143">
        <v>14.34</v>
      </c>
      <c r="S143">
        <v>7.2</v>
      </c>
      <c r="T143">
        <v>8.09</v>
      </c>
      <c r="U143">
        <v>5.18</v>
      </c>
      <c r="V143">
        <v>5.89</v>
      </c>
      <c r="W143">
        <f t="shared" si="21"/>
        <v>25.16</v>
      </c>
      <c r="X143">
        <f t="shared" si="21"/>
        <v>28.32</v>
      </c>
    </row>
    <row r="144" spans="1:24" x14ac:dyDescent="0.25">
      <c r="A144" t="s">
        <v>44</v>
      </c>
      <c r="B144" t="s">
        <v>26</v>
      </c>
      <c r="C144">
        <v>3</v>
      </c>
      <c r="D144" t="str">
        <f t="shared" si="25"/>
        <v>SYG_b_3</v>
      </c>
      <c r="E144">
        <f>10+4+1+5</f>
        <v>20</v>
      </c>
      <c r="F144">
        <v>0</v>
      </c>
      <c r="G144">
        <v>1</v>
      </c>
      <c r="H144">
        <f t="shared" si="26"/>
        <v>21</v>
      </c>
      <c r="I144">
        <v>3</v>
      </c>
      <c r="J144">
        <v>6</v>
      </c>
      <c r="K144">
        <f t="shared" si="23"/>
        <v>24</v>
      </c>
      <c r="L144">
        <f t="shared" si="29"/>
        <v>3</v>
      </c>
      <c r="M144">
        <f t="shared" si="29"/>
        <v>7</v>
      </c>
      <c r="N144">
        <f t="shared" si="27"/>
        <v>0.15</v>
      </c>
      <c r="O144">
        <f t="shared" si="28"/>
        <v>6.666666666666667</v>
      </c>
      <c r="P144">
        <f t="shared" si="24"/>
        <v>2.8571428571428572</v>
      </c>
      <c r="Q144">
        <v>7.26</v>
      </c>
      <c r="R144">
        <v>7.31</v>
      </c>
      <c r="S144">
        <v>10.82</v>
      </c>
      <c r="T144">
        <v>11.63</v>
      </c>
      <c r="U144">
        <v>5.54</v>
      </c>
      <c r="V144">
        <v>5.75</v>
      </c>
      <c r="W144">
        <f t="shared" si="21"/>
        <v>23.619999999999997</v>
      </c>
      <c r="X144">
        <f t="shared" si="21"/>
        <v>24.69</v>
      </c>
    </row>
    <row r="145" spans="1:24" x14ac:dyDescent="0.25">
      <c r="A145" t="s">
        <v>44</v>
      </c>
      <c r="B145" t="s">
        <v>27</v>
      </c>
      <c r="C145">
        <v>1</v>
      </c>
      <c r="D145" t="str">
        <f t="shared" si="25"/>
        <v>SYG_c_1</v>
      </c>
      <c r="E145">
        <f>5+3+1+2+1+1+10+2+3+1+5+5+2+1+1+4+5</f>
        <v>52</v>
      </c>
      <c r="F145">
        <f>1+1+1+1+1</f>
        <v>5</v>
      </c>
      <c r="G145">
        <f>1+1+2+1+1</f>
        <v>6</v>
      </c>
      <c r="H145">
        <f t="shared" si="26"/>
        <v>53</v>
      </c>
      <c r="I145">
        <f>3+1+2+2+10+3+1+4+4</f>
        <v>30</v>
      </c>
      <c r="J145">
        <f>4</f>
        <v>4</v>
      </c>
      <c r="K145">
        <f t="shared" si="23"/>
        <v>27</v>
      </c>
      <c r="L145">
        <f t="shared" si="29"/>
        <v>35</v>
      </c>
      <c r="M145">
        <f t="shared" si="29"/>
        <v>10</v>
      </c>
      <c r="N145">
        <f t="shared" si="27"/>
        <v>0.67307692307692313</v>
      </c>
      <c r="O145">
        <f t="shared" si="28"/>
        <v>1.4857142857142855</v>
      </c>
      <c r="P145">
        <f t="shared" si="24"/>
        <v>5.1999999999999993</v>
      </c>
      <c r="Q145">
        <v>8.74</v>
      </c>
      <c r="R145">
        <v>8.67</v>
      </c>
      <c r="S145">
        <v>12.76</v>
      </c>
      <c r="T145">
        <v>13.18</v>
      </c>
      <c r="U145">
        <v>5.8</v>
      </c>
      <c r="V145">
        <v>6.01</v>
      </c>
      <c r="W145">
        <f t="shared" si="21"/>
        <v>27.3</v>
      </c>
      <c r="X145">
        <f t="shared" si="21"/>
        <v>27.86</v>
      </c>
    </row>
    <row r="146" spans="1:24" x14ac:dyDescent="0.25">
      <c r="A146" t="s">
        <v>44</v>
      </c>
      <c r="B146" t="s">
        <v>27</v>
      </c>
      <c r="C146">
        <v>2</v>
      </c>
      <c r="D146" t="str">
        <f t="shared" si="25"/>
        <v>SYG_c_2</v>
      </c>
      <c r="E146">
        <f>2+1+5+1+2+2+1</f>
        <v>14</v>
      </c>
      <c r="F146">
        <v>0</v>
      </c>
      <c r="G146">
        <v>4</v>
      </c>
      <c r="H146">
        <f t="shared" si="26"/>
        <v>18</v>
      </c>
      <c r="I146">
        <f>3</f>
        <v>3</v>
      </c>
      <c r="J146">
        <v>0</v>
      </c>
      <c r="K146">
        <f t="shared" si="23"/>
        <v>15</v>
      </c>
      <c r="L146">
        <f t="shared" si="29"/>
        <v>3</v>
      </c>
      <c r="M146">
        <f t="shared" si="29"/>
        <v>4</v>
      </c>
      <c r="N146">
        <f t="shared" si="27"/>
        <v>0.21428571428571427</v>
      </c>
      <c r="O146">
        <f t="shared" si="28"/>
        <v>4.666666666666667</v>
      </c>
      <c r="P146">
        <f t="shared" si="24"/>
        <v>3.5</v>
      </c>
      <c r="Q146">
        <v>6.13</v>
      </c>
      <c r="R146">
        <v>6.67</v>
      </c>
      <c r="S146">
        <v>7.76</v>
      </c>
      <c r="T146">
        <v>8.35</v>
      </c>
      <c r="U146">
        <v>6.13</v>
      </c>
      <c r="V146">
        <v>6.67</v>
      </c>
      <c r="W146">
        <f t="shared" si="21"/>
        <v>20.02</v>
      </c>
      <c r="X146">
        <f t="shared" si="21"/>
        <v>21.689999999999998</v>
      </c>
    </row>
    <row r="147" spans="1:24" x14ac:dyDescent="0.25">
      <c r="A147" t="s">
        <v>44</v>
      </c>
      <c r="B147" t="s">
        <v>27</v>
      </c>
      <c r="C147">
        <v>3</v>
      </c>
      <c r="D147" t="str">
        <f t="shared" si="25"/>
        <v>SYG_c_3</v>
      </c>
      <c r="E147">
        <f>9+3+5+1+2+2+3</f>
        <v>25</v>
      </c>
      <c r="F147">
        <v>3</v>
      </c>
      <c r="G147">
        <v>3</v>
      </c>
      <c r="H147">
        <f t="shared" si="26"/>
        <v>25</v>
      </c>
      <c r="I147">
        <f>5+1+2+2+1</f>
        <v>11</v>
      </c>
      <c r="J147">
        <f>4</f>
        <v>4</v>
      </c>
      <c r="K147">
        <f t="shared" si="23"/>
        <v>18</v>
      </c>
      <c r="L147">
        <f t="shared" si="29"/>
        <v>14</v>
      </c>
      <c r="M147">
        <f t="shared" si="29"/>
        <v>7</v>
      </c>
      <c r="N147">
        <f t="shared" si="27"/>
        <v>0.56000000000000005</v>
      </c>
      <c r="O147">
        <f t="shared" si="28"/>
        <v>1.7857142857142856</v>
      </c>
      <c r="P147">
        <f t="shared" si="24"/>
        <v>3.5714285714285712</v>
      </c>
      <c r="Q147">
        <v>6.47</v>
      </c>
      <c r="R147">
        <v>6.52</v>
      </c>
      <c r="S147">
        <v>4.01</v>
      </c>
      <c r="T147">
        <v>4.08</v>
      </c>
      <c r="W147">
        <f t="shared" si="21"/>
        <v>10.48</v>
      </c>
      <c r="X147">
        <f t="shared" si="21"/>
        <v>10.6</v>
      </c>
    </row>
    <row r="148" spans="1:24" x14ac:dyDescent="0.25">
      <c r="A148" t="s">
        <v>44</v>
      </c>
      <c r="B148" t="s">
        <v>30</v>
      </c>
      <c r="C148">
        <v>1</v>
      </c>
      <c r="D148" t="str">
        <f t="shared" si="25"/>
        <v>SYG_e_1</v>
      </c>
      <c r="E148">
        <f>1+1+1+5+4+6+1+2+5+2+4+1+5</f>
        <v>38</v>
      </c>
      <c r="F148">
        <f>0</f>
        <v>0</v>
      </c>
      <c r="G148">
        <v>3</v>
      </c>
      <c r="H148">
        <f t="shared" si="26"/>
        <v>41</v>
      </c>
      <c r="I148">
        <f>1+1+1+1+1+1</f>
        <v>6</v>
      </c>
      <c r="J148">
        <f>7+2+2+10+1</f>
        <v>22</v>
      </c>
      <c r="K148">
        <f t="shared" si="23"/>
        <v>57</v>
      </c>
      <c r="L148">
        <f t="shared" si="29"/>
        <v>6</v>
      </c>
      <c r="M148">
        <f t="shared" si="29"/>
        <v>25</v>
      </c>
      <c r="N148">
        <f t="shared" si="27"/>
        <v>0.15789473684210525</v>
      </c>
      <c r="O148">
        <f t="shared" si="28"/>
        <v>6.3333333333333339</v>
      </c>
      <c r="P148">
        <f t="shared" si="24"/>
        <v>1.5199999999999998</v>
      </c>
      <c r="Q148">
        <v>9.75</v>
      </c>
      <c r="R148">
        <v>10.8</v>
      </c>
      <c r="S148">
        <v>7.41</v>
      </c>
      <c r="T148">
        <v>8.16</v>
      </c>
      <c r="U148">
        <v>4.53</v>
      </c>
      <c r="V148">
        <v>5.07</v>
      </c>
      <c r="W148">
        <f t="shared" si="21"/>
        <v>21.69</v>
      </c>
      <c r="X148">
        <f t="shared" si="21"/>
        <v>24.03</v>
      </c>
    </row>
    <row r="149" spans="1:24" x14ac:dyDescent="0.25">
      <c r="A149" t="s">
        <v>44</v>
      </c>
      <c r="B149" t="s">
        <v>40</v>
      </c>
      <c r="C149">
        <v>1</v>
      </c>
      <c r="D149" t="str">
        <f t="shared" si="25"/>
        <v>SYG_f_1</v>
      </c>
      <c r="E149">
        <f>1+1+7+3+11</f>
        <v>23</v>
      </c>
      <c r="F149">
        <v>0</v>
      </c>
      <c r="G149">
        <v>3</v>
      </c>
      <c r="H149">
        <f t="shared" si="26"/>
        <v>26</v>
      </c>
      <c r="I149">
        <f>7</f>
        <v>7</v>
      </c>
      <c r="J149">
        <v>8</v>
      </c>
      <c r="K149">
        <f t="shared" si="23"/>
        <v>27</v>
      </c>
      <c r="L149">
        <f t="shared" si="29"/>
        <v>7</v>
      </c>
      <c r="M149">
        <f t="shared" si="29"/>
        <v>11</v>
      </c>
      <c r="N149">
        <f t="shared" si="27"/>
        <v>0.30434782608695654</v>
      </c>
      <c r="O149">
        <f t="shared" si="28"/>
        <v>3.2857142857142856</v>
      </c>
      <c r="P149">
        <f t="shared" si="24"/>
        <v>2.0909090909090908</v>
      </c>
      <c r="Q149">
        <v>8.4499999999999993</v>
      </c>
      <c r="R149">
        <v>9.25</v>
      </c>
      <c r="S149">
        <v>5.8</v>
      </c>
      <c r="T149">
        <v>6.03</v>
      </c>
      <c r="U149">
        <v>4.45</v>
      </c>
      <c r="V149">
        <v>4.59</v>
      </c>
      <c r="W149">
        <f t="shared" si="21"/>
        <v>18.7</v>
      </c>
      <c r="X149">
        <f t="shared" si="21"/>
        <v>19.87</v>
      </c>
    </row>
    <row r="150" spans="1:24" x14ac:dyDescent="0.25">
      <c r="A150" t="s">
        <v>45</v>
      </c>
      <c r="B150" t="s">
        <v>25</v>
      </c>
      <c r="C150">
        <v>1</v>
      </c>
      <c r="D150" t="str">
        <f t="shared" si="25"/>
        <v>TL_a_1</v>
      </c>
      <c r="E150">
        <f>4+10+3+4+3+8+9+4+4</f>
        <v>49</v>
      </c>
      <c r="F150">
        <v>0</v>
      </c>
      <c r="G150">
        <v>0</v>
      </c>
      <c r="H150">
        <f t="shared" si="26"/>
        <v>49</v>
      </c>
      <c r="I150">
        <f>1+1+3+1+1</f>
        <v>7</v>
      </c>
      <c r="J150">
        <f>3+3+2+3</f>
        <v>11</v>
      </c>
      <c r="K150">
        <f t="shared" si="23"/>
        <v>53</v>
      </c>
      <c r="L150">
        <f t="shared" si="29"/>
        <v>7</v>
      </c>
      <c r="M150">
        <f t="shared" si="29"/>
        <v>11</v>
      </c>
      <c r="N150">
        <f t="shared" si="27"/>
        <v>0.14285714285714285</v>
      </c>
      <c r="O150">
        <f t="shared" si="28"/>
        <v>7</v>
      </c>
      <c r="P150">
        <f t="shared" si="24"/>
        <v>4.4545454545454541</v>
      </c>
      <c r="Q150">
        <v>4.57</v>
      </c>
      <c r="R150">
        <v>4.51</v>
      </c>
      <c r="S150">
        <v>3.49</v>
      </c>
      <c r="T150">
        <v>3.58</v>
      </c>
      <c r="W150">
        <f t="shared" si="21"/>
        <v>8.06</v>
      </c>
      <c r="X150">
        <f t="shared" si="21"/>
        <v>8.09</v>
      </c>
    </row>
    <row r="151" spans="1:24" x14ac:dyDescent="0.25">
      <c r="A151" t="s">
        <v>45</v>
      </c>
      <c r="B151" t="s">
        <v>25</v>
      </c>
      <c r="C151">
        <v>2</v>
      </c>
      <c r="D151" t="str">
        <f t="shared" si="25"/>
        <v>TL_a_2</v>
      </c>
      <c r="E151">
        <f>6+1+1+5+6+3+2+2+3+2+4+2+5+3+4+7+6+13+3</f>
        <v>78</v>
      </c>
      <c r="F151">
        <f>3+3</f>
        <v>6</v>
      </c>
      <c r="G151">
        <v>1</v>
      </c>
      <c r="H151">
        <f t="shared" si="26"/>
        <v>73</v>
      </c>
      <c r="I151">
        <v>4</v>
      </c>
      <c r="J151">
        <v>2</v>
      </c>
      <c r="K151">
        <f t="shared" si="23"/>
        <v>71</v>
      </c>
      <c r="L151">
        <f t="shared" si="29"/>
        <v>10</v>
      </c>
      <c r="M151">
        <f t="shared" si="29"/>
        <v>3</v>
      </c>
      <c r="N151">
        <f t="shared" si="27"/>
        <v>0.12820512820512819</v>
      </c>
      <c r="O151">
        <f t="shared" si="28"/>
        <v>7.8000000000000007</v>
      </c>
      <c r="P151">
        <f t="shared" si="24"/>
        <v>26</v>
      </c>
      <c r="Q151">
        <v>4.3499999999999996</v>
      </c>
      <c r="R151">
        <v>4.53</v>
      </c>
      <c r="S151">
        <v>3.9</v>
      </c>
      <c r="T151">
        <v>4.1500000000000004</v>
      </c>
      <c r="U151">
        <v>3.37</v>
      </c>
      <c r="V151">
        <v>3.43</v>
      </c>
      <c r="W151">
        <f t="shared" si="21"/>
        <v>11.620000000000001</v>
      </c>
      <c r="X151">
        <f t="shared" si="21"/>
        <v>12.11</v>
      </c>
    </row>
    <row r="152" spans="1:24" x14ac:dyDescent="0.25">
      <c r="A152" t="s">
        <v>45</v>
      </c>
      <c r="B152" t="s">
        <v>25</v>
      </c>
      <c r="C152">
        <v>3</v>
      </c>
      <c r="D152" t="str">
        <f t="shared" si="25"/>
        <v>TL_a_3</v>
      </c>
      <c r="E152">
        <f>1+10+9+3+8+4+1+1+13+12+11+4</f>
        <v>77</v>
      </c>
      <c r="F152">
        <f>1+1+1+3+1+1+3+2</f>
        <v>13</v>
      </c>
      <c r="G152">
        <v>1</v>
      </c>
      <c r="H152">
        <f t="shared" si="26"/>
        <v>65</v>
      </c>
      <c r="I152">
        <v>6</v>
      </c>
      <c r="J152">
        <v>3</v>
      </c>
      <c r="K152">
        <f t="shared" si="23"/>
        <v>62</v>
      </c>
      <c r="L152">
        <f t="shared" si="29"/>
        <v>19</v>
      </c>
      <c r="M152">
        <f t="shared" si="29"/>
        <v>4</v>
      </c>
      <c r="N152">
        <f t="shared" si="27"/>
        <v>0.24675324675324675</v>
      </c>
      <c r="O152">
        <f t="shared" si="28"/>
        <v>4.0526315789473681</v>
      </c>
      <c r="P152">
        <f t="shared" si="24"/>
        <v>19.25</v>
      </c>
      <c r="Q152">
        <v>4.33</v>
      </c>
      <c r="R152">
        <v>4.57</v>
      </c>
      <c r="S152">
        <v>1.79</v>
      </c>
      <c r="T152">
        <v>1.91</v>
      </c>
      <c r="U152">
        <v>1.72</v>
      </c>
      <c r="V152">
        <v>1.8</v>
      </c>
      <c r="W152">
        <f t="shared" si="21"/>
        <v>7.84</v>
      </c>
      <c r="X152">
        <f t="shared" si="21"/>
        <v>8.2800000000000011</v>
      </c>
    </row>
    <row r="153" spans="1:24" x14ac:dyDescent="0.25">
      <c r="A153" t="s">
        <v>45</v>
      </c>
      <c r="B153" t="s">
        <v>26</v>
      </c>
      <c r="C153">
        <v>1</v>
      </c>
      <c r="D153" t="str">
        <f t="shared" si="25"/>
        <v>TL_b_1</v>
      </c>
      <c r="E153">
        <f>3+3+5+4+1+5+4+9+3</f>
        <v>37</v>
      </c>
      <c r="F153">
        <f>5+3+1+1</f>
        <v>10</v>
      </c>
      <c r="G153">
        <v>0</v>
      </c>
      <c r="H153">
        <f t="shared" si="26"/>
        <v>27</v>
      </c>
      <c r="I153">
        <v>3</v>
      </c>
      <c r="J153">
        <f>4+9+3</f>
        <v>16</v>
      </c>
      <c r="K153">
        <f t="shared" si="23"/>
        <v>40</v>
      </c>
      <c r="L153">
        <f t="shared" si="29"/>
        <v>13</v>
      </c>
      <c r="M153">
        <f t="shared" si="29"/>
        <v>16</v>
      </c>
      <c r="N153">
        <f t="shared" si="27"/>
        <v>0.35135135135135137</v>
      </c>
      <c r="O153">
        <f t="shared" si="28"/>
        <v>2.8461538461538458</v>
      </c>
      <c r="P153">
        <f t="shared" si="24"/>
        <v>2.3125</v>
      </c>
      <c r="Q153">
        <v>3.56</v>
      </c>
      <c r="R153">
        <v>3.87</v>
      </c>
      <c r="S153">
        <v>2.67</v>
      </c>
      <c r="T153">
        <v>2.68</v>
      </c>
      <c r="W153">
        <f t="shared" si="21"/>
        <v>6.23</v>
      </c>
      <c r="X153">
        <f t="shared" si="21"/>
        <v>6.5500000000000007</v>
      </c>
    </row>
    <row r="154" spans="1:24" x14ac:dyDescent="0.25">
      <c r="A154" t="s">
        <v>45</v>
      </c>
      <c r="B154" t="s">
        <v>26</v>
      </c>
      <c r="C154">
        <v>2</v>
      </c>
      <c r="D154" t="str">
        <f t="shared" si="25"/>
        <v>TL_b_2</v>
      </c>
      <c r="E154">
        <f>8+12+5+3+1+11+8+3+12</f>
        <v>63</v>
      </c>
      <c r="F154">
        <f>1+1</f>
        <v>2</v>
      </c>
      <c r="G154">
        <v>2</v>
      </c>
      <c r="H154">
        <f t="shared" si="26"/>
        <v>63</v>
      </c>
      <c r="I154">
        <v>3</v>
      </c>
      <c r="J154">
        <v>9</v>
      </c>
      <c r="K154">
        <f t="shared" si="23"/>
        <v>69</v>
      </c>
      <c r="L154">
        <f t="shared" si="29"/>
        <v>5</v>
      </c>
      <c r="M154">
        <f t="shared" si="29"/>
        <v>11</v>
      </c>
      <c r="N154">
        <f>L154/E154</f>
        <v>7.9365079365079361E-2</v>
      </c>
      <c r="O154">
        <f t="shared" si="28"/>
        <v>12.600000000000001</v>
      </c>
      <c r="P154">
        <f t="shared" si="24"/>
        <v>5.7272727272727275</v>
      </c>
      <c r="Q154">
        <v>3.11</v>
      </c>
      <c r="R154">
        <v>3.18</v>
      </c>
      <c r="S154">
        <v>2.39</v>
      </c>
      <c r="T154">
        <v>2.69</v>
      </c>
      <c r="U154">
        <v>1.89</v>
      </c>
      <c r="V154">
        <v>1.87</v>
      </c>
      <c r="W154">
        <f t="shared" si="21"/>
        <v>7.39</v>
      </c>
      <c r="X154">
        <f t="shared" si="21"/>
        <v>7.74</v>
      </c>
    </row>
    <row r="155" spans="1:24" x14ac:dyDescent="0.25">
      <c r="A155" t="s">
        <v>45</v>
      </c>
      <c r="B155" t="s">
        <v>27</v>
      </c>
      <c r="C155">
        <v>1</v>
      </c>
      <c r="D155" t="str">
        <f t="shared" si="25"/>
        <v>TL_c_1</v>
      </c>
      <c r="E155">
        <f>3+3+1+2+3+3+2+2+2+2+2+2+2+2+4+1+3+3+3</f>
        <v>45</v>
      </c>
      <c r="F155">
        <f>1+1+1+1+1+1+1+1</f>
        <v>8</v>
      </c>
      <c r="G155">
        <v>0</v>
      </c>
      <c r="H155">
        <f t="shared" si="26"/>
        <v>37</v>
      </c>
      <c r="I155">
        <v>3</v>
      </c>
      <c r="J155">
        <v>3</v>
      </c>
      <c r="K155">
        <f t="shared" si="23"/>
        <v>37</v>
      </c>
      <c r="L155">
        <f t="shared" si="29"/>
        <v>11</v>
      </c>
      <c r="M155">
        <f t="shared" si="29"/>
        <v>3</v>
      </c>
      <c r="N155">
        <f t="shared" si="27"/>
        <v>0.24444444444444444</v>
      </c>
      <c r="O155">
        <f t="shared" si="28"/>
        <v>4.0909090909090908</v>
      </c>
      <c r="P155">
        <f t="shared" si="24"/>
        <v>15</v>
      </c>
      <c r="Q155">
        <v>2.79</v>
      </c>
      <c r="R155">
        <v>2.81</v>
      </c>
      <c r="S155">
        <v>1.98</v>
      </c>
      <c r="T155">
        <v>1.95</v>
      </c>
      <c r="U155">
        <v>1.67</v>
      </c>
      <c r="V155">
        <v>1.67</v>
      </c>
      <c r="W155">
        <f>Q155+S155+U155</f>
        <v>6.4399999999999995</v>
      </c>
      <c r="X155">
        <f t="shared" ref="X155:X218" si="30">R155+T155+V155</f>
        <v>6.43</v>
      </c>
    </row>
    <row r="156" spans="1:24" x14ac:dyDescent="0.25">
      <c r="A156" t="s">
        <v>45</v>
      </c>
      <c r="B156" t="s">
        <v>27</v>
      </c>
      <c r="C156">
        <v>2</v>
      </c>
      <c r="D156" t="str">
        <f t="shared" si="25"/>
        <v>TL_c_2</v>
      </c>
      <c r="E156">
        <f>7+7+3+3+4+3+3+5+3+4+4+1</f>
        <v>47</v>
      </c>
      <c r="F156">
        <f>2+1+1+1</f>
        <v>5</v>
      </c>
      <c r="G156">
        <v>0</v>
      </c>
      <c r="H156">
        <f t="shared" si="26"/>
        <v>42</v>
      </c>
      <c r="I156">
        <v>6</v>
      </c>
      <c r="J156">
        <v>1</v>
      </c>
      <c r="K156">
        <f t="shared" si="23"/>
        <v>37</v>
      </c>
      <c r="L156">
        <f t="shared" si="29"/>
        <v>11</v>
      </c>
      <c r="M156">
        <f t="shared" si="29"/>
        <v>1</v>
      </c>
      <c r="N156">
        <f t="shared" si="27"/>
        <v>0.23404255319148937</v>
      </c>
      <c r="O156">
        <f t="shared" si="28"/>
        <v>4.2727272727272725</v>
      </c>
      <c r="P156">
        <f t="shared" si="24"/>
        <v>47</v>
      </c>
      <c r="Q156">
        <v>2.8</v>
      </c>
      <c r="R156">
        <v>2.78</v>
      </c>
      <c r="S156">
        <v>2.2599999999999998</v>
      </c>
      <c r="T156">
        <v>2.39</v>
      </c>
      <c r="U156">
        <v>2.0099999999999998</v>
      </c>
      <c r="V156">
        <v>2.04</v>
      </c>
      <c r="W156">
        <f t="shared" ref="W156:W160" si="31">Q156+S156+U156</f>
        <v>7.0699999999999994</v>
      </c>
      <c r="X156">
        <f t="shared" si="30"/>
        <v>7.21</v>
      </c>
    </row>
    <row r="157" spans="1:24" x14ac:dyDescent="0.25">
      <c r="A157" t="s">
        <v>45</v>
      </c>
      <c r="B157" t="s">
        <v>28</v>
      </c>
      <c r="C157">
        <v>1</v>
      </c>
      <c r="D157" t="str">
        <f t="shared" si="25"/>
        <v>TL_d_1</v>
      </c>
      <c r="E157">
        <f>1+3+4+1+1+4+5+2+4+2+1+2+4+6</f>
        <v>40</v>
      </c>
      <c r="F157">
        <f>1+1</f>
        <v>2</v>
      </c>
      <c r="G157">
        <v>0</v>
      </c>
      <c r="H157">
        <f t="shared" si="26"/>
        <v>38</v>
      </c>
      <c r="I157">
        <v>4</v>
      </c>
      <c r="J157">
        <f>2+4+2+2</f>
        <v>10</v>
      </c>
      <c r="K157">
        <f t="shared" si="23"/>
        <v>44</v>
      </c>
      <c r="L157">
        <f t="shared" si="29"/>
        <v>6</v>
      </c>
      <c r="M157">
        <f t="shared" si="29"/>
        <v>10</v>
      </c>
      <c r="N157">
        <f t="shared" si="27"/>
        <v>0.15</v>
      </c>
      <c r="O157">
        <f t="shared" si="28"/>
        <v>6.666666666666667</v>
      </c>
      <c r="P157">
        <f t="shared" si="24"/>
        <v>4</v>
      </c>
      <c r="Q157">
        <v>2.6</v>
      </c>
      <c r="R157">
        <v>2.66</v>
      </c>
      <c r="S157">
        <v>3.77</v>
      </c>
      <c r="T157">
        <v>3.85</v>
      </c>
      <c r="U157">
        <v>1.92</v>
      </c>
      <c r="V157">
        <v>2.0099999999999998</v>
      </c>
      <c r="W157">
        <f t="shared" si="31"/>
        <v>8.2899999999999991</v>
      </c>
      <c r="X157">
        <f t="shared" si="30"/>
        <v>8.52</v>
      </c>
    </row>
    <row r="158" spans="1:24" x14ac:dyDescent="0.25">
      <c r="A158" t="s">
        <v>45</v>
      </c>
      <c r="B158" t="s">
        <v>28</v>
      </c>
      <c r="C158">
        <v>2</v>
      </c>
      <c r="D158" t="str">
        <f t="shared" si="25"/>
        <v>TL_d_2</v>
      </c>
      <c r="E158">
        <f>5+3+3+3+2+2+3+2+2+1+2+4+4+5+5+5</f>
        <v>51</v>
      </c>
      <c r="F158">
        <f>1+1+2</f>
        <v>4</v>
      </c>
      <c r="G158">
        <v>2</v>
      </c>
      <c r="H158">
        <f t="shared" si="26"/>
        <v>49</v>
      </c>
      <c r="I158">
        <v>1</v>
      </c>
      <c r="J158">
        <f>5+2+5+3+3+2+3+3+2</f>
        <v>28</v>
      </c>
      <c r="K158">
        <f t="shared" si="23"/>
        <v>76</v>
      </c>
      <c r="L158">
        <f t="shared" si="29"/>
        <v>5</v>
      </c>
      <c r="M158">
        <f t="shared" si="29"/>
        <v>30</v>
      </c>
      <c r="N158">
        <f>L158/E158</f>
        <v>9.8039215686274508E-2</v>
      </c>
      <c r="O158">
        <f t="shared" si="28"/>
        <v>10.199999999999999</v>
      </c>
      <c r="P158">
        <f t="shared" si="24"/>
        <v>1.7</v>
      </c>
      <c r="Q158">
        <v>3.65</v>
      </c>
      <c r="R158">
        <v>3.89</v>
      </c>
      <c r="S158">
        <v>2.81</v>
      </c>
      <c r="T158">
        <v>3.22</v>
      </c>
      <c r="U158">
        <v>2.16</v>
      </c>
      <c r="V158">
        <v>2.13</v>
      </c>
      <c r="W158">
        <f t="shared" si="31"/>
        <v>8.620000000000001</v>
      </c>
      <c r="X158">
        <f t="shared" si="30"/>
        <v>9.24</v>
      </c>
    </row>
    <row r="159" spans="1:24" x14ac:dyDescent="0.25">
      <c r="A159" t="s">
        <v>45</v>
      </c>
      <c r="B159" t="s">
        <v>30</v>
      </c>
      <c r="C159">
        <v>1</v>
      </c>
      <c r="D159" t="str">
        <f t="shared" si="25"/>
        <v>TL_e_1</v>
      </c>
      <c r="E159">
        <f>12+11+4+7+5+17+3+5+10</f>
        <v>74</v>
      </c>
      <c r="F159">
        <f>1+2</f>
        <v>3</v>
      </c>
      <c r="G159">
        <v>1</v>
      </c>
      <c r="H159">
        <f t="shared" si="26"/>
        <v>72</v>
      </c>
      <c r="I159">
        <f>1+4+2+2+1+2</f>
        <v>12</v>
      </c>
      <c r="J159">
        <f>11+22+6+4</f>
        <v>43</v>
      </c>
      <c r="K159">
        <f t="shared" si="23"/>
        <v>103</v>
      </c>
      <c r="L159">
        <f t="shared" si="29"/>
        <v>15</v>
      </c>
      <c r="M159">
        <f t="shared" si="29"/>
        <v>44</v>
      </c>
      <c r="N159">
        <f t="shared" si="27"/>
        <v>0.20270270270270271</v>
      </c>
      <c r="O159">
        <f t="shared" si="28"/>
        <v>4.9333333333333327</v>
      </c>
      <c r="P159">
        <f t="shared" si="24"/>
        <v>1.6818181818181817</v>
      </c>
      <c r="Q159">
        <v>4.9000000000000004</v>
      </c>
      <c r="R159">
        <v>4.96</v>
      </c>
      <c r="S159">
        <v>2.96</v>
      </c>
      <c r="T159">
        <v>3</v>
      </c>
      <c r="W159">
        <f t="shared" si="31"/>
        <v>7.86</v>
      </c>
      <c r="X159">
        <f t="shared" si="30"/>
        <v>7.96</v>
      </c>
    </row>
    <row r="160" spans="1:24" x14ac:dyDescent="0.25">
      <c r="A160" t="s">
        <v>45</v>
      </c>
      <c r="B160" t="s">
        <v>30</v>
      </c>
      <c r="C160">
        <v>2</v>
      </c>
      <c r="D160" t="str">
        <f t="shared" si="25"/>
        <v>TL_e_2</v>
      </c>
      <c r="E160">
        <f>1+5+5+7+6+9+3+6+10+15+7</f>
        <v>74</v>
      </c>
      <c r="F160">
        <f>1+1+2+1</f>
        <v>5</v>
      </c>
      <c r="G160">
        <v>2</v>
      </c>
      <c r="H160">
        <f t="shared" si="26"/>
        <v>71</v>
      </c>
      <c r="I160">
        <f>2</f>
        <v>2</v>
      </c>
      <c r="J160">
        <f>8+23+5+4+5+6+14</f>
        <v>65</v>
      </c>
      <c r="K160">
        <f t="shared" si="23"/>
        <v>134</v>
      </c>
      <c r="L160">
        <f t="shared" si="29"/>
        <v>7</v>
      </c>
      <c r="M160">
        <f t="shared" si="29"/>
        <v>67</v>
      </c>
      <c r="N160">
        <f t="shared" si="27"/>
        <v>9.45945945945946E-2</v>
      </c>
      <c r="O160">
        <f t="shared" si="28"/>
        <v>10.571428571428571</v>
      </c>
      <c r="P160">
        <f t="shared" si="24"/>
        <v>1.1044776119402986</v>
      </c>
      <c r="Q160">
        <v>4.87</v>
      </c>
      <c r="R160">
        <v>5.12</v>
      </c>
      <c r="S160">
        <v>3.12</v>
      </c>
      <c r="T160">
        <v>3.94</v>
      </c>
      <c r="W160">
        <f t="shared" si="31"/>
        <v>7.99</v>
      </c>
      <c r="X160">
        <f t="shared" si="30"/>
        <v>9.06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lifespan</vt:lpstr>
    </vt:vector>
  </TitlesOfParts>
  <Company>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Kotowska, Martyna</dc:creator>
  <cp:lastModifiedBy>Kotowska, Martyna</cp:lastModifiedBy>
  <dcterms:created xsi:type="dcterms:W3CDTF">2020-05-07T10:32:19Z</dcterms:created>
  <dcterms:modified xsi:type="dcterms:W3CDTF">2020-05-07T10:34:16Z</dcterms:modified>
</cp:coreProperties>
</file>