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8.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9.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0.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11.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Desktop\S. alba files for data archive\"/>
    </mc:Choice>
  </mc:AlternateContent>
  <bookViews>
    <workbookView xWindow="0" yWindow="0" windowWidth="20700" windowHeight="8520"/>
  </bookViews>
  <sheets>
    <sheet name="Overview" sheetId="31" r:id="rId1"/>
    <sheet name="Metadata" sheetId="29" r:id="rId2"/>
    <sheet name="Protocol Metadata" sheetId="4" r:id="rId3"/>
    <sheet name="Late r1" sheetId="18" r:id="rId4"/>
    <sheet name="Late r2" sheetId="17" r:id="rId5"/>
    <sheet name="Late r3" sheetId="19" r:id="rId6"/>
    <sheet name="Late r4" sheetId="20" r:id="rId7"/>
    <sheet name="Late r5" sheetId="21" r:id="rId8"/>
    <sheet name="Late r6" sheetId="22" r:id="rId9"/>
    <sheet name="Late summary values" sheetId="10" r:id="rId10"/>
    <sheet name="Early r1" sheetId="23" r:id="rId11"/>
    <sheet name="Early r2" sheetId="24" r:id="rId12"/>
    <sheet name="Early r3" sheetId="25" r:id="rId13"/>
    <sheet name="Early r4" sheetId="26" r:id="rId14"/>
    <sheet name="Early summary values" sheetId="27" r:id="rId15"/>
    <sheet name="Ttests" sheetId="30" r:id="rId16"/>
  </sheets>
  <externalReferences>
    <externalReference r:id="rId17"/>
  </externalReference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22" i="30" l="1"/>
  <c r="K22" i="30"/>
  <c r="J22" i="30"/>
  <c r="I22" i="30"/>
  <c r="H22" i="30"/>
  <c r="G22" i="30"/>
  <c r="F22" i="30"/>
  <c r="E22" i="30"/>
  <c r="D22" i="30"/>
  <c r="L21" i="30"/>
  <c r="K21" i="30"/>
  <c r="J21" i="30"/>
  <c r="I21" i="30"/>
  <c r="H21" i="30"/>
  <c r="G21" i="30"/>
  <c r="F21" i="30"/>
  <c r="E21" i="30"/>
  <c r="D21" i="30"/>
  <c r="L19" i="30"/>
  <c r="K19" i="30"/>
  <c r="J19" i="30"/>
  <c r="I19" i="30"/>
  <c r="H19" i="30"/>
  <c r="G19" i="30"/>
  <c r="F19" i="30"/>
  <c r="E19" i="30"/>
  <c r="D19" i="30"/>
  <c r="L18" i="30"/>
  <c r="K18" i="30"/>
  <c r="J18" i="30"/>
  <c r="I18" i="30"/>
  <c r="H18" i="30"/>
  <c r="G18" i="30"/>
  <c r="F18" i="30"/>
  <c r="E18" i="30"/>
  <c r="D18" i="30"/>
  <c r="K15" i="30"/>
  <c r="I15" i="30"/>
  <c r="F15" i="30"/>
  <c r="O14" i="30"/>
  <c r="N14" i="30"/>
  <c r="M14" i="30"/>
  <c r="L14" i="30"/>
  <c r="K14" i="30"/>
  <c r="J14" i="30"/>
  <c r="I14" i="30"/>
  <c r="H14" i="30"/>
  <c r="G14" i="30"/>
  <c r="F14" i="30"/>
  <c r="E14" i="30"/>
  <c r="D14" i="30"/>
  <c r="O13" i="30"/>
  <c r="N13" i="30"/>
  <c r="M13" i="30"/>
  <c r="L13" i="30"/>
  <c r="K13" i="30"/>
  <c r="J13" i="30"/>
  <c r="I13" i="30"/>
  <c r="H13" i="30"/>
  <c r="G13" i="30"/>
  <c r="F13" i="30"/>
  <c r="E13" i="30"/>
  <c r="D13" i="30"/>
  <c r="T5" i="27"/>
  <c r="T6" i="27"/>
  <c r="T7" i="27"/>
  <c r="T8" i="27"/>
  <c r="S5" i="27"/>
  <c r="S6" i="27"/>
  <c r="S7" i="27"/>
  <c r="S8" i="27"/>
  <c r="T15" i="27"/>
  <c r="P5" i="27"/>
  <c r="P6" i="27"/>
  <c r="P7" i="27"/>
  <c r="P8" i="27"/>
  <c r="O5" i="27"/>
  <c r="O6" i="27"/>
  <c r="O7" i="27"/>
  <c r="O8" i="27"/>
  <c r="P15" i="27"/>
  <c r="L5" i="27"/>
  <c r="L6" i="27"/>
  <c r="L7" i="27"/>
  <c r="L8" i="27"/>
  <c r="K5" i="27"/>
  <c r="K6" i="27"/>
  <c r="K7" i="27"/>
  <c r="K8" i="27"/>
  <c r="L15" i="27"/>
  <c r="H5" i="27"/>
  <c r="H6" i="27"/>
  <c r="H7" i="27"/>
  <c r="H8" i="27"/>
  <c r="I15" i="27"/>
  <c r="G5" i="27"/>
  <c r="G6" i="27"/>
  <c r="G7" i="27"/>
  <c r="G8" i="27"/>
  <c r="H15" i="27"/>
  <c r="C5" i="27"/>
  <c r="C6" i="27"/>
  <c r="C7" i="27"/>
  <c r="C8" i="27"/>
  <c r="D5" i="27"/>
  <c r="D6" i="27"/>
  <c r="D7" i="27"/>
  <c r="D8" i="27"/>
  <c r="D15" i="27"/>
  <c r="T13" i="27"/>
  <c r="S13" i="27"/>
  <c r="R5" i="27"/>
  <c r="R6" i="27"/>
  <c r="R7" i="27"/>
  <c r="R8" i="27"/>
  <c r="R13" i="27"/>
  <c r="Q13" i="27"/>
  <c r="P13" i="27"/>
  <c r="O13" i="27"/>
  <c r="N5" i="27"/>
  <c r="N6" i="27"/>
  <c r="N7" i="27"/>
  <c r="N8" i="27"/>
  <c r="N13" i="27"/>
  <c r="M13" i="27"/>
  <c r="L13" i="27"/>
  <c r="K13" i="27"/>
  <c r="J5" i="27"/>
  <c r="J6" i="27"/>
  <c r="J7" i="27"/>
  <c r="J8" i="27"/>
  <c r="J13" i="27"/>
  <c r="I13" i="27"/>
  <c r="H13" i="27"/>
  <c r="G13" i="27"/>
  <c r="F5" i="27"/>
  <c r="F6" i="27"/>
  <c r="F7" i="27"/>
  <c r="F8" i="27"/>
  <c r="F13" i="27"/>
  <c r="E13" i="27"/>
  <c r="D13" i="27"/>
  <c r="C13" i="27"/>
  <c r="B5" i="27"/>
  <c r="B6" i="27"/>
  <c r="B7" i="27"/>
  <c r="B8" i="27"/>
  <c r="B13" i="27"/>
  <c r="T12" i="27"/>
  <c r="S12" i="27"/>
  <c r="R12" i="27"/>
  <c r="P12" i="27"/>
  <c r="O12" i="27"/>
  <c r="N12" i="27"/>
  <c r="L12" i="27"/>
  <c r="K12" i="27"/>
  <c r="J12" i="27"/>
  <c r="H12" i="27"/>
  <c r="G12" i="27"/>
  <c r="F12" i="27"/>
  <c r="D12" i="27"/>
  <c r="C12" i="27"/>
  <c r="B12" i="27"/>
  <c r="J14" i="26"/>
  <c r="K14" i="26"/>
  <c r="L14" i="26"/>
  <c r="Q14" i="26"/>
  <c r="S14" i="26"/>
  <c r="T14" i="26"/>
  <c r="J9" i="26"/>
  <c r="K9" i="26"/>
  <c r="L9" i="26"/>
  <c r="Q9" i="26"/>
  <c r="J10" i="26"/>
  <c r="K10" i="26"/>
  <c r="L10" i="26"/>
  <c r="Q10" i="26"/>
  <c r="J11" i="26"/>
  <c r="K11" i="26"/>
  <c r="L11" i="26"/>
  <c r="Q11" i="26"/>
  <c r="J12" i="26"/>
  <c r="K12" i="26"/>
  <c r="L12" i="26"/>
  <c r="Q12" i="26"/>
  <c r="J13" i="26"/>
  <c r="K13" i="26"/>
  <c r="L13" i="26"/>
  <c r="Q13" i="26"/>
  <c r="F5" i="26"/>
  <c r="U14" i="26"/>
  <c r="AA14" i="26"/>
  <c r="O46" i="26"/>
  <c r="Z14" i="26"/>
  <c r="O45" i="26"/>
  <c r="Y14" i="26"/>
  <c r="O44" i="26"/>
  <c r="S9" i="26"/>
  <c r="T9" i="26"/>
  <c r="U9" i="26"/>
  <c r="AA9" i="26"/>
  <c r="S10" i="26"/>
  <c r="T10" i="26"/>
  <c r="U10" i="26"/>
  <c r="AA10" i="26"/>
  <c r="S11" i="26"/>
  <c r="T11" i="26"/>
  <c r="U11" i="26"/>
  <c r="AA11" i="26"/>
  <c r="S12" i="26"/>
  <c r="T12" i="26"/>
  <c r="U12" i="26"/>
  <c r="AA12" i="26"/>
  <c r="S13" i="26"/>
  <c r="T13" i="26"/>
  <c r="U13" i="26"/>
  <c r="AA13" i="26"/>
  <c r="O42" i="26"/>
  <c r="Z9" i="26"/>
  <c r="Z10" i="26"/>
  <c r="Z11" i="26"/>
  <c r="Z12" i="26"/>
  <c r="Z13" i="26"/>
  <c r="O41" i="26"/>
  <c r="Y9" i="26"/>
  <c r="Y10" i="26"/>
  <c r="Y11" i="26"/>
  <c r="Y12" i="26"/>
  <c r="Y13" i="26"/>
  <c r="O40" i="26"/>
  <c r="W37" i="26"/>
  <c r="W36" i="26"/>
  <c r="O30" i="26"/>
  <c r="O29" i="26"/>
  <c r="O28" i="26"/>
  <c r="J21" i="26"/>
  <c r="K21" i="26"/>
  <c r="L21" i="26"/>
  <c r="Q21" i="26"/>
  <c r="S21" i="26"/>
  <c r="T21" i="26"/>
  <c r="U21" i="26"/>
  <c r="AA21" i="26"/>
  <c r="Z21" i="26"/>
  <c r="Y21" i="26"/>
  <c r="X21" i="26"/>
  <c r="W21" i="26"/>
  <c r="V21" i="26"/>
  <c r="R21" i="26"/>
  <c r="N21" i="26"/>
  <c r="O21" i="26"/>
  <c r="P21" i="26"/>
  <c r="I21" i="26"/>
  <c r="J20" i="26"/>
  <c r="K20" i="26"/>
  <c r="L20" i="26"/>
  <c r="Q20" i="26"/>
  <c r="S20" i="26"/>
  <c r="T20" i="26"/>
  <c r="U20" i="26"/>
  <c r="AA20" i="26"/>
  <c r="Z20" i="26"/>
  <c r="Y20" i="26"/>
  <c r="X20" i="26"/>
  <c r="W20" i="26"/>
  <c r="V20" i="26"/>
  <c r="R20" i="26"/>
  <c r="I19" i="26"/>
  <c r="M20" i="26"/>
  <c r="N20" i="26"/>
  <c r="O20" i="26"/>
  <c r="P20" i="26"/>
  <c r="I20" i="26"/>
  <c r="J19" i="26"/>
  <c r="K19" i="26"/>
  <c r="L19" i="26"/>
  <c r="Q19" i="26"/>
  <c r="S19" i="26"/>
  <c r="T19" i="26"/>
  <c r="U19" i="26"/>
  <c r="AA19" i="26"/>
  <c r="Z19" i="26"/>
  <c r="Y19" i="26"/>
  <c r="X19" i="26"/>
  <c r="W19" i="26"/>
  <c r="V19" i="26"/>
  <c r="R19" i="26"/>
  <c r="I18" i="26"/>
  <c r="M19" i="26"/>
  <c r="N19" i="26"/>
  <c r="O19" i="26"/>
  <c r="P19" i="26"/>
  <c r="J18" i="26"/>
  <c r="K18" i="26"/>
  <c r="L18" i="26"/>
  <c r="Q18" i="26"/>
  <c r="S18" i="26"/>
  <c r="T18" i="26"/>
  <c r="U18" i="26"/>
  <c r="AA18" i="26"/>
  <c r="Z18" i="26"/>
  <c r="Y18" i="26"/>
  <c r="X18" i="26"/>
  <c r="W18" i="26"/>
  <c r="V18" i="26"/>
  <c r="R18" i="26"/>
  <c r="I17" i="26"/>
  <c r="M18" i="26"/>
  <c r="N18" i="26"/>
  <c r="O18" i="26"/>
  <c r="P18" i="26"/>
  <c r="J17" i="26"/>
  <c r="K17" i="26"/>
  <c r="L17" i="26"/>
  <c r="Q17" i="26"/>
  <c r="S17" i="26"/>
  <c r="T17" i="26"/>
  <c r="U17" i="26"/>
  <c r="AA17" i="26"/>
  <c r="Z17" i="26"/>
  <c r="Y17" i="26"/>
  <c r="X17" i="26"/>
  <c r="W17" i="26"/>
  <c r="V17" i="26"/>
  <c r="R17" i="26"/>
  <c r="I16" i="26"/>
  <c r="M17" i="26"/>
  <c r="N17" i="26"/>
  <c r="O17" i="26"/>
  <c r="P17" i="26"/>
  <c r="J16" i="26"/>
  <c r="K16" i="26"/>
  <c r="L16" i="26"/>
  <c r="Q16" i="26"/>
  <c r="S16" i="26"/>
  <c r="T16" i="26"/>
  <c r="U16" i="26"/>
  <c r="AA16" i="26"/>
  <c r="Z16" i="26"/>
  <c r="Y16" i="26"/>
  <c r="X16" i="26"/>
  <c r="W16" i="26"/>
  <c r="V16" i="26"/>
  <c r="R16" i="26"/>
  <c r="I15" i="26"/>
  <c r="M16" i="26"/>
  <c r="N16" i="26"/>
  <c r="O16" i="26"/>
  <c r="P16" i="26"/>
  <c r="J15" i="26"/>
  <c r="K15" i="26"/>
  <c r="L15" i="26"/>
  <c r="Q15" i="26"/>
  <c r="S15" i="26"/>
  <c r="T15" i="26"/>
  <c r="U15" i="26"/>
  <c r="AA15" i="26"/>
  <c r="Z15" i="26"/>
  <c r="Y15" i="26"/>
  <c r="X15" i="26"/>
  <c r="W15" i="26"/>
  <c r="V15" i="26"/>
  <c r="R15" i="26"/>
  <c r="I14" i="26"/>
  <c r="M15" i="26"/>
  <c r="N15" i="26"/>
  <c r="O15" i="26"/>
  <c r="P15" i="26"/>
  <c r="X14" i="26"/>
  <c r="W14" i="26"/>
  <c r="V14" i="26"/>
  <c r="R14" i="26"/>
  <c r="I13" i="26"/>
  <c r="M14" i="26"/>
  <c r="N14" i="26"/>
  <c r="O14" i="26"/>
  <c r="P14" i="26"/>
  <c r="X13" i="26"/>
  <c r="W13" i="26"/>
  <c r="V13" i="26"/>
  <c r="R13" i="26"/>
  <c r="I12" i="26"/>
  <c r="M13" i="26"/>
  <c r="N13" i="26"/>
  <c r="O13" i="26"/>
  <c r="P13" i="26"/>
  <c r="X12" i="26"/>
  <c r="W12" i="26"/>
  <c r="V12" i="26"/>
  <c r="R12" i="26"/>
  <c r="I11" i="26"/>
  <c r="M12" i="26"/>
  <c r="N12" i="26"/>
  <c r="O12" i="26"/>
  <c r="P12" i="26"/>
  <c r="X11" i="26"/>
  <c r="W11" i="26"/>
  <c r="V11" i="26"/>
  <c r="R11" i="26"/>
  <c r="I10" i="26"/>
  <c r="M11" i="26"/>
  <c r="N11" i="26"/>
  <c r="O11" i="26"/>
  <c r="P11" i="26"/>
  <c r="X10" i="26"/>
  <c r="W10" i="26"/>
  <c r="V10" i="26"/>
  <c r="R10" i="26"/>
  <c r="I9" i="26"/>
  <c r="M10" i="26"/>
  <c r="N10" i="26"/>
  <c r="O10" i="26"/>
  <c r="P10" i="26"/>
  <c r="X9" i="26"/>
  <c r="W9" i="26"/>
  <c r="V9" i="26"/>
  <c r="R9" i="26"/>
  <c r="J15" i="25"/>
  <c r="K15" i="25"/>
  <c r="L15" i="25"/>
  <c r="Q15" i="25"/>
  <c r="S15" i="25"/>
  <c r="T15" i="25"/>
  <c r="J9" i="25"/>
  <c r="K9" i="25"/>
  <c r="L9" i="25"/>
  <c r="Q9" i="25"/>
  <c r="J10" i="25"/>
  <c r="K10" i="25"/>
  <c r="L10" i="25"/>
  <c r="Q10" i="25"/>
  <c r="J11" i="25"/>
  <c r="K11" i="25"/>
  <c r="L11" i="25"/>
  <c r="Q11" i="25"/>
  <c r="J12" i="25"/>
  <c r="K12" i="25"/>
  <c r="L12" i="25"/>
  <c r="Q12" i="25"/>
  <c r="J13" i="25"/>
  <c r="K13" i="25"/>
  <c r="L13" i="25"/>
  <c r="Q13" i="25"/>
  <c r="J14" i="25"/>
  <c r="K14" i="25"/>
  <c r="L14" i="25"/>
  <c r="Q14" i="25"/>
  <c r="F5" i="25"/>
  <c r="U15" i="25"/>
  <c r="AA15" i="25"/>
  <c r="O46" i="25"/>
  <c r="Z15" i="25"/>
  <c r="O45" i="25"/>
  <c r="Y15" i="25"/>
  <c r="O44" i="25"/>
  <c r="S9" i="25"/>
  <c r="T9" i="25"/>
  <c r="U9" i="25"/>
  <c r="AA9" i="25"/>
  <c r="S10" i="25"/>
  <c r="T10" i="25"/>
  <c r="U10" i="25"/>
  <c r="AA10" i="25"/>
  <c r="S11" i="25"/>
  <c r="T11" i="25"/>
  <c r="U11" i="25"/>
  <c r="AA11" i="25"/>
  <c r="S12" i="25"/>
  <c r="T12" i="25"/>
  <c r="U12" i="25"/>
  <c r="AA12" i="25"/>
  <c r="S13" i="25"/>
  <c r="T13" i="25"/>
  <c r="U13" i="25"/>
  <c r="AA13" i="25"/>
  <c r="S14" i="25"/>
  <c r="T14" i="25"/>
  <c r="U14" i="25"/>
  <c r="AA14" i="25"/>
  <c r="O42" i="25"/>
  <c r="Z9" i="25"/>
  <c r="Z10" i="25"/>
  <c r="Z11" i="25"/>
  <c r="Z12" i="25"/>
  <c r="Z13" i="25"/>
  <c r="Z14" i="25"/>
  <c r="O41" i="25"/>
  <c r="Y9" i="25"/>
  <c r="Y10" i="25"/>
  <c r="Y11" i="25"/>
  <c r="Y12" i="25"/>
  <c r="Y13" i="25"/>
  <c r="Y14" i="25"/>
  <c r="O40" i="25"/>
  <c r="V39" i="25"/>
  <c r="V38" i="25"/>
  <c r="O30" i="25"/>
  <c r="O29" i="25"/>
  <c r="O28" i="25"/>
  <c r="J21" i="25"/>
  <c r="K21" i="25"/>
  <c r="L21" i="25"/>
  <c r="Q21" i="25"/>
  <c r="S21" i="25"/>
  <c r="T21" i="25"/>
  <c r="U21" i="25"/>
  <c r="AA21" i="25"/>
  <c r="Z21" i="25"/>
  <c r="Y21" i="25"/>
  <c r="X21" i="25"/>
  <c r="W21" i="25"/>
  <c r="V21" i="25"/>
  <c r="R21" i="25"/>
  <c r="I20" i="25"/>
  <c r="M21" i="25"/>
  <c r="N21" i="25"/>
  <c r="O21" i="25"/>
  <c r="P21" i="25"/>
  <c r="I21" i="25"/>
  <c r="J20" i="25"/>
  <c r="K20" i="25"/>
  <c r="L20" i="25"/>
  <c r="Q20" i="25"/>
  <c r="S20" i="25"/>
  <c r="T20" i="25"/>
  <c r="U20" i="25"/>
  <c r="AA20" i="25"/>
  <c r="Z20" i="25"/>
  <c r="Y20" i="25"/>
  <c r="X20" i="25"/>
  <c r="W20" i="25"/>
  <c r="V20" i="25"/>
  <c r="R20" i="25"/>
  <c r="I19" i="25"/>
  <c r="M20" i="25"/>
  <c r="N20" i="25"/>
  <c r="O20" i="25"/>
  <c r="P20" i="25"/>
  <c r="J19" i="25"/>
  <c r="K19" i="25"/>
  <c r="L19" i="25"/>
  <c r="Q19" i="25"/>
  <c r="S19" i="25"/>
  <c r="T19" i="25"/>
  <c r="U19" i="25"/>
  <c r="AA19" i="25"/>
  <c r="Z19" i="25"/>
  <c r="Y19" i="25"/>
  <c r="X19" i="25"/>
  <c r="W19" i="25"/>
  <c r="V19" i="25"/>
  <c r="R19" i="25"/>
  <c r="I18" i="25"/>
  <c r="M19" i="25"/>
  <c r="N19" i="25"/>
  <c r="O19" i="25"/>
  <c r="P19" i="25"/>
  <c r="J18" i="25"/>
  <c r="K18" i="25"/>
  <c r="L18" i="25"/>
  <c r="Q18" i="25"/>
  <c r="S18" i="25"/>
  <c r="T18" i="25"/>
  <c r="U18" i="25"/>
  <c r="AA18" i="25"/>
  <c r="Z18" i="25"/>
  <c r="Y18" i="25"/>
  <c r="X18" i="25"/>
  <c r="W18" i="25"/>
  <c r="V18" i="25"/>
  <c r="R18" i="25"/>
  <c r="I17" i="25"/>
  <c r="M18" i="25"/>
  <c r="N18" i="25"/>
  <c r="O18" i="25"/>
  <c r="P18" i="25"/>
  <c r="J17" i="25"/>
  <c r="K17" i="25"/>
  <c r="L17" i="25"/>
  <c r="Q17" i="25"/>
  <c r="S17" i="25"/>
  <c r="T17" i="25"/>
  <c r="U17" i="25"/>
  <c r="AA17" i="25"/>
  <c r="Z17" i="25"/>
  <c r="Y17" i="25"/>
  <c r="X17" i="25"/>
  <c r="W17" i="25"/>
  <c r="V17" i="25"/>
  <c r="R17" i="25"/>
  <c r="I16" i="25"/>
  <c r="M17" i="25"/>
  <c r="N17" i="25"/>
  <c r="O17" i="25"/>
  <c r="P17" i="25"/>
  <c r="J16" i="25"/>
  <c r="K16" i="25"/>
  <c r="L16" i="25"/>
  <c r="Q16" i="25"/>
  <c r="S16" i="25"/>
  <c r="T16" i="25"/>
  <c r="U16" i="25"/>
  <c r="AA16" i="25"/>
  <c r="Z16" i="25"/>
  <c r="Y16" i="25"/>
  <c r="X16" i="25"/>
  <c r="W16" i="25"/>
  <c r="V16" i="25"/>
  <c r="R16" i="25"/>
  <c r="I15" i="25"/>
  <c r="M16" i="25"/>
  <c r="N16" i="25"/>
  <c r="O16" i="25"/>
  <c r="P16" i="25"/>
  <c r="X15" i="25"/>
  <c r="W15" i="25"/>
  <c r="V15" i="25"/>
  <c r="R15" i="25"/>
  <c r="I14" i="25"/>
  <c r="M15" i="25"/>
  <c r="N15" i="25"/>
  <c r="O15" i="25"/>
  <c r="P15" i="25"/>
  <c r="X14" i="25"/>
  <c r="W14" i="25"/>
  <c r="V14" i="25"/>
  <c r="R14" i="25"/>
  <c r="I13" i="25"/>
  <c r="M14" i="25"/>
  <c r="N14" i="25"/>
  <c r="O14" i="25"/>
  <c r="P14" i="25"/>
  <c r="X13" i="25"/>
  <c r="W13" i="25"/>
  <c r="V13" i="25"/>
  <c r="R13" i="25"/>
  <c r="I12" i="25"/>
  <c r="M13" i="25"/>
  <c r="N13" i="25"/>
  <c r="O13" i="25"/>
  <c r="P13" i="25"/>
  <c r="X12" i="25"/>
  <c r="W12" i="25"/>
  <c r="V12" i="25"/>
  <c r="R12" i="25"/>
  <c r="I11" i="25"/>
  <c r="M12" i="25"/>
  <c r="N12" i="25"/>
  <c r="O12" i="25"/>
  <c r="P12" i="25"/>
  <c r="X11" i="25"/>
  <c r="W11" i="25"/>
  <c r="V11" i="25"/>
  <c r="R11" i="25"/>
  <c r="I10" i="25"/>
  <c r="M11" i="25"/>
  <c r="N11" i="25"/>
  <c r="O11" i="25"/>
  <c r="P11" i="25"/>
  <c r="X10" i="25"/>
  <c r="W10" i="25"/>
  <c r="V10" i="25"/>
  <c r="R10" i="25"/>
  <c r="I9" i="25"/>
  <c r="M10" i="25"/>
  <c r="N10" i="25"/>
  <c r="O10" i="25"/>
  <c r="P10" i="25"/>
  <c r="X9" i="25"/>
  <c r="W9" i="25"/>
  <c r="V9" i="25"/>
  <c r="R9" i="25"/>
  <c r="J14" i="24"/>
  <c r="K14" i="24"/>
  <c r="L14" i="24"/>
  <c r="Q14" i="24"/>
  <c r="S14" i="24"/>
  <c r="T14" i="24"/>
  <c r="J15" i="24"/>
  <c r="S15" i="24"/>
  <c r="K15" i="24"/>
  <c r="L15" i="24"/>
  <c r="X39" i="24"/>
  <c r="X38" i="24"/>
  <c r="J21" i="24"/>
  <c r="K21" i="24"/>
  <c r="L21" i="24"/>
  <c r="Q21" i="24"/>
  <c r="S21" i="24"/>
  <c r="T21" i="24"/>
  <c r="X21" i="24"/>
  <c r="W21" i="24"/>
  <c r="V21" i="24"/>
  <c r="R21" i="24"/>
  <c r="I20" i="24"/>
  <c r="M21" i="24"/>
  <c r="N21" i="24"/>
  <c r="O21" i="24"/>
  <c r="P21" i="24"/>
  <c r="I21" i="24"/>
  <c r="J20" i="24"/>
  <c r="K20" i="24"/>
  <c r="L20" i="24"/>
  <c r="Q20" i="24"/>
  <c r="S20" i="24"/>
  <c r="T20" i="24"/>
  <c r="X20" i="24"/>
  <c r="W20" i="24"/>
  <c r="V20" i="24"/>
  <c r="R20" i="24"/>
  <c r="I19" i="24"/>
  <c r="M20" i="24"/>
  <c r="N20" i="24"/>
  <c r="O20" i="24"/>
  <c r="P20" i="24"/>
  <c r="J19" i="24"/>
  <c r="K19" i="24"/>
  <c r="L19" i="24"/>
  <c r="Q19" i="24"/>
  <c r="S19" i="24"/>
  <c r="T19" i="24"/>
  <c r="X19" i="24"/>
  <c r="W19" i="24"/>
  <c r="V19" i="24"/>
  <c r="R19" i="24"/>
  <c r="I18" i="24"/>
  <c r="M19" i="24"/>
  <c r="N19" i="24"/>
  <c r="O19" i="24"/>
  <c r="P19" i="24"/>
  <c r="J18" i="24"/>
  <c r="K18" i="24"/>
  <c r="L18" i="24"/>
  <c r="Q18" i="24"/>
  <c r="S18" i="24"/>
  <c r="T18" i="24"/>
  <c r="X18" i="24"/>
  <c r="W18" i="24"/>
  <c r="V18" i="24"/>
  <c r="R18" i="24"/>
  <c r="I17" i="24"/>
  <c r="M18" i="24"/>
  <c r="N18" i="24"/>
  <c r="O18" i="24"/>
  <c r="P18" i="24"/>
  <c r="J17" i="24"/>
  <c r="K17" i="24"/>
  <c r="L17" i="24"/>
  <c r="Q17" i="24"/>
  <c r="S17" i="24"/>
  <c r="T17" i="24"/>
  <c r="X17" i="24"/>
  <c r="W17" i="24"/>
  <c r="V17" i="24"/>
  <c r="R17" i="24"/>
  <c r="I16" i="24"/>
  <c r="M17" i="24"/>
  <c r="N17" i="24"/>
  <c r="O17" i="24"/>
  <c r="P17" i="24"/>
  <c r="J16" i="24"/>
  <c r="K16" i="24"/>
  <c r="L16" i="24"/>
  <c r="Q16" i="24"/>
  <c r="S16" i="24"/>
  <c r="T16" i="24"/>
  <c r="X16" i="24"/>
  <c r="W16" i="24"/>
  <c r="V16" i="24"/>
  <c r="R16" i="24"/>
  <c r="I15" i="24"/>
  <c r="M16" i="24"/>
  <c r="N16" i="24"/>
  <c r="O16" i="24"/>
  <c r="P16" i="24"/>
  <c r="Q15" i="24"/>
  <c r="T15" i="24"/>
  <c r="X15" i="24"/>
  <c r="W15" i="24"/>
  <c r="V15" i="24"/>
  <c r="R15" i="24"/>
  <c r="I14" i="24"/>
  <c r="M15" i="24"/>
  <c r="N15" i="24"/>
  <c r="O15" i="24"/>
  <c r="P15" i="24"/>
  <c r="X14" i="24"/>
  <c r="W14" i="24"/>
  <c r="V14" i="24"/>
  <c r="R14" i="24"/>
  <c r="I13" i="24"/>
  <c r="M14" i="24"/>
  <c r="N14" i="24"/>
  <c r="O14" i="24"/>
  <c r="P14" i="24"/>
  <c r="J13" i="24"/>
  <c r="K13" i="24"/>
  <c r="L13" i="24"/>
  <c r="Q13" i="24"/>
  <c r="S13" i="24"/>
  <c r="T13" i="24"/>
  <c r="X13" i="24"/>
  <c r="W13" i="24"/>
  <c r="V13" i="24"/>
  <c r="R13" i="24"/>
  <c r="I12" i="24"/>
  <c r="M13" i="24"/>
  <c r="N13" i="24"/>
  <c r="O13" i="24"/>
  <c r="P13" i="24"/>
  <c r="J12" i="24"/>
  <c r="K12" i="24"/>
  <c r="L12" i="24"/>
  <c r="Q12" i="24"/>
  <c r="S12" i="24"/>
  <c r="T12" i="24"/>
  <c r="X12" i="24"/>
  <c r="W12" i="24"/>
  <c r="V12" i="24"/>
  <c r="R12" i="24"/>
  <c r="I11" i="24"/>
  <c r="M12" i="24"/>
  <c r="N12" i="24"/>
  <c r="O12" i="24"/>
  <c r="P12" i="24"/>
  <c r="J11" i="24"/>
  <c r="K11" i="24"/>
  <c r="L11" i="24"/>
  <c r="Q11" i="24"/>
  <c r="S11" i="24"/>
  <c r="T11" i="24"/>
  <c r="X11" i="24"/>
  <c r="W11" i="24"/>
  <c r="V11" i="24"/>
  <c r="R11" i="24"/>
  <c r="I10" i="24"/>
  <c r="M11" i="24"/>
  <c r="N11" i="24"/>
  <c r="O11" i="24"/>
  <c r="P11" i="24"/>
  <c r="J10" i="24"/>
  <c r="K10" i="24"/>
  <c r="L10" i="24"/>
  <c r="Q10" i="24"/>
  <c r="S10" i="24"/>
  <c r="T10" i="24"/>
  <c r="X10" i="24"/>
  <c r="W10" i="24"/>
  <c r="V10" i="24"/>
  <c r="R10" i="24"/>
  <c r="I9" i="24"/>
  <c r="M10" i="24"/>
  <c r="N10" i="24"/>
  <c r="O10" i="24"/>
  <c r="P10" i="24"/>
  <c r="J9" i="24"/>
  <c r="K9" i="24"/>
  <c r="L9" i="24"/>
  <c r="Q9" i="24"/>
  <c r="S9" i="24"/>
  <c r="T9" i="24"/>
  <c r="X9" i="24"/>
  <c r="W9" i="24"/>
  <c r="V9" i="24"/>
  <c r="R9" i="24"/>
  <c r="G13" i="23"/>
  <c r="J13" i="23"/>
  <c r="K13" i="23"/>
  <c r="L13" i="23"/>
  <c r="Q13" i="23"/>
  <c r="S13" i="23"/>
  <c r="T13" i="23"/>
  <c r="J9" i="23"/>
  <c r="K9" i="23"/>
  <c r="L9" i="23"/>
  <c r="Q9" i="23"/>
  <c r="J10" i="23"/>
  <c r="K10" i="23"/>
  <c r="L10" i="23"/>
  <c r="Q10" i="23"/>
  <c r="J11" i="23"/>
  <c r="K11" i="23"/>
  <c r="L11" i="23"/>
  <c r="Q11" i="23"/>
  <c r="J12" i="23"/>
  <c r="K12" i="23"/>
  <c r="L12" i="23"/>
  <c r="Q12" i="23"/>
  <c r="F5" i="23"/>
  <c r="U13" i="23"/>
  <c r="AA13" i="23"/>
  <c r="O46" i="23"/>
  <c r="Z13" i="23"/>
  <c r="O45" i="23"/>
  <c r="J14" i="23"/>
  <c r="K14" i="23"/>
  <c r="L14" i="23"/>
  <c r="Q14" i="23"/>
  <c r="U14" i="23"/>
  <c r="Y14" i="23"/>
  <c r="O44" i="23"/>
  <c r="W42" i="23"/>
  <c r="S9" i="23"/>
  <c r="T9" i="23"/>
  <c r="U9" i="23"/>
  <c r="AA9" i="23"/>
  <c r="S10" i="23"/>
  <c r="T10" i="23"/>
  <c r="U10" i="23"/>
  <c r="AA10" i="23"/>
  <c r="S11" i="23"/>
  <c r="T11" i="23"/>
  <c r="U11" i="23"/>
  <c r="AA11" i="23"/>
  <c r="S12" i="23"/>
  <c r="T12" i="23"/>
  <c r="U12" i="23"/>
  <c r="AA12" i="23"/>
  <c r="O42" i="23"/>
  <c r="W41" i="23"/>
  <c r="Z9" i="23"/>
  <c r="Z10" i="23"/>
  <c r="Z11" i="23"/>
  <c r="Z12" i="23"/>
  <c r="O41" i="23"/>
  <c r="O30" i="23"/>
  <c r="O29" i="23"/>
  <c r="J21" i="23"/>
  <c r="K21" i="23"/>
  <c r="L21" i="23"/>
  <c r="Q21" i="23"/>
  <c r="S21" i="23"/>
  <c r="T21" i="23"/>
  <c r="U21" i="23"/>
  <c r="AA21" i="23"/>
  <c r="Z21" i="23"/>
  <c r="Y21" i="23"/>
  <c r="X21" i="23"/>
  <c r="W21" i="23"/>
  <c r="V21" i="23"/>
  <c r="R21" i="23"/>
  <c r="I20" i="23"/>
  <c r="M21" i="23"/>
  <c r="N21" i="23"/>
  <c r="O21" i="23"/>
  <c r="P21" i="23"/>
  <c r="I21" i="23"/>
  <c r="J20" i="23"/>
  <c r="K20" i="23"/>
  <c r="L20" i="23"/>
  <c r="Q20" i="23"/>
  <c r="S20" i="23"/>
  <c r="T20" i="23"/>
  <c r="U20" i="23"/>
  <c r="AA20" i="23"/>
  <c r="Z20" i="23"/>
  <c r="Y20" i="23"/>
  <c r="X20" i="23"/>
  <c r="W20" i="23"/>
  <c r="V20" i="23"/>
  <c r="R20" i="23"/>
  <c r="I19" i="23"/>
  <c r="M20" i="23"/>
  <c r="N20" i="23"/>
  <c r="O20" i="23"/>
  <c r="P20" i="23"/>
  <c r="J19" i="23"/>
  <c r="K19" i="23"/>
  <c r="L19" i="23"/>
  <c r="Q19" i="23"/>
  <c r="S19" i="23"/>
  <c r="T19" i="23"/>
  <c r="U19" i="23"/>
  <c r="AA19" i="23"/>
  <c r="Z19" i="23"/>
  <c r="Y19" i="23"/>
  <c r="X19" i="23"/>
  <c r="W19" i="23"/>
  <c r="V19" i="23"/>
  <c r="R19" i="23"/>
  <c r="I18" i="23"/>
  <c r="M19" i="23"/>
  <c r="N19" i="23"/>
  <c r="O19" i="23"/>
  <c r="P19" i="23"/>
  <c r="J18" i="23"/>
  <c r="K18" i="23"/>
  <c r="L18" i="23"/>
  <c r="Q18" i="23"/>
  <c r="S18" i="23"/>
  <c r="T18" i="23"/>
  <c r="U18" i="23"/>
  <c r="AA18" i="23"/>
  <c r="Z18" i="23"/>
  <c r="Y18" i="23"/>
  <c r="X18" i="23"/>
  <c r="W18" i="23"/>
  <c r="V18" i="23"/>
  <c r="R18" i="23"/>
  <c r="I17" i="23"/>
  <c r="M18" i="23"/>
  <c r="N18" i="23"/>
  <c r="O18" i="23"/>
  <c r="P18" i="23"/>
  <c r="J17" i="23"/>
  <c r="K17" i="23"/>
  <c r="L17" i="23"/>
  <c r="Q17" i="23"/>
  <c r="S17" i="23"/>
  <c r="T17" i="23"/>
  <c r="U17" i="23"/>
  <c r="AA17" i="23"/>
  <c r="Z17" i="23"/>
  <c r="Y17" i="23"/>
  <c r="X17" i="23"/>
  <c r="W17" i="23"/>
  <c r="V17" i="23"/>
  <c r="R17" i="23"/>
  <c r="I16" i="23"/>
  <c r="M17" i="23"/>
  <c r="N17" i="23"/>
  <c r="O17" i="23"/>
  <c r="P17" i="23"/>
  <c r="J16" i="23"/>
  <c r="K16" i="23"/>
  <c r="L16" i="23"/>
  <c r="Q16" i="23"/>
  <c r="S16" i="23"/>
  <c r="T16" i="23"/>
  <c r="U16" i="23"/>
  <c r="AA16" i="23"/>
  <c r="Z16" i="23"/>
  <c r="Y16" i="23"/>
  <c r="X16" i="23"/>
  <c r="W16" i="23"/>
  <c r="V16" i="23"/>
  <c r="R16" i="23"/>
  <c r="I15" i="23"/>
  <c r="M16" i="23"/>
  <c r="N16" i="23"/>
  <c r="O16" i="23"/>
  <c r="P16" i="23"/>
  <c r="J15" i="23"/>
  <c r="K15" i="23"/>
  <c r="L15" i="23"/>
  <c r="Q15" i="23"/>
  <c r="S15" i="23"/>
  <c r="T15" i="23"/>
  <c r="U15" i="23"/>
  <c r="AA15" i="23"/>
  <c r="Z15" i="23"/>
  <c r="Y15" i="23"/>
  <c r="X15" i="23"/>
  <c r="W15" i="23"/>
  <c r="V15" i="23"/>
  <c r="R15" i="23"/>
  <c r="I14" i="23"/>
  <c r="M15" i="23"/>
  <c r="N15" i="23"/>
  <c r="O15" i="23"/>
  <c r="P15" i="23"/>
  <c r="S14" i="23"/>
  <c r="T14" i="23"/>
  <c r="AA14" i="23"/>
  <c r="Z14" i="23"/>
  <c r="X14" i="23"/>
  <c r="W14" i="23"/>
  <c r="V14" i="23"/>
  <c r="R14" i="23"/>
  <c r="I13" i="23"/>
  <c r="M14" i="23"/>
  <c r="N14" i="23"/>
  <c r="O14" i="23"/>
  <c r="P14" i="23"/>
  <c r="Y13" i="23"/>
  <c r="X13" i="23"/>
  <c r="W13" i="23"/>
  <c r="V13" i="23"/>
  <c r="R13" i="23"/>
  <c r="I12" i="23"/>
  <c r="M13" i="23"/>
  <c r="N13" i="23"/>
  <c r="O13" i="23"/>
  <c r="P13" i="23"/>
  <c r="Y12" i="23"/>
  <c r="X12" i="23"/>
  <c r="W12" i="23"/>
  <c r="V12" i="23"/>
  <c r="R12" i="23"/>
  <c r="I11" i="23"/>
  <c r="M12" i="23"/>
  <c r="N12" i="23"/>
  <c r="O12" i="23"/>
  <c r="P12" i="23"/>
  <c r="Y11" i="23"/>
  <c r="X11" i="23"/>
  <c r="W11" i="23"/>
  <c r="V11" i="23"/>
  <c r="R11" i="23"/>
  <c r="I10" i="23"/>
  <c r="M11" i="23"/>
  <c r="N11" i="23"/>
  <c r="O11" i="23"/>
  <c r="P11" i="23"/>
  <c r="Y10" i="23"/>
  <c r="X10" i="23"/>
  <c r="W10" i="23"/>
  <c r="V10" i="23"/>
  <c r="R10" i="23"/>
  <c r="I9" i="23"/>
  <c r="M10" i="23"/>
  <c r="N10" i="23"/>
  <c r="O10" i="23"/>
  <c r="P10" i="23"/>
  <c r="Y9" i="23"/>
  <c r="X9" i="23"/>
  <c r="W9" i="23"/>
  <c r="V9" i="23"/>
  <c r="R9" i="23"/>
  <c r="AA10" i="17"/>
  <c r="AA11" i="17"/>
  <c r="AA12" i="17"/>
  <c r="AA13" i="17"/>
  <c r="AA14" i="17"/>
  <c r="AA15" i="17"/>
  <c r="AA16" i="17"/>
  <c r="AA17" i="17"/>
  <c r="AA18" i="17"/>
  <c r="AA19" i="17"/>
  <c r="U35" i="22"/>
  <c r="U34" i="22"/>
  <c r="U36" i="21"/>
  <c r="U35" i="21"/>
  <c r="U37" i="20"/>
  <c r="U36" i="20"/>
  <c r="U36" i="19"/>
  <c r="U35" i="19"/>
  <c r="V36" i="17"/>
  <c r="V35" i="17"/>
  <c r="AB32" i="18"/>
  <c r="AB31" i="18"/>
  <c r="O37" i="18"/>
  <c r="O37" i="19"/>
  <c r="C8" i="10"/>
  <c r="R16" i="20"/>
  <c r="Y11" i="20"/>
  <c r="Y12" i="20"/>
  <c r="Y13" i="20"/>
  <c r="Y14" i="20"/>
  <c r="Y15" i="20"/>
  <c r="Y16" i="20"/>
  <c r="Y17" i="20"/>
  <c r="Y18" i="20"/>
  <c r="Y10" i="20"/>
  <c r="R18" i="20"/>
  <c r="R15" i="20"/>
  <c r="R17" i="20"/>
  <c r="S10" i="20"/>
  <c r="S11" i="20"/>
  <c r="S12" i="20"/>
  <c r="S13" i="20"/>
  <c r="S14" i="20"/>
  <c r="S15" i="20"/>
  <c r="S16" i="20"/>
  <c r="S17" i="20"/>
  <c r="S18" i="20"/>
  <c r="R13" i="20"/>
  <c r="R14" i="20"/>
  <c r="R10" i="20"/>
  <c r="R11" i="20"/>
  <c r="Z10" i="20"/>
  <c r="Z11" i="20"/>
  <c r="Z12" i="20"/>
  <c r="Z13" i="20"/>
  <c r="Z14" i="20"/>
  <c r="Z15" i="20"/>
  <c r="Z16" i="20"/>
  <c r="Z17" i="20"/>
  <c r="Z18" i="20"/>
  <c r="AA10" i="20"/>
  <c r="AA11" i="20"/>
  <c r="AA12" i="20"/>
  <c r="AA13" i="20"/>
  <c r="AA14" i="20"/>
  <c r="AA15" i="20"/>
  <c r="AA16" i="20"/>
  <c r="AA17" i="20"/>
  <c r="AA18" i="20"/>
  <c r="AA9" i="20"/>
  <c r="C13" i="10"/>
  <c r="O30" i="20"/>
  <c r="D8" i="10"/>
  <c r="D13" i="10"/>
  <c r="E13" i="10"/>
  <c r="F13" i="10"/>
  <c r="W10" i="20"/>
  <c r="W11" i="20"/>
  <c r="W13" i="20"/>
  <c r="O33" i="20"/>
  <c r="G8" i="10"/>
  <c r="G13" i="10"/>
  <c r="X10" i="20"/>
  <c r="X11" i="20"/>
  <c r="X12" i="20"/>
  <c r="X13" i="20"/>
  <c r="O34" i="20"/>
  <c r="H8" i="10"/>
  <c r="H13" i="10"/>
  <c r="I13" i="10"/>
  <c r="J13" i="10"/>
  <c r="O37" i="20"/>
  <c r="K8" i="10"/>
  <c r="K13" i="10"/>
  <c r="O38" i="20"/>
  <c r="L8" i="10"/>
  <c r="L13" i="10"/>
  <c r="M13" i="10"/>
  <c r="N13" i="10"/>
  <c r="O13" i="10"/>
  <c r="P13" i="10"/>
  <c r="Q13" i="10"/>
  <c r="O44" i="20"/>
  <c r="R8" i="10"/>
  <c r="R13" i="10"/>
  <c r="O45" i="20"/>
  <c r="S8" i="10"/>
  <c r="S13" i="10"/>
  <c r="O46" i="20"/>
  <c r="T8" i="10"/>
  <c r="T13" i="10"/>
  <c r="O28" i="20"/>
  <c r="B8" i="10"/>
  <c r="B13" i="10"/>
  <c r="O34" i="17"/>
  <c r="AA10" i="19"/>
  <c r="AA11" i="19"/>
  <c r="AA12" i="19"/>
  <c r="AA13" i="19"/>
  <c r="AA14" i="19"/>
  <c r="AA15" i="19"/>
  <c r="AA16" i="19"/>
  <c r="AA17" i="19"/>
  <c r="AA18" i="19"/>
  <c r="AA19" i="19"/>
  <c r="AA9" i="19"/>
  <c r="Z10" i="19"/>
  <c r="Z11" i="19"/>
  <c r="Z12" i="19"/>
  <c r="Z13" i="19"/>
  <c r="Z14" i="19"/>
  <c r="Z15" i="19"/>
  <c r="Z16" i="19"/>
  <c r="Z17" i="19"/>
  <c r="Z18" i="19"/>
  <c r="Z19" i="19"/>
  <c r="Z9" i="19"/>
  <c r="Z9" i="20"/>
  <c r="AA10" i="21"/>
  <c r="AA11" i="21"/>
  <c r="AA12" i="21"/>
  <c r="AA13" i="21"/>
  <c r="AA14" i="21"/>
  <c r="AA15" i="21"/>
  <c r="AA16" i="21"/>
  <c r="AA17" i="21"/>
  <c r="AA18" i="21"/>
  <c r="AA19" i="21"/>
  <c r="AA9" i="21"/>
  <c r="Z10" i="21"/>
  <c r="Z11" i="21"/>
  <c r="Z12" i="21"/>
  <c r="Z13" i="21"/>
  <c r="Z14" i="21"/>
  <c r="Z15" i="21"/>
  <c r="Z16" i="21"/>
  <c r="Z17" i="21"/>
  <c r="Z18" i="21"/>
  <c r="Z19" i="21"/>
  <c r="Z9" i="21"/>
  <c r="AA10" i="22"/>
  <c r="AA11" i="22"/>
  <c r="AA12" i="22"/>
  <c r="AA13" i="22"/>
  <c r="AA14" i="22"/>
  <c r="AA15" i="22"/>
  <c r="AA16" i="22"/>
  <c r="AA17" i="22"/>
  <c r="AA18" i="22"/>
  <c r="AA19" i="22"/>
  <c r="AA9" i="22"/>
  <c r="Z10" i="22"/>
  <c r="Z11" i="22"/>
  <c r="Z12" i="22"/>
  <c r="Z13" i="22"/>
  <c r="Z14" i="22"/>
  <c r="Z15" i="22"/>
  <c r="Z16" i="22"/>
  <c r="Z17" i="22"/>
  <c r="Z18" i="22"/>
  <c r="Z19" i="22"/>
  <c r="Z9" i="22"/>
  <c r="Y10" i="22"/>
  <c r="Y11" i="22"/>
  <c r="Y12" i="22"/>
  <c r="Y13" i="22"/>
  <c r="Y14" i="22"/>
  <c r="Y15" i="22"/>
  <c r="Y16" i="22"/>
  <c r="Y17" i="22"/>
  <c r="Y18" i="22"/>
  <c r="Y19" i="22"/>
  <c r="Y9" i="22"/>
  <c r="Y10" i="21"/>
  <c r="Y11" i="21"/>
  <c r="Y12" i="21"/>
  <c r="Y13" i="21"/>
  <c r="Y14" i="21"/>
  <c r="Y15" i="21"/>
  <c r="Y16" i="21"/>
  <c r="Y17" i="21"/>
  <c r="Y18" i="21"/>
  <c r="Y19" i="21"/>
  <c r="Y9" i="21"/>
  <c r="Y9" i="20"/>
  <c r="Y10" i="19"/>
  <c r="Y11" i="19"/>
  <c r="Y12" i="19"/>
  <c r="Y13" i="19"/>
  <c r="Y14" i="19"/>
  <c r="Y15" i="19"/>
  <c r="Y16" i="19"/>
  <c r="Y17" i="19"/>
  <c r="Y18" i="19"/>
  <c r="Y19" i="19"/>
  <c r="Y9" i="19"/>
  <c r="Y10" i="17"/>
  <c r="Y11" i="17"/>
  <c r="Y12" i="17"/>
  <c r="Y13" i="17"/>
  <c r="Y14" i="17"/>
  <c r="Y15" i="17"/>
  <c r="Y16" i="17"/>
  <c r="Y17" i="17"/>
  <c r="Y18" i="17"/>
  <c r="Y19" i="17"/>
  <c r="Y9" i="17"/>
  <c r="S13" i="22"/>
  <c r="S14" i="22"/>
  <c r="S15" i="22"/>
  <c r="S16" i="22"/>
  <c r="S17" i="22"/>
  <c r="S18" i="22"/>
  <c r="S19" i="22"/>
  <c r="S12" i="22"/>
  <c r="S10" i="22"/>
  <c r="S11" i="22"/>
  <c r="S9" i="22"/>
  <c r="R10" i="22"/>
  <c r="R11" i="22"/>
  <c r="R12" i="22"/>
  <c r="R13" i="22"/>
  <c r="R14" i="22"/>
  <c r="R15" i="22"/>
  <c r="R16" i="22"/>
  <c r="R17" i="22"/>
  <c r="R18" i="22"/>
  <c r="R19" i="22"/>
  <c r="R9" i="22"/>
  <c r="R10" i="21"/>
  <c r="R11" i="21"/>
  <c r="R12" i="21"/>
  <c r="R13" i="21"/>
  <c r="R14" i="21"/>
  <c r="R15" i="21"/>
  <c r="R16" i="21"/>
  <c r="R17" i="21"/>
  <c r="R18" i="21"/>
  <c r="R19" i="21"/>
  <c r="S15" i="21"/>
  <c r="S16" i="21"/>
  <c r="S17" i="21"/>
  <c r="S18" i="21"/>
  <c r="S19" i="21"/>
  <c r="S14" i="21"/>
  <c r="R9" i="20"/>
  <c r="S10" i="21"/>
  <c r="S11" i="21"/>
  <c r="S12" i="21"/>
  <c r="S13" i="21"/>
  <c r="S9" i="21"/>
  <c r="R9" i="21"/>
  <c r="T10" i="20"/>
  <c r="T11" i="20"/>
  <c r="T12" i="20"/>
  <c r="T13" i="20"/>
  <c r="T14" i="20"/>
  <c r="T15" i="20"/>
  <c r="T16" i="20"/>
  <c r="T17" i="20"/>
  <c r="T18" i="20"/>
  <c r="T9" i="20"/>
  <c r="R10" i="19"/>
  <c r="R11" i="19"/>
  <c r="R12" i="19"/>
  <c r="R13" i="19"/>
  <c r="R9" i="19"/>
  <c r="R12" i="20"/>
  <c r="S13" i="17"/>
  <c r="S14" i="17"/>
  <c r="S15" i="17"/>
  <c r="R14" i="19"/>
  <c r="R15" i="19"/>
  <c r="R16" i="19"/>
  <c r="R17" i="19"/>
  <c r="R18" i="19"/>
  <c r="R19" i="19"/>
  <c r="S9" i="17"/>
  <c r="T14" i="17"/>
  <c r="AA9" i="17"/>
  <c r="Z10" i="17"/>
  <c r="Z11" i="17"/>
  <c r="Z12" i="17"/>
  <c r="Z13" i="17"/>
  <c r="Z14" i="17"/>
  <c r="Z15" i="17"/>
  <c r="Z16" i="17"/>
  <c r="Z17" i="17"/>
  <c r="Z18" i="17"/>
  <c r="Z19" i="17"/>
  <c r="Z9" i="17"/>
  <c r="X10" i="17"/>
  <c r="X11" i="17"/>
  <c r="X12" i="17"/>
  <c r="X13" i="17"/>
  <c r="X14" i="17"/>
  <c r="X15" i="17"/>
  <c r="X16" i="17"/>
  <c r="X17" i="17"/>
  <c r="X18" i="17"/>
  <c r="X19" i="17"/>
  <c r="W10" i="17"/>
  <c r="W11" i="17"/>
  <c r="W12" i="17"/>
  <c r="W13" i="17"/>
  <c r="W14" i="17"/>
  <c r="W15" i="17"/>
  <c r="W16" i="17"/>
  <c r="W17" i="17"/>
  <c r="W18" i="17"/>
  <c r="W19" i="17"/>
  <c r="V10" i="17"/>
  <c r="V11" i="17"/>
  <c r="V12" i="17"/>
  <c r="V13" i="17"/>
  <c r="V14" i="17"/>
  <c r="V15" i="17"/>
  <c r="V16" i="17"/>
  <c r="V17" i="17"/>
  <c r="V18" i="17"/>
  <c r="V19" i="17"/>
  <c r="T10" i="17"/>
  <c r="T11" i="17"/>
  <c r="T12" i="17"/>
  <c r="T13" i="17"/>
  <c r="T15" i="17"/>
  <c r="T16" i="17"/>
  <c r="T17" i="17"/>
  <c r="T18" i="17"/>
  <c r="T19" i="17"/>
  <c r="S10" i="17"/>
  <c r="S11" i="17"/>
  <c r="S12" i="17"/>
  <c r="S16" i="17"/>
  <c r="S17" i="17"/>
  <c r="S18" i="17"/>
  <c r="S19" i="17"/>
  <c r="AA9" i="18"/>
  <c r="Z9" i="18"/>
  <c r="Y9" i="18"/>
  <c r="S14" i="18"/>
  <c r="S15" i="18"/>
  <c r="S16" i="18"/>
  <c r="S17" i="18"/>
  <c r="S18" i="18"/>
  <c r="S19" i="18"/>
  <c r="S13" i="18"/>
  <c r="S10" i="18"/>
  <c r="S11" i="18"/>
  <c r="S12" i="18"/>
  <c r="S9" i="18"/>
  <c r="R10" i="17"/>
  <c r="R11" i="17"/>
  <c r="R12" i="17"/>
  <c r="R13" i="17"/>
  <c r="R14" i="17"/>
  <c r="R15" i="17"/>
  <c r="R16" i="17"/>
  <c r="R17" i="17"/>
  <c r="R18" i="17"/>
  <c r="R19" i="17"/>
  <c r="R9" i="17"/>
  <c r="T10" i="18"/>
  <c r="AA10" i="18"/>
  <c r="T11" i="18"/>
  <c r="AA11" i="18"/>
  <c r="T12" i="18"/>
  <c r="AA12" i="18"/>
  <c r="T13" i="18"/>
  <c r="AA13" i="18"/>
  <c r="T14" i="18"/>
  <c r="AA14" i="18"/>
  <c r="T15" i="18"/>
  <c r="AA15" i="18"/>
  <c r="T16" i="18"/>
  <c r="AA16" i="18"/>
  <c r="T17" i="18"/>
  <c r="AA17" i="18"/>
  <c r="T18" i="18"/>
  <c r="AA18" i="18"/>
  <c r="T19" i="18"/>
  <c r="AA19" i="18"/>
  <c r="T9" i="18"/>
  <c r="Z10" i="18"/>
  <c r="Z11" i="18"/>
  <c r="Z12" i="18"/>
  <c r="Z13" i="18"/>
  <c r="Z14" i="18"/>
  <c r="Z15" i="18"/>
  <c r="Z16" i="18"/>
  <c r="Z17" i="18"/>
  <c r="Z18" i="18"/>
  <c r="Z19" i="18"/>
  <c r="Y10" i="18"/>
  <c r="Y11" i="18"/>
  <c r="Y12" i="18"/>
  <c r="Y13" i="18"/>
  <c r="Y14" i="18"/>
  <c r="Y15" i="18"/>
  <c r="Y16" i="18"/>
  <c r="Y17" i="18"/>
  <c r="Y18" i="18"/>
  <c r="Y19" i="18"/>
  <c r="Q9" i="18"/>
  <c r="F5" i="18"/>
  <c r="U9" i="18"/>
  <c r="X10" i="18"/>
  <c r="X11" i="18"/>
  <c r="X12" i="18"/>
  <c r="X13" i="18"/>
  <c r="X14" i="18"/>
  <c r="X15" i="18"/>
  <c r="X16" i="18"/>
  <c r="X17" i="18"/>
  <c r="X18" i="18"/>
  <c r="X19" i="18"/>
  <c r="W10" i="18"/>
  <c r="W11" i="18"/>
  <c r="W12" i="18"/>
  <c r="W13" i="18"/>
  <c r="W14" i="18"/>
  <c r="W15" i="18"/>
  <c r="W16" i="18"/>
  <c r="W17" i="18"/>
  <c r="W18" i="18"/>
  <c r="W19" i="18"/>
  <c r="R10" i="18"/>
  <c r="R11" i="18"/>
  <c r="R12" i="18"/>
  <c r="R13" i="18"/>
  <c r="R14" i="18"/>
  <c r="R15" i="18"/>
  <c r="R16" i="18"/>
  <c r="R17" i="18"/>
  <c r="R18" i="18"/>
  <c r="R19" i="18"/>
  <c r="R9" i="18"/>
  <c r="F5" i="22"/>
  <c r="F5" i="21"/>
  <c r="F5" i="20"/>
  <c r="F5" i="19"/>
  <c r="F5" i="17"/>
  <c r="F40" i="18"/>
  <c r="G40" i="18"/>
  <c r="F39" i="18"/>
  <c r="G39" i="18"/>
  <c r="E40" i="18"/>
  <c r="E39" i="18"/>
  <c r="T12" i="22"/>
  <c r="U12" i="22"/>
  <c r="T13" i="22"/>
  <c r="U13" i="22"/>
  <c r="O46" i="22"/>
  <c r="T10" i="10"/>
  <c r="T12" i="21"/>
  <c r="U12" i="21"/>
  <c r="T13" i="21"/>
  <c r="U13" i="21"/>
  <c r="O46" i="21"/>
  <c r="T9" i="10"/>
  <c r="U12" i="20"/>
  <c r="U13" i="20"/>
  <c r="S12" i="19"/>
  <c r="T12" i="19"/>
  <c r="S13" i="19"/>
  <c r="T13" i="19"/>
  <c r="O46" i="19"/>
  <c r="T7" i="10"/>
  <c r="U12" i="17"/>
  <c r="U13" i="17"/>
  <c r="O46" i="17"/>
  <c r="O45" i="22"/>
  <c r="S10" i="10"/>
  <c r="O45" i="21"/>
  <c r="S9" i="10"/>
  <c r="O45" i="19"/>
  <c r="S7" i="10"/>
  <c r="O45" i="17"/>
  <c r="O44" i="22"/>
  <c r="R10" i="10"/>
  <c r="O44" i="21"/>
  <c r="R9" i="10"/>
  <c r="O44" i="19"/>
  <c r="R7" i="10"/>
  <c r="O44" i="17"/>
  <c r="T9" i="22"/>
  <c r="U9" i="22"/>
  <c r="O42" i="22"/>
  <c r="P10" i="10"/>
  <c r="T9" i="21"/>
  <c r="U9" i="21"/>
  <c r="O42" i="21"/>
  <c r="P9" i="10"/>
  <c r="U9" i="20"/>
  <c r="S9" i="19"/>
  <c r="T9" i="19"/>
  <c r="O42" i="19"/>
  <c r="P7" i="10"/>
  <c r="T9" i="17"/>
  <c r="U9" i="17"/>
  <c r="O42" i="17"/>
  <c r="O41" i="22"/>
  <c r="O10" i="10"/>
  <c r="O41" i="21"/>
  <c r="O9" i="10"/>
  <c r="O41" i="19"/>
  <c r="O7" i="10"/>
  <c r="O41" i="17"/>
  <c r="O40" i="19"/>
  <c r="N7" i="10"/>
  <c r="O40" i="17"/>
  <c r="U13" i="18"/>
  <c r="U12" i="18"/>
  <c r="O46" i="18"/>
  <c r="T5" i="10"/>
  <c r="O45" i="18"/>
  <c r="S5" i="10"/>
  <c r="O44" i="18"/>
  <c r="R5" i="10"/>
  <c r="O42" i="18"/>
  <c r="P5" i="10"/>
  <c r="O41" i="18"/>
  <c r="O5" i="10"/>
  <c r="O40" i="18"/>
  <c r="N10" i="10"/>
  <c r="N9" i="10"/>
  <c r="N8" i="10"/>
  <c r="N5" i="10"/>
  <c r="T10" i="22"/>
  <c r="X10" i="22"/>
  <c r="T11" i="22"/>
  <c r="X11" i="22"/>
  <c r="X12" i="22"/>
  <c r="X13" i="22"/>
  <c r="X9" i="22"/>
  <c r="O38" i="22"/>
  <c r="L10" i="10"/>
  <c r="T10" i="21"/>
  <c r="X10" i="21"/>
  <c r="T11" i="21"/>
  <c r="X11" i="21"/>
  <c r="X12" i="21"/>
  <c r="X13" i="21"/>
  <c r="X9" i="21"/>
  <c r="O38" i="21"/>
  <c r="L9" i="10"/>
  <c r="X9" i="17"/>
  <c r="O38" i="17"/>
  <c r="W10" i="22"/>
  <c r="W11" i="22"/>
  <c r="W12" i="22"/>
  <c r="W13" i="22"/>
  <c r="W9" i="22"/>
  <c r="O37" i="22"/>
  <c r="K10" i="10"/>
  <c r="W10" i="21"/>
  <c r="W11" i="21"/>
  <c r="W12" i="21"/>
  <c r="W13" i="21"/>
  <c r="W9" i="21"/>
  <c r="O37" i="21"/>
  <c r="K9" i="10"/>
  <c r="W12" i="20"/>
  <c r="W9" i="17"/>
  <c r="O37" i="17"/>
  <c r="J10" i="10"/>
  <c r="J9" i="10"/>
  <c r="J8" i="10"/>
  <c r="J7" i="10"/>
  <c r="O36" i="17"/>
  <c r="X9" i="18"/>
  <c r="O38" i="18"/>
  <c r="L5" i="10"/>
  <c r="W9" i="18"/>
  <c r="K5" i="10"/>
  <c r="V9" i="18"/>
  <c r="O36" i="18"/>
  <c r="J5" i="10"/>
  <c r="O34" i="22"/>
  <c r="H10" i="10"/>
  <c r="O34" i="21"/>
  <c r="H9" i="10"/>
  <c r="O34" i="18"/>
  <c r="H5" i="10"/>
  <c r="O33" i="22"/>
  <c r="G10" i="10"/>
  <c r="O33" i="21"/>
  <c r="G9" i="10"/>
  <c r="O33" i="17"/>
  <c r="O33" i="18"/>
  <c r="G5" i="10"/>
  <c r="F10" i="10"/>
  <c r="F9" i="10"/>
  <c r="F8" i="10"/>
  <c r="F7" i="10"/>
  <c r="O32" i="17"/>
  <c r="O32" i="18"/>
  <c r="F5" i="10"/>
  <c r="U10" i="22"/>
  <c r="U11" i="22"/>
  <c r="O30" i="22"/>
  <c r="D10" i="10"/>
  <c r="U10" i="21"/>
  <c r="U11" i="21"/>
  <c r="O30" i="21"/>
  <c r="D9" i="10"/>
  <c r="U10" i="20"/>
  <c r="U11" i="20"/>
  <c r="S10" i="19"/>
  <c r="T10" i="19"/>
  <c r="S11" i="19"/>
  <c r="T11" i="19"/>
  <c r="O30" i="19"/>
  <c r="D7" i="10"/>
  <c r="U10" i="17"/>
  <c r="U11" i="17"/>
  <c r="O30" i="17"/>
  <c r="U10" i="18"/>
  <c r="U11" i="18"/>
  <c r="O30" i="18"/>
  <c r="D5" i="10"/>
  <c r="O29" i="22"/>
  <c r="C10" i="10"/>
  <c r="O29" i="21"/>
  <c r="C9" i="10"/>
  <c r="O29" i="19"/>
  <c r="C7" i="10"/>
  <c r="O29" i="17"/>
  <c r="O29" i="18"/>
  <c r="C5" i="10"/>
  <c r="O28" i="22"/>
  <c r="B10" i="10"/>
  <c r="O28" i="21"/>
  <c r="B9" i="10"/>
  <c r="O28" i="19"/>
  <c r="B7" i="10"/>
  <c r="O28" i="17"/>
  <c r="O28" i="18"/>
  <c r="B5" i="10"/>
  <c r="C12" i="10"/>
  <c r="F12" i="10"/>
  <c r="J12" i="10"/>
  <c r="N12" i="10"/>
  <c r="R12" i="10"/>
  <c r="S12" i="10"/>
  <c r="T12" i="10"/>
  <c r="O32" i="21"/>
  <c r="O32" i="19"/>
  <c r="O32" i="22"/>
  <c r="J18" i="20"/>
  <c r="K18" i="20"/>
  <c r="L18" i="20"/>
  <c r="Q18" i="20"/>
  <c r="J9" i="20"/>
  <c r="K9" i="20"/>
  <c r="L9" i="20"/>
  <c r="U18" i="20"/>
  <c r="X18" i="20"/>
  <c r="W18" i="20"/>
  <c r="V18" i="20"/>
  <c r="I17" i="20"/>
  <c r="M18" i="20"/>
  <c r="N18" i="20"/>
  <c r="O18" i="20"/>
  <c r="P18" i="20"/>
  <c r="I18" i="20"/>
  <c r="J17" i="20"/>
  <c r="K17" i="20"/>
  <c r="L17" i="20"/>
  <c r="Q17" i="20"/>
  <c r="U17" i="20"/>
  <c r="X17" i="20"/>
  <c r="W17" i="20"/>
  <c r="V17" i="20"/>
  <c r="I16" i="20"/>
  <c r="M17" i="20"/>
  <c r="N17" i="20"/>
  <c r="O17" i="20"/>
  <c r="P17" i="20"/>
  <c r="J16" i="20"/>
  <c r="K16" i="20"/>
  <c r="L16" i="20"/>
  <c r="Q16" i="20"/>
  <c r="U16" i="20"/>
  <c r="X16" i="20"/>
  <c r="W16" i="20"/>
  <c r="V16" i="20"/>
  <c r="I15" i="20"/>
  <c r="M16" i="20"/>
  <c r="N16" i="20"/>
  <c r="O16" i="20"/>
  <c r="P16" i="20"/>
  <c r="J15" i="20"/>
  <c r="K15" i="20"/>
  <c r="L15" i="20"/>
  <c r="Q15" i="20"/>
  <c r="U15" i="20"/>
  <c r="X15" i="20"/>
  <c r="W15" i="20"/>
  <c r="V15" i="20"/>
  <c r="I14" i="20"/>
  <c r="M15" i="20"/>
  <c r="N15" i="20"/>
  <c r="O15" i="20"/>
  <c r="P15" i="20"/>
  <c r="J14" i="20"/>
  <c r="K14" i="20"/>
  <c r="L14" i="20"/>
  <c r="Q14" i="20"/>
  <c r="U14" i="20"/>
  <c r="X14" i="20"/>
  <c r="W14" i="20"/>
  <c r="V14" i="20"/>
  <c r="I13" i="20"/>
  <c r="M14" i="20"/>
  <c r="N14" i="20"/>
  <c r="O14" i="20"/>
  <c r="P14" i="20"/>
  <c r="J13" i="20"/>
  <c r="K13" i="20"/>
  <c r="L13" i="20"/>
  <c r="Q13" i="20"/>
  <c r="V13" i="20"/>
  <c r="I12" i="20"/>
  <c r="M13" i="20"/>
  <c r="N13" i="20"/>
  <c r="O13" i="20"/>
  <c r="P13" i="20"/>
  <c r="J12" i="20"/>
  <c r="K12" i="20"/>
  <c r="L12" i="20"/>
  <c r="Q12" i="20"/>
  <c r="V12" i="20"/>
  <c r="I11" i="20"/>
  <c r="M12" i="20"/>
  <c r="N12" i="20"/>
  <c r="O12" i="20"/>
  <c r="P12" i="20"/>
  <c r="J11" i="20"/>
  <c r="K11" i="20"/>
  <c r="L11" i="20"/>
  <c r="Q11" i="20"/>
  <c r="V11" i="20"/>
  <c r="M11" i="20"/>
  <c r="N11" i="20"/>
  <c r="O11" i="20"/>
  <c r="P11" i="20"/>
  <c r="J12" i="22"/>
  <c r="K12" i="22"/>
  <c r="L12" i="22"/>
  <c r="Q12" i="22"/>
  <c r="J9" i="22"/>
  <c r="K9" i="22"/>
  <c r="L9" i="22"/>
  <c r="J13" i="22"/>
  <c r="K13" i="22"/>
  <c r="L13" i="22"/>
  <c r="Q13" i="22"/>
  <c r="Q9" i="22"/>
  <c r="K19" i="22"/>
  <c r="O40" i="22"/>
  <c r="J10" i="22"/>
  <c r="K10" i="22"/>
  <c r="L10" i="22"/>
  <c r="Q10" i="22"/>
  <c r="J11" i="22"/>
  <c r="K11" i="22"/>
  <c r="L11" i="22"/>
  <c r="Q11" i="22"/>
  <c r="J19" i="22"/>
  <c r="L19" i="22"/>
  <c r="Q19" i="22"/>
  <c r="T19" i="22"/>
  <c r="U19" i="22"/>
  <c r="X19" i="22"/>
  <c r="W19" i="22"/>
  <c r="V19" i="22"/>
  <c r="I18" i="22"/>
  <c r="M19" i="22"/>
  <c r="N19" i="22"/>
  <c r="O19" i="22"/>
  <c r="P19" i="22"/>
  <c r="I19" i="22"/>
  <c r="J18" i="22"/>
  <c r="K18" i="22"/>
  <c r="L18" i="22"/>
  <c r="Q18" i="22"/>
  <c r="T18" i="22"/>
  <c r="U18" i="22"/>
  <c r="X18" i="22"/>
  <c r="W18" i="22"/>
  <c r="V18" i="22"/>
  <c r="I17" i="22"/>
  <c r="M18" i="22"/>
  <c r="N18" i="22"/>
  <c r="O18" i="22"/>
  <c r="P18" i="22"/>
  <c r="J17" i="22"/>
  <c r="K17" i="22"/>
  <c r="L17" i="22"/>
  <c r="Q17" i="22"/>
  <c r="T17" i="22"/>
  <c r="U17" i="22"/>
  <c r="X17" i="22"/>
  <c r="W17" i="22"/>
  <c r="V17" i="22"/>
  <c r="I16" i="22"/>
  <c r="M17" i="22"/>
  <c r="N17" i="22"/>
  <c r="O17" i="22"/>
  <c r="P17" i="22"/>
  <c r="J16" i="22"/>
  <c r="K16" i="22"/>
  <c r="L16" i="22"/>
  <c r="Q16" i="22"/>
  <c r="T16" i="22"/>
  <c r="U16" i="22"/>
  <c r="X16" i="22"/>
  <c r="W16" i="22"/>
  <c r="V16" i="22"/>
  <c r="I15" i="22"/>
  <c r="M16" i="22"/>
  <c r="N16" i="22"/>
  <c r="O16" i="22"/>
  <c r="P16" i="22"/>
  <c r="J15" i="22"/>
  <c r="K15" i="22"/>
  <c r="L15" i="22"/>
  <c r="Q15" i="22"/>
  <c r="T15" i="22"/>
  <c r="U15" i="22"/>
  <c r="X15" i="22"/>
  <c r="W15" i="22"/>
  <c r="V15" i="22"/>
  <c r="I14" i="22"/>
  <c r="M15" i="22"/>
  <c r="N15" i="22"/>
  <c r="O15" i="22"/>
  <c r="P15" i="22"/>
  <c r="J14" i="22"/>
  <c r="K14" i="22"/>
  <c r="L14" i="22"/>
  <c r="Q14" i="22"/>
  <c r="T14" i="22"/>
  <c r="U14" i="22"/>
  <c r="X14" i="22"/>
  <c r="W14" i="22"/>
  <c r="V14" i="22"/>
  <c r="I13" i="22"/>
  <c r="M14" i="22"/>
  <c r="N14" i="22"/>
  <c r="O14" i="22"/>
  <c r="P14" i="22"/>
  <c r="V13" i="22"/>
  <c r="I12" i="22"/>
  <c r="M13" i="22"/>
  <c r="N13" i="22"/>
  <c r="O13" i="22"/>
  <c r="P13" i="22"/>
  <c r="V12" i="22"/>
  <c r="I11" i="22"/>
  <c r="M12" i="22"/>
  <c r="N12" i="22"/>
  <c r="O12" i="22"/>
  <c r="P12" i="22"/>
  <c r="V11" i="22"/>
  <c r="I10" i="22"/>
  <c r="M11" i="22"/>
  <c r="N11" i="22"/>
  <c r="O11" i="22"/>
  <c r="P11" i="22"/>
  <c r="V10" i="22"/>
  <c r="I9" i="22"/>
  <c r="M10" i="22"/>
  <c r="N10" i="22"/>
  <c r="O10" i="22"/>
  <c r="P10" i="22"/>
  <c r="V9" i="22"/>
  <c r="J12" i="21"/>
  <c r="K12" i="21"/>
  <c r="L12" i="21"/>
  <c r="Q12" i="21"/>
  <c r="J9" i="21"/>
  <c r="K9" i="21"/>
  <c r="L9" i="21"/>
  <c r="J13" i="21"/>
  <c r="K13" i="21"/>
  <c r="L13" i="21"/>
  <c r="Q13" i="21"/>
  <c r="Q9" i="21"/>
  <c r="K19" i="21"/>
  <c r="O40" i="21"/>
  <c r="J10" i="21"/>
  <c r="K10" i="21"/>
  <c r="L10" i="21"/>
  <c r="Q10" i="21"/>
  <c r="J11" i="21"/>
  <c r="K11" i="21"/>
  <c r="L11" i="21"/>
  <c r="Q11" i="21"/>
  <c r="J19" i="21"/>
  <c r="L19" i="21"/>
  <c r="Q19" i="21"/>
  <c r="T19" i="21"/>
  <c r="U19" i="21"/>
  <c r="X19" i="21"/>
  <c r="W19" i="21"/>
  <c r="V19" i="21"/>
  <c r="I18" i="21"/>
  <c r="M19" i="21"/>
  <c r="N19" i="21"/>
  <c r="O19" i="21"/>
  <c r="P19" i="21"/>
  <c r="I19" i="21"/>
  <c r="J18" i="21"/>
  <c r="K18" i="21"/>
  <c r="L18" i="21"/>
  <c r="Q18" i="21"/>
  <c r="T18" i="21"/>
  <c r="U18" i="21"/>
  <c r="X18" i="21"/>
  <c r="W18" i="21"/>
  <c r="V18" i="21"/>
  <c r="I17" i="21"/>
  <c r="M18" i="21"/>
  <c r="N18" i="21"/>
  <c r="O18" i="21"/>
  <c r="P18" i="21"/>
  <c r="J17" i="21"/>
  <c r="K17" i="21"/>
  <c r="L17" i="21"/>
  <c r="Q17" i="21"/>
  <c r="T17" i="21"/>
  <c r="U17" i="21"/>
  <c r="X17" i="21"/>
  <c r="W17" i="21"/>
  <c r="V17" i="21"/>
  <c r="I16" i="21"/>
  <c r="M17" i="21"/>
  <c r="N17" i="21"/>
  <c r="O17" i="21"/>
  <c r="P17" i="21"/>
  <c r="J16" i="21"/>
  <c r="K16" i="21"/>
  <c r="L16" i="21"/>
  <c r="Q16" i="21"/>
  <c r="T16" i="21"/>
  <c r="U16" i="21"/>
  <c r="X16" i="21"/>
  <c r="W16" i="21"/>
  <c r="V16" i="21"/>
  <c r="I15" i="21"/>
  <c r="M16" i="21"/>
  <c r="N16" i="21"/>
  <c r="O16" i="21"/>
  <c r="P16" i="21"/>
  <c r="J15" i="21"/>
  <c r="K15" i="21"/>
  <c r="L15" i="21"/>
  <c r="Q15" i="21"/>
  <c r="T15" i="21"/>
  <c r="U15" i="21"/>
  <c r="X15" i="21"/>
  <c r="W15" i="21"/>
  <c r="V15" i="21"/>
  <c r="I14" i="21"/>
  <c r="M15" i="21"/>
  <c r="N15" i="21"/>
  <c r="O15" i="21"/>
  <c r="P15" i="21"/>
  <c r="J14" i="21"/>
  <c r="K14" i="21"/>
  <c r="L14" i="21"/>
  <c r="Q14" i="21"/>
  <c r="T14" i="21"/>
  <c r="U14" i="21"/>
  <c r="X14" i="21"/>
  <c r="W14" i="21"/>
  <c r="V14" i="21"/>
  <c r="I13" i="21"/>
  <c r="M14" i="21"/>
  <c r="N14" i="21"/>
  <c r="O14" i="21"/>
  <c r="P14" i="21"/>
  <c r="V13" i="21"/>
  <c r="I12" i="21"/>
  <c r="M13" i="21"/>
  <c r="N13" i="21"/>
  <c r="O13" i="21"/>
  <c r="P13" i="21"/>
  <c r="V12" i="21"/>
  <c r="I11" i="21"/>
  <c r="M12" i="21"/>
  <c r="N12" i="21"/>
  <c r="O12" i="21"/>
  <c r="P12" i="21"/>
  <c r="V11" i="21"/>
  <c r="I10" i="21"/>
  <c r="M11" i="21"/>
  <c r="N11" i="21"/>
  <c r="O11" i="21"/>
  <c r="P11" i="21"/>
  <c r="V10" i="21"/>
  <c r="I9" i="21"/>
  <c r="M10" i="21"/>
  <c r="N10" i="21"/>
  <c r="O10" i="21"/>
  <c r="P10" i="21"/>
  <c r="V9" i="21"/>
  <c r="Q9" i="20"/>
  <c r="O40" i="20"/>
  <c r="J10" i="20"/>
  <c r="K10" i="20"/>
  <c r="L10" i="20"/>
  <c r="Q10" i="20"/>
  <c r="I10" i="20"/>
  <c r="V10" i="20"/>
  <c r="I9" i="20"/>
  <c r="M10" i="20"/>
  <c r="N10" i="20"/>
  <c r="O10" i="20"/>
  <c r="P10" i="20"/>
  <c r="V9" i="20"/>
  <c r="J12" i="19"/>
  <c r="K12" i="19"/>
  <c r="L12" i="19"/>
  <c r="Q12" i="19"/>
  <c r="J9" i="19"/>
  <c r="K9" i="19"/>
  <c r="L9" i="19"/>
  <c r="J13" i="19"/>
  <c r="K13" i="19"/>
  <c r="L13" i="19"/>
  <c r="Q13" i="19"/>
  <c r="Q9" i="19"/>
  <c r="K19" i="19"/>
  <c r="J10" i="19"/>
  <c r="K10" i="19"/>
  <c r="L10" i="19"/>
  <c r="Q10" i="19"/>
  <c r="J11" i="19"/>
  <c r="K11" i="19"/>
  <c r="L11" i="19"/>
  <c r="Q11" i="19"/>
  <c r="J19" i="19"/>
  <c r="L19" i="19"/>
  <c r="Q19" i="19"/>
  <c r="S19" i="19"/>
  <c r="T19" i="19"/>
  <c r="X19" i="19"/>
  <c r="W19" i="19"/>
  <c r="V19" i="19"/>
  <c r="I18" i="19"/>
  <c r="M19" i="19"/>
  <c r="N19" i="19"/>
  <c r="O19" i="19"/>
  <c r="P19" i="19"/>
  <c r="I19" i="19"/>
  <c r="J18" i="19"/>
  <c r="K18" i="19"/>
  <c r="L18" i="19"/>
  <c r="Q18" i="19"/>
  <c r="S18" i="19"/>
  <c r="T18" i="19"/>
  <c r="X18" i="19"/>
  <c r="W18" i="19"/>
  <c r="V18" i="19"/>
  <c r="I17" i="19"/>
  <c r="M18" i="19"/>
  <c r="N18" i="19"/>
  <c r="O18" i="19"/>
  <c r="P18" i="19"/>
  <c r="J17" i="19"/>
  <c r="K17" i="19"/>
  <c r="L17" i="19"/>
  <c r="Q17" i="19"/>
  <c r="S17" i="19"/>
  <c r="T17" i="19"/>
  <c r="X17" i="19"/>
  <c r="W17" i="19"/>
  <c r="V17" i="19"/>
  <c r="I16" i="19"/>
  <c r="M17" i="19"/>
  <c r="N17" i="19"/>
  <c r="O17" i="19"/>
  <c r="P17" i="19"/>
  <c r="J16" i="19"/>
  <c r="K16" i="19"/>
  <c r="L16" i="19"/>
  <c r="Q16" i="19"/>
  <c r="S16" i="19"/>
  <c r="T16" i="19"/>
  <c r="X16" i="19"/>
  <c r="W16" i="19"/>
  <c r="V16" i="19"/>
  <c r="I15" i="19"/>
  <c r="M16" i="19"/>
  <c r="N16" i="19"/>
  <c r="O16" i="19"/>
  <c r="P16" i="19"/>
  <c r="J15" i="19"/>
  <c r="K15" i="19"/>
  <c r="L15" i="19"/>
  <c r="Q15" i="19"/>
  <c r="S15" i="19"/>
  <c r="T15" i="19"/>
  <c r="X15" i="19"/>
  <c r="W15" i="19"/>
  <c r="V15" i="19"/>
  <c r="I14" i="19"/>
  <c r="M15" i="19"/>
  <c r="N15" i="19"/>
  <c r="O15" i="19"/>
  <c r="P15" i="19"/>
  <c r="J14" i="19"/>
  <c r="K14" i="19"/>
  <c r="L14" i="19"/>
  <c r="Q14" i="19"/>
  <c r="S14" i="19"/>
  <c r="T14" i="19"/>
  <c r="X14" i="19"/>
  <c r="W14" i="19"/>
  <c r="V14" i="19"/>
  <c r="I13" i="19"/>
  <c r="M14" i="19"/>
  <c r="N14" i="19"/>
  <c r="O14" i="19"/>
  <c r="P14" i="19"/>
  <c r="X13" i="19"/>
  <c r="W13" i="19"/>
  <c r="V13" i="19"/>
  <c r="I12" i="19"/>
  <c r="M13" i="19"/>
  <c r="N13" i="19"/>
  <c r="O13" i="19"/>
  <c r="P13" i="19"/>
  <c r="X12" i="19"/>
  <c r="W12" i="19"/>
  <c r="V12" i="19"/>
  <c r="I11" i="19"/>
  <c r="M12" i="19"/>
  <c r="N12" i="19"/>
  <c r="O12" i="19"/>
  <c r="P12" i="19"/>
  <c r="X11" i="19"/>
  <c r="W11" i="19"/>
  <c r="V11" i="19"/>
  <c r="I10" i="19"/>
  <c r="M11" i="19"/>
  <c r="N11" i="19"/>
  <c r="O11" i="19"/>
  <c r="P11" i="19"/>
  <c r="X10" i="19"/>
  <c r="W10" i="19"/>
  <c r="V10" i="19"/>
  <c r="I9" i="19"/>
  <c r="M10" i="19"/>
  <c r="N10" i="19"/>
  <c r="O10" i="19"/>
  <c r="P10" i="19"/>
  <c r="X9" i="19"/>
  <c r="W9" i="19"/>
  <c r="V9" i="19"/>
  <c r="J12" i="18"/>
  <c r="K12" i="18"/>
  <c r="L12" i="18"/>
  <c r="Q12" i="18"/>
  <c r="J9" i="18"/>
  <c r="K9" i="18"/>
  <c r="L9" i="18"/>
  <c r="J13" i="18"/>
  <c r="K13" i="18"/>
  <c r="L13" i="18"/>
  <c r="Q13" i="18"/>
  <c r="K19" i="18"/>
  <c r="J10" i="18"/>
  <c r="K10" i="18"/>
  <c r="L10" i="18"/>
  <c r="Q10" i="18"/>
  <c r="J11" i="18"/>
  <c r="K11" i="18"/>
  <c r="L11" i="18"/>
  <c r="Q11" i="18"/>
  <c r="J19" i="18"/>
  <c r="L19" i="18"/>
  <c r="Q19" i="18"/>
  <c r="U19" i="18"/>
  <c r="V19" i="18"/>
  <c r="I18" i="18"/>
  <c r="M19" i="18"/>
  <c r="N19" i="18"/>
  <c r="O19" i="18"/>
  <c r="P19" i="18"/>
  <c r="I19" i="18"/>
  <c r="J18" i="18"/>
  <c r="K18" i="18"/>
  <c r="L18" i="18"/>
  <c r="Q18" i="18"/>
  <c r="U18" i="18"/>
  <c r="V18" i="18"/>
  <c r="I17" i="18"/>
  <c r="M18" i="18"/>
  <c r="N18" i="18"/>
  <c r="O18" i="18"/>
  <c r="P18" i="18"/>
  <c r="J17" i="18"/>
  <c r="K17" i="18"/>
  <c r="L17" i="18"/>
  <c r="Q17" i="18"/>
  <c r="U17" i="18"/>
  <c r="V17" i="18"/>
  <c r="I16" i="18"/>
  <c r="M17" i="18"/>
  <c r="N17" i="18"/>
  <c r="O17" i="18"/>
  <c r="P17" i="18"/>
  <c r="J16" i="18"/>
  <c r="K16" i="18"/>
  <c r="L16" i="18"/>
  <c r="Q16" i="18"/>
  <c r="U16" i="18"/>
  <c r="V16" i="18"/>
  <c r="I15" i="18"/>
  <c r="M16" i="18"/>
  <c r="N16" i="18"/>
  <c r="O16" i="18"/>
  <c r="P16" i="18"/>
  <c r="J15" i="18"/>
  <c r="K15" i="18"/>
  <c r="L15" i="18"/>
  <c r="Q15" i="18"/>
  <c r="U15" i="18"/>
  <c r="V15" i="18"/>
  <c r="I14" i="18"/>
  <c r="M15" i="18"/>
  <c r="N15" i="18"/>
  <c r="O15" i="18"/>
  <c r="P15" i="18"/>
  <c r="J14" i="18"/>
  <c r="K14" i="18"/>
  <c r="L14" i="18"/>
  <c r="Q14" i="18"/>
  <c r="U14" i="18"/>
  <c r="V14" i="18"/>
  <c r="I13" i="18"/>
  <c r="M14" i="18"/>
  <c r="N14" i="18"/>
  <c r="O14" i="18"/>
  <c r="P14" i="18"/>
  <c r="V13" i="18"/>
  <c r="I12" i="18"/>
  <c r="M13" i="18"/>
  <c r="N13" i="18"/>
  <c r="O13" i="18"/>
  <c r="P13" i="18"/>
  <c r="V12" i="18"/>
  <c r="I11" i="18"/>
  <c r="M12" i="18"/>
  <c r="N12" i="18"/>
  <c r="O12" i="18"/>
  <c r="P12" i="18"/>
  <c r="V11" i="18"/>
  <c r="I10" i="18"/>
  <c r="M11" i="18"/>
  <c r="N11" i="18"/>
  <c r="O11" i="18"/>
  <c r="P11" i="18"/>
  <c r="V10" i="18"/>
  <c r="I9" i="18"/>
  <c r="M10" i="18"/>
  <c r="N10" i="18"/>
  <c r="O10" i="18"/>
  <c r="P10" i="18"/>
  <c r="U14" i="17"/>
  <c r="U15" i="17"/>
  <c r="U16" i="17"/>
  <c r="U17" i="17"/>
  <c r="U18" i="17"/>
  <c r="U19" i="17"/>
  <c r="L19" i="17"/>
  <c r="Q19" i="17"/>
  <c r="J12" i="17"/>
  <c r="K12" i="17"/>
  <c r="L12" i="17"/>
  <c r="Q12" i="17"/>
  <c r="J9" i="17"/>
  <c r="K9" i="17"/>
  <c r="L9" i="17"/>
  <c r="J13" i="17"/>
  <c r="K13" i="17"/>
  <c r="L13" i="17"/>
  <c r="Q13" i="17"/>
  <c r="Q9" i="17"/>
  <c r="K19" i="17"/>
  <c r="J10" i="17"/>
  <c r="K10" i="17"/>
  <c r="L10" i="17"/>
  <c r="Q10" i="17"/>
  <c r="J11" i="17"/>
  <c r="K11" i="17"/>
  <c r="L11" i="17"/>
  <c r="Q11" i="17"/>
  <c r="J19" i="17"/>
  <c r="I18" i="17"/>
  <c r="M19" i="17"/>
  <c r="N19" i="17"/>
  <c r="O19" i="17"/>
  <c r="P19" i="17"/>
  <c r="I19" i="17"/>
  <c r="J18" i="17"/>
  <c r="K18" i="17"/>
  <c r="L18" i="17"/>
  <c r="Q18" i="17"/>
  <c r="I17" i="17"/>
  <c r="M18" i="17"/>
  <c r="N18" i="17"/>
  <c r="O18" i="17"/>
  <c r="P18" i="17"/>
  <c r="J17" i="17"/>
  <c r="K17" i="17"/>
  <c r="L17" i="17"/>
  <c r="Q17" i="17"/>
  <c r="I16" i="17"/>
  <c r="M17" i="17"/>
  <c r="N17" i="17"/>
  <c r="O17" i="17"/>
  <c r="P17" i="17"/>
  <c r="J16" i="17"/>
  <c r="K16" i="17"/>
  <c r="L16" i="17"/>
  <c r="Q16" i="17"/>
  <c r="I15" i="17"/>
  <c r="M16" i="17"/>
  <c r="N16" i="17"/>
  <c r="O16" i="17"/>
  <c r="P16" i="17"/>
  <c r="J15" i="17"/>
  <c r="K15" i="17"/>
  <c r="L15" i="17"/>
  <c r="Q15" i="17"/>
  <c r="I14" i="17"/>
  <c r="M15" i="17"/>
  <c r="N15" i="17"/>
  <c r="O15" i="17"/>
  <c r="P15" i="17"/>
  <c r="J14" i="17"/>
  <c r="K14" i="17"/>
  <c r="L14" i="17"/>
  <c r="Q14" i="17"/>
  <c r="I13" i="17"/>
  <c r="M14" i="17"/>
  <c r="N14" i="17"/>
  <c r="O14" i="17"/>
  <c r="P14" i="17"/>
  <c r="I12" i="17"/>
  <c r="M13" i="17"/>
  <c r="N13" i="17"/>
  <c r="O13" i="17"/>
  <c r="P13" i="17"/>
  <c r="I11" i="17"/>
  <c r="M12" i="17"/>
  <c r="N12" i="17"/>
  <c r="O12" i="17"/>
  <c r="P12" i="17"/>
  <c r="I10" i="17"/>
  <c r="M11" i="17"/>
  <c r="N11" i="17"/>
  <c r="O11" i="17"/>
  <c r="P11" i="17"/>
  <c r="I9" i="17"/>
  <c r="M10" i="17"/>
  <c r="N10" i="17"/>
  <c r="O10" i="17"/>
  <c r="P10" i="17"/>
  <c r="V9" i="17"/>
  <c r="O36" i="19"/>
  <c r="O32" i="20"/>
  <c r="O36" i="20"/>
  <c r="O36" i="21"/>
  <c r="O36" i="22"/>
  <c r="T15" i="10"/>
  <c r="O38" i="19"/>
  <c r="L7" i="10"/>
  <c r="K7" i="10"/>
  <c r="O34" i="19"/>
  <c r="H7" i="10"/>
  <c r="O33" i="19"/>
  <c r="G7" i="10"/>
  <c r="B12" i="10"/>
  <c r="S9" i="20"/>
  <c r="O41" i="20"/>
  <c r="O8" i="10"/>
  <c r="O42" i="20"/>
  <c r="P8" i="10"/>
  <c r="D12" i="10"/>
  <c r="O12" i="10"/>
  <c r="P12" i="10"/>
  <c r="O29" i="20"/>
  <c r="D15" i="10"/>
  <c r="P15" i="10"/>
  <c r="X9" i="20"/>
  <c r="W9" i="20"/>
  <c r="L15" i="10"/>
  <c r="H15" i="10"/>
  <c r="I15" i="10"/>
  <c r="L12" i="10"/>
  <c r="K12" i="10"/>
  <c r="H12" i="10"/>
  <c r="G12" i="10"/>
  <c r="O28" i="23"/>
  <c r="O32" i="23"/>
  <c r="O33" i="23"/>
  <c r="O34" i="23"/>
  <c r="O36" i="23"/>
  <c r="O37" i="23"/>
  <c r="O38" i="23"/>
  <c r="O40" i="23"/>
  <c r="F5" i="24"/>
  <c r="U9" i="24"/>
  <c r="Y9" i="24"/>
  <c r="Z9" i="24"/>
  <c r="AA9" i="24"/>
  <c r="U10" i="24"/>
  <c r="Y10" i="24"/>
  <c r="Z10" i="24"/>
  <c r="AA10" i="24"/>
  <c r="U11" i="24"/>
  <c r="Y11" i="24"/>
  <c r="Z11" i="24"/>
  <c r="AA11" i="24"/>
  <c r="U12" i="24"/>
  <c r="Y12" i="24"/>
  <c r="Z12" i="24"/>
  <c r="AA12" i="24"/>
  <c r="U13" i="24"/>
  <c r="Y13" i="24"/>
  <c r="Z13" i="24"/>
  <c r="AA13" i="24"/>
  <c r="U14" i="24"/>
  <c r="Z14" i="24"/>
  <c r="U15" i="24"/>
  <c r="Y15" i="24"/>
  <c r="AA15" i="24"/>
  <c r="U16" i="24"/>
  <c r="Y16" i="24"/>
  <c r="Z16" i="24"/>
  <c r="AA16" i="24"/>
  <c r="U17" i="24"/>
  <c r="Y17" i="24"/>
  <c r="Z17" i="24"/>
  <c r="AA17" i="24"/>
  <c r="U18" i="24"/>
  <c r="Y18" i="24"/>
  <c r="Z18" i="24"/>
  <c r="AA18" i="24"/>
  <c r="U19" i="24"/>
  <c r="Y19" i="24"/>
  <c r="Z19" i="24"/>
  <c r="AA19" i="24"/>
  <c r="U20" i="24"/>
  <c r="Y20" i="24"/>
  <c r="Z20" i="24"/>
  <c r="AA20" i="24"/>
  <c r="U21" i="24"/>
  <c r="Y21" i="24"/>
  <c r="Z21" i="24"/>
  <c r="AA21" i="24"/>
  <c r="O28" i="24"/>
  <c r="O29" i="24"/>
  <c r="O30" i="24"/>
  <c r="O32" i="24"/>
  <c r="O33" i="24"/>
  <c r="O34" i="24"/>
  <c r="O36" i="24"/>
  <c r="O37" i="24"/>
  <c r="O38" i="24"/>
  <c r="O40" i="24"/>
  <c r="O41" i="24"/>
  <c r="O42" i="24"/>
  <c r="Y14" i="24"/>
  <c r="O44" i="24"/>
  <c r="Z15" i="24"/>
  <c r="O45" i="24"/>
  <c r="AA14" i="24"/>
  <c r="O46" i="24"/>
  <c r="O32" i="25"/>
  <c r="O33" i="25"/>
  <c r="O34" i="25"/>
  <c r="O36" i="25"/>
  <c r="O37" i="25"/>
  <c r="O38" i="25"/>
  <c r="O32" i="26"/>
  <c r="O33" i="26"/>
  <c r="O34" i="26"/>
  <c r="O36" i="26"/>
  <c r="O37" i="26"/>
  <c r="O38" i="26"/>
</calcChain>
</file>

<file path=xl/sharedStrings.xml><?xml version="1.0" encoding="utf-8"?>
<sst xmlns="http://schemas.openxmlformats.org/spreadsheetml/2006/main" count="1159" uniqueCount="227">
  <si>
    <t>Steps</t>
  </si>
  <si>
    <t xml:space="preserve">1) </t>
  </si>
  <si>
    <t xml:space="preserve">Input declining fresh mass, water potential, and leaf and stem dry mass raw data, </t>
  </si>
  <si>
    <t>Species</t>
  </si>
  <si>
    <t>Rep</t>
  </si>
  <si>
    <t>Iteration</t>
  </si>
  <si>
    <t>Shoot FM (g)</t>
  </si>
  <si>
    <t>Debris FM (g)</t>
  </si>
  <si>
    <t>S.alba</t>
  </si>
  <si>
    <t>Ψshoot (MPa)</t>
  </si>
  <si>
    <t>Leaf DM (g)</t>
  </si>
  <si>
    <t>Debris (woody) DM (g)</t>
  </si>
  <si>
    <t>Stem DM (g)</t>
  </si>
  <si>
    <t>Calculations</t>
  </si>
  <si>
    <t>Removed/ debris leaves DM (g)</t>
  </si>
  <si>
    <t>Shoot DM (g)</t>
  </si>
  <si>
    <t>dLeaf WC estimated</t>
  </si>
  <si>
    <t>Leaf Capacitance ABOVE TLP*</t>
  </si>
  <si>
    <t>Leaf Capacitance BELOW TLP*</t>
  </si>
  <si>
    <t xml:space="preserve">Notes: * Depending on the shape of the PV curve if you can get a function to accurately capture the slope, then you may just replace these two constants with the derivative of that function. </t>
  </si>
  <si>
    <t>Units</t>
  </si>
  <si>
    <t>g water MPa-1 g-1 DM</t>
  </si>
  <si>
    <t>dStem WC estimated</t>
  </si>
  <si>
    <t>Shoot FM post measurement (g)</t>
  </si>
  <si>
    <t>dWC shoot (g)</t>
  </si>
  <si>
    <t>Data input from field work</t>
  </si>
  <si>
    <t>Data input post- drying</t>
  </si>
  <si>
    <t>Estimated Leaf WC (g)</t>
  </si>
  <si>
    <t>Shoot WC (g)</t>
  </si>
  <si>
    <t>Turgid WC to DM leaves ratio</t>
  </si>
  <si>
    <t>Estimated Stem WC (g)</t>
  </si>
  <si>
    <t>Stem WC  (g gdw)</t>
  </si>
  <si>
    <t>Valuable outputs</t>
  </si>
  <si>
    <t>Shoot WC (g/gdw)</t>
  </si>
  <si>
    <t>Leaf WC (g/ gdw)</t>
  </si>
  <si>
    <t>Shoot RWC</t>
  </si>
  <si>
    <t>Leaf % of Shoot RWC</t>
  </si>
  <si>
    <t>Stem % of Shoot RWC</t>
  </si>
  <si>
    <t>2)</t>
  </si>
  <si>
    <t>Input constants from PV Curve</t>
  </si>
  <si>
    <t xml:space="preserve">3) </t>
  </si>
  <si>
    <t>Input dry mass data</t>
  </si>
  <si>
    <t>CONSTANTS</t>
  </si>
  <si>
    <t>Metadata</t>
  </si>
  <si>
    <t>dWP</t>
  </si>
  <si>
    <t>(Stem WC at a given iteration/ Shoot WC at Full hydration)* 100</t>
  </si>
  <si>
    <t>Stem % of Shoot RWC (%)</t>
  </si>
  <si>
    <t>(Leaf WC at a given iteration/ Shoot WC at Full hydration)* 100</t>
  </si>
  <si>
    <t>Leaf % of Shoot RWC (%)</t>
  </si>
  <si>
    <t>(Shoot WC at a given iteration/ Shoot WC at Full hydration)* 100</t>
  </si>
  <si>
    <t>Shoot RWC (%)</t>
  </si>
  <si>
    <t>Stem WC/ Stem DM</t>
  </si>
  <si>
    <t>Stem WC  (g g DM)</t>
  </si>
  <si>
    <t>Leaf WC/ Leaf DM</t>
  </si>
  <si>
    <t>Leaf WC (g/ g DM)</t>
  </si>
  <si>
    <t>Shoot WC/ Shoot DM</t>
  </si>
  <si>
    <t>Shoot WC (g/g DM)</t>
  </si>
  <si>
    <t>Valued outputs</t>
  </si>
  <si>
    <t>Shoot WC - Estimated leaf water content</t>
  </si>
  <si>
    <t>Estimated leaf water content (WC) = (Leaf dry mass (g) * Leaf Turgid WC to dry mass ratio (g)) - (Leaf dry mass (g) * Leaf capacitance (g g-1 dm MPa-1)* WP(MPa))</t>
  </si>
  <si>
    <t>Shoot water conent  (g)= Shoot FM (g) - Shoot DM (g)</t>
  </si>
  <si>
    <t xml:space="preserve">Change in stem water content after a given drying interval (g) = dWC Shoot - dWC Leaf estimated. </t>
  </si>
  <si>
    <t>dStem WC estimated (g)</t>
  </si>
  <si>
    <t>Change in leaf water content (g) after a given drying interval = dWP(MPa)*Leaf DM(g)*Leaf capacitance (g water g-1 dm MPa-1)</t>
  </si>
  <si>
    <t>dLeaf WC estimated (g)</t>
  </si>
  <si>
    <t>Change in (d) Water potential (WP)</t>
  </si>
  <si>
    <t>dWP (MPa)</t>
  </si>
  <si>
    <t>Change In (d) Shoot water content (WC) = Shoot FM post measurement - Shoot FM post drying interval.</t>
  </si>
  <si>
    <t xml:space="preserve">Total dry mass of the shoot: leaves + stem at a given iteration. </t>
  </si>
  <si>
    <t xml:space="preserve">Total dry mass of stem on a shoot at a given iteration, declines over the course of the experiment, tallied retrospectively.  </t>
  </si>
  <si>
    <t xml:space="preserve">Total dry mass of leaves on shoot at a given iteration, declines over the course of the experiment, tallied retrospectively.  </t>
  </si>
  <si>
    <t xml:space="preserve">Shoot FM minus Debris FM at the end of a round of measurements. </t>
  </si>
  <si>
    <t>Debris envelopes for each iteration are oven dried, then contents are separated into leaf and stem components</t>
  </si>
  <si>
    <t>Removed/ debris leaves DM (g)_</t>
  </si>
  <si>
    <t>Data collected post drying</t>
  </si>
  <si>
    <t xml:space="preserve">Shoot water potential measured using a pressure bomb, averaged from the water potential of 2 leaves. </t>
  </si>
  <si>
    <t xml:space="preserve">After weighing of everything in the bag combined, take a measurement of just the fresh mass of the debris. </t>
  </si>
  <si>
    <t>Debris FM(g)</t>
  </si>
  <si>
    <r>
      <t xml:space="preserve">The fresh mass (FM) of the shoot </t>
    </r>
    <r>
      <rPr>
        <b/>
        <sz val="11"/>
        <color theme="1"/>
        <rFont val="Calibri"/>
        <family val="2"/>
        <scheme val="minor"/>
      </rPr>
      <t>AND</t>
    </r>
    <r>
      <rPr>
        <sz val="11"/>
        <color theme="1"/>
        <rFont val="Calibri"/>
        <family val="2"/>
        <scheme val="minor"/>
      </rPr>
      <t xml:space="preserve"> the debris (leaves removed for WP measurement and leaves that fall off during  equilibration)</t>
    </r>
  </si>
  <si>
    <t>Each round of measurements made at a given water potential after equilibration</t>
  </si>
  <si>
    <t>Data collected during exp.</t>
  </si>
  <si>
    <t>Definition</t>
  </si>
  <si>
    <t>Definitions</t>
  </si>
  <si>
    <t>Put trend lines to the regions of interest (in terms of WP)</t>
  </si>
  <si>
    <t xml:space="preserve">5) </t>
  </si>
  <si>
    <t>Hopefully the sheet will do the rest</t>
  </si>
  <si>
    <t xml:space="preserve">4) </t>
  </si>
  <si>
    <t>Shoot capacitance</t>
  </si>
  <si>
    <t>Leaf Capacitance</t>
  </si>
  <si>
    <t>Stem Capacitance</t>
  </si>
  <si>
    <t>Leaf WC at full hydration</t>
  </si>
  <si>
    <t>OUTPUTS</t>
  </si>
  <si>
    <t>Stem WC at full hydration</t>
  </si>
  <si>
    <t>Shoot RWC at full hydration (% Shoot RWC)</t>
  </si>
  <si>
    <t>Shoot RWC at Leaf TLP (% Shoot RWC)</t>
  </si>
  <si>
    <t>Leaf WC at Leaf TLP (% Shoot RWC)</t>
  </si>
  <si>
    <t>Leaf WC at full hydration (% Shoot RWC)</t>
  </si>
  <si>
    <t>Stem WC at full hydration (% Shoot RWC)</t>
  </si>
  <si>
    <t>Stem WC at Leaf TLP (% Shoot RWC)</t>
  </si>
  <si>
    <t xml:space="preserve">Presuming you are only interested in capacitance above TLP: For each of these fields you need to highlight the linear region  above the TLP of a given species. </t>
  </si>
  <si>
    <r>
      <t>∆</t>
    </r>
    <r>
      <rPr>
        <sz val="7.25"/>
        <color theme="1"/>
        <rFont val="Calibri"/>
        <family val="2"/>
      </rPr>
      <t xml:space="preserve">  </t>
    </r>
    <r>
      <rPr>
        <sz val="11"/>
        <color theme="1"/>
        <rFont val="Calibri"/>
        <family val="2"/>
      </rPr>
      <t>RWC shoot/ MPa</t>
    </r>
  </si>
  <si>
    <t>g/ g dm/ MPa</t>
  </si>
  <si>
    <t>Metric</t>
  </si>
  <si>
    <t xml:space="preserve">Shoot WC at full hydration </t>
  </si>
  <si>
    <t>g/g dm leaf</t>
  </si>
  <si>
    <t>g/g dm stem</t>
  </si>
  <si>
    <t>g/g dm shoot</t>
  </si>
  <si>
    <t>TW estimated from dry mass</t>
  </si>
  <si>
    <t xml:space="preserve">Turgid FM to DM ratio shoot. </t>
  </si>
  <si>
    <t xml:space="preserve"> </t>
  </si>
  <si>
    <t>Mean</t>
  </si>
  <si>
    <t>SE</t>
  </si>
  <si>
    <t>∆  RWC shoot/ MPa</t>
  </si>
  <si>
    <t>% WC Shoot</t>
  </si>
  <si>
    <t>Leaves vs stem</t>
  </si>
  <si>
    <t>T tests</t>
  </si>
  <si>
    <t>Estimated T leaf WC</t>
  </si>
  <si>
    <t>Estimated Leaf T WC</t>
  </si>
  <si>
    <t>Estimated Leaf TWC</t>
  </si>
  <si>
    <t>WC T</t>
  </si>
  <si>
    <t>AVERAGE</t>
  </si>
  <si>
    <t>Cleaf</t>
  </si>
  <si>
    <t>ABOVE TLP</t>
  </si>
  <si>
    <t>Below TLP</t>
  </si>
  <si>
    <t xml:space="preserve">Turgid WC to DM ratio shoot. </t>
  </si>
  <si>
    <t>Leaf</t>
  </si>
  <si>
    <t>Stem</t>
  </si>
  <si>
    <t>WC at Dawn</t>
  </si>
  <si>
    <t>Predawn</t>
  </si>
  <si>
    <t>TWC estimated from dry mass</t>
  </si>
  <si>
    <t>*</t>
  </si>
  <si>
    <t>WC at dawn (g g)</t>
  </si>
  <si>
    <t>leaf</t>
  </si>
  <si>
    <t>stem</t>
  </si>
  <si>
    <t>Estimated T WC leaves</t>
  </si>
  <si>
    <t>Estimated leaf T WC</t>
  </si>
  <si>
    <t>TW shoot estimated from dry mass</t>
  </si>
  <si>
    <t xml:space="preserve">Fruit </t>
  </si>
  <si>
    <t>Estimated TWC leaves</t>
  </si>
  <si>
    <t>Title</t>
  </si>
  <si>
    <t xml:space="preserve">“Dry season enhancement of leaf capacitance buffers exposure to critical stem water potentials.” </t>
  </si>
  <si>
    <t>Abstract</t>
  </si>
  <si>
    <t>Data author</t>
  </si>
  <si>
    <t>Manuscript authors</t>
  </si>
  <si>
    <t>Group Leader</t>
  </si>
  <si>
    <t>Marilyn C. Ball</t>
  </si>
  <si>
    <t>Grant  details</t>
  </si>
  <si>
    <t>Australian Research Council Discovery Grant DP180102969 awarded to Marilyn C. Ball., Lawren Sack and Maurizio Mencuccini</t>
  </si>
  <si>
    <t>Date</t>
  </si>
  <si>
    <t>Collected in early dry season (13-25 August 2018) and late dry season (13-25 November 2018)</t>
  </si>
  <si>
    <t xml:space="preserve">Location </t>
  </si>
  <si>
    <t>Methods</t>
  </si>
  <si>
    <t>See read me</t>
  </si>
  <si>
    <t>Data Header</t>
  </si>
  <si>
    <t>Explanation</t>
  </si>
  <si>
    <t>g</t>
  </si>
  <si>
    <t>%</t>
  </si>
  <si>
    <t>-</t>
  </si>
  <si>
    <t>Measurements were made periodically as branches bench dried, iteration refers to a round.</t>
  </si>
  <si>
    <t xml:space="preserve">Shoot fresh mass - as recorded during experiment. Declines are due to both removal of leaves and loss of water. </t>
  </si>
  <si>
    <t>Fresh mass of leaves removed to measure shoot water potential</t>
  </si>
  <si>
    <t>Water potential value measured for a given iteration</t>
  </si>
  <si>
    <t>Dry mass of leaves removed during a given iteration</t>
  </si>
  <si>
    <t>Dry mass of leaves on the shoot during a given iteration</t>
  </si>
  <si>
    <t>Dry mass of woody tissue that may have broken off during a given iteration.</t>
  </si>
  <si>
    <t xml:space="preserve">Remaining shoot mass after leaves have been removed for measurement of water potential. Decline in this fresh mass, between iterations accounts water loss. </t>
  </si>
  <si>
    <t xml:space="preserve">Dry mass of woody tissue on the remaining shoot. </t>
  </si>
  <si>
    <t xml:space="preserve">Dry mass of the shoot. </t>
  </si>
  <si>
    <t>Change in water content between iterations, after bench drying period</t>
  </si>
  <si>
    <t>Change in water potential between, after bench dry period</t>
  </si>
  <si>
    <t>Change in leaf water content, based on leaf capacitance and dWP.</t>
  </si>
  <si>
    <t>dShootWC - dLeafWC = dstem WC</t>
  </si>
  <si>
    <t>Shoot water content. Shoot Fresh mass- Shoot dry mass</t>
  </si>
  <si>
    <t xml:space="preserve">Leaf water content for a given water potential, estimated from leaf capacitance, change in water potential, and leaf turgic water content. </t>
  </si>
  <si>
    <t xml:space="preserve">Shoot water content - estimated leaf water content. </t>
  </si>
  <si>
    <t>Estimated leaves turgid water content based of leaf dry mass, and turgid WC: dry mass ratio</t>
  </si>
  <si>
    <t>Estimated shoot turgid water content based of shoot dry mass, and turgid WC: dry mass ratio</t>
  </si>
  <si>
    <t>Shoot water content per unit shoot dry mass</t>
  </si>
  <si>
    <t>Leaf water content per unit leaf dry mass</t>
  </si>
  <si>
    <t>Stem water content per unit stem dry mass</t>
  </si>
  <si>
    <t>g water/ g dry mass</t>
  </si>
  <si>
    <t>Shoot relative water content</t>
  </si>
  <si>
    <t>Leaf fraction of shoot relative water content</t>
  </si>
  <si>
    <t>Stem fraction of shoot relative water content</t>
  </si>
  <si>
    <t>∆ RWC Shoot MPa-1</t>
  </si>
  <si>
    <t>g/g gm/Mpa</t>
  </si>
  <si>
    <t>WC at full hydration g/g dm organ</t>
  </si>
  <si>
    <t>Water content at dawn</t>
  </si>
  <si>
    <t>Season</t>
  </si>
  <si>
    <t>C shoot</t>
  </si>
  <si>
    <t>C stem</t>
  </si>
  <si>
    <t>Cstem</t>
  </si>
  <si>
    <t>WC shoot</t>
  </si>
  <si>
    <t>Wc leaf</t>
  </si>
  <si>
    <t>Wc stem</t>
  </si>
  <si>
    <t>WC leaf</t>
  </si>
  <si>
    <t>WC stem PD</t>
  </si>
  <si>
    <t>Early dry</t>
  </si>
  <si>
    <t>Late dry</t>
  </si>
  <si>
    <t>late dry</t>
  </si>
  <si>
    <t>Early vs late dry season Ttests</t>
  </si>
  <si>
    <t>Ftest</t>
  </si>
  <si>
    <t>Ttest two tails</t>
  </si>
  <si>
    <t xml:space="preserve">One tailed </t>
  </si>
  <si>
    <t>Early</t>
  </si>
  <si>
    <t>Se</t>
  </si>
  <si>
    <t>Late</t>
  </si>
  <si>
    <r>
      <t xml:space="preserve">Changing global climate portends perturbed seasonal precipitation regimes and increases in night-time temperatures. An integrated understanding of how plants acclimate to these seasonal drought conditions has never been more important as regional-scale vegetation dieback is predicted to increase when drought conditions are exacerbated. The potential for seasonal coordination of suites of traits that enable dehydration tolerance or delay in a given species remain poorly resolved. We surveyed early dry season leaf and stem water-use traits and gas exchange with respect to drought tolerance in the mangrove, </t>
    </r>
    <r>
      <rPr>
        <i/>
        <sz val="11"/>
        <color theme="1"/>
        <rFont val="Calibri Light"/>
        <family val="2"/>
      </rPr>
      <t>Sonneratia alba</t>
    </r>
    <r>
      <rPr>
        <sz val="11"/>
        <color theme="1"/>
        <rFont val="Calibri Light"/>
        <family val="2"/>
      </rPr>
      <t>, growing in a relatively constant salinity, then took advantage of a naturally occurring heat wave in the late dry season, to assess dry season acclimation of these traits. We found that increased leaf hydraulic capacitance above leaf turgor loss point (π</t>
    </r>
    <r>
      <rPr>
        <vertAlign val="subscript"/>
        <sz val="11"/>
        <color theme="1"/>
        <rFont val="Calibri Light"/>
        <family val="2"/>
      </rPr>
      <t>TLP</t>
    </r>
    <r>
      <rPr>
        <sz val="11"/>
        <color theme="1"/>
        <rFont val="Calibri Light"/>
        <family val="2"/>
      </rPr>
      <t>) enabled rapid transpiration required to sustain assimilation rates under morning conditions, while increased leaf capacitance below π</t>
    </r>
    <r>
      <rPr>
        <vertAlign val="subscript"/>
        <sz val="11"/>
        <color theme="1"/>
        <rFont val="Calibri Light"/>
        <family val="2"/>
      </rPr>
      <t>TLP</t>
    </r>
    <r>
      <rPr>
        <sz val="11"/>
        <color theme="1"/>
        <rFont val="Calibri Light"/>
        <family val="2"/>
      </rPr>
      <t xml:space="preserve"> buffered against excursions in stem water potentials to critically low levels. Our results highlight the functional contributions of leaf capacitance in the mitigation of the twin risks of hydraulic failure and carbon starvation during drought, as well as underscoring the importance of the capacity for acclimation of leaf traits in determining drought tolerance.</t>
    </r>
  </si>
  <si>
    <t xml:space="preserve">Callum James Bryant, Australian National University, callum.bryant@anu.edu.au; </t>
  </si>
  <si>
    <t>Marilyn C. Ball, Australian National University, marilyn.ball@anu.edu.au</t>
  </si>
  <si>
    <r>
      <t>Callum J. Bryant, Tomas Fuenzalida, Nigel Brothers, Maurizio Mencuccini, Lawren Sack, Oliver Binks,</t>
    </r>
    <r>
      <rPr>
        <vertAlign val="superscript"/>
        <sz val="11"/>
        <color theme="1"/>
        <rFont val="Calibri Light"/>
        <family val="2"/>
      </rPr>
      <t xml:space="preserve"> </t>
    </r>
    <r>
      <rPr>
        <sz val="11"/>
        <color theme="1"/>
        <rFont val="Calibri Light"/>
        <family val="2"/>
      </rPr>
      <t>Marilyn C. Ball</t>
    </r>
  </si>
  <si>
    <r>
      <t xml:space="preserve">Branches and leaves were collected from a stand of </t>
    </r>
    <r>
      <rPr>
        <i/>
        <sz val="11"/>
        <color theme="1"/>
        <rFont val="Calibri Light"/>
        <family val="2"/>
      </rPr>
      <t>Sonneratia alba</t>
    </r>
    <r>
      <rPr>
        <sz val="11"/>
        <color theme="1"/>
        <rFont val="Calibri Light"/>
        <family val="2"/>
      </rPr>
      <t xml:space="preserve"> trees growing naturally along the Daintree River, Daintree National Park, Far North Queensland (16°17'24.8"S 145°24'36.8"E). </t>
    </r>
  </si>
  <si>
    <t>Contents</t>
  </si>
  <si>
    <t>1 -  Raw pressure-volume curve data.xlsx</t>
  </si>
  <si>
    <t>2 - Summary of PV curved derived values for each leaf measured.xlsx</t>
  </si>
  <si>
    <t>3 - Gmin calculation sheet for each leaf rep.xlsx</t>
  </si>
  <si>
    <t>4 - Summary of gmin values per leaf rep.xlsx</t>
  </si>
  <si>
    <t>5 - Shoot PV Curves raw and calculation sheet.xlsx</t>
  </si>
  <si>
    <t>6 - Average shoot water release curves.xlsx</t>
  </si>
  <si>
    <t>7 - Data for plotting mean shoot water release curves.xlsx</t>
  </si>
  <si>
    <t xml:space="preserve">8 - Leaf RWC at stem P50 calculations.xlsx </t>
  </si>
  <si>
    <t>9 - Instantaneous hydraulic capacitance calculations.xlsx</t>
  </si>
  <si>
    <t>10 - Kestrel data hourly T and VPD averages by day to create seasonal averages.xlsx</t>
  </si>
  <si>
    <t>11 - Diurnal gas exchange and hydraulic conductance.xlsx</t>
  </si>
  <si>
    <t>12 - Pneumatic hydraulic vulnerability curves.xlsx</t>
  </si>
  <si>
    <t xml:space="preserve">13 - Kleaf vulnerability curve RKM method.xlsx </t>
  </si>
  <si>
    <t>Read me.docx</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</si>
</sst>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Calibri"/>
      <family val="2"/>
      <scheme val="minor"/>
    </font>
    <font>
      <b/>
      <sz val="11"/>
      <color theme="1"/>
      <name val="Calibri"/>
      <family val="2"/>
      <scheme val="minor"/>
    </font>
    <font>
      <sz val="11"/>
      <color theme="1"/>
      <name val="Calibri"/>
      <family val="2"/>
    </font>
    <font>
      <i/>
      <sz val="11"/>
      <color theme="1"/>
      <name val="Calibri"/>
      <family val="2"/>
      <scheme val="minor"/>
    </font>
    <font>
      <b/>
      <sz val="11"/>
      <color theme="1"/>
      <name val="Calibri"/>
      <family val="2"/>
    </font>
    <font>
      <b/>
      <i/>
      <sz val="11"/>
      <color theme="1"/>
      <name val="Calibri"/>
      <family val="2"/>
      <scheme val="minor"/>
    </font>
    <font>
      <sz val="7.25"/>
      <color theme="1"/>
      <name val="Calibri"/>
      <family val="2"/>
    </font>
    <font>
      <sz val="8"/>
      <color theme="1"/>
      <name val="Calibri"/>
      <family val="2"/>
    </font>
    <font>
      <sz val="8"/>
      <color theme="1"/>
      <name val="Calibri"/>
      <family val="2"/>
      <scheme val="minor"/>
    </font>
    <font>
      <b/>
      <sz val="11"/>
      <color theme="4"/>
      <name val="Calibri"/>
      <family val="2"/>
      <scheme val="minor"/>
    </font>
    <font>
      <b/>
      <sz val="11"/>
      <color rgb="FFC00000"/>
      <name val="Calibri"/>
      <family val="2"/>
      <scheme val="minor"/>
    </font>
    <font>
      <b/>
      <sz val="11"/>
      <color theme="8"/>
      <name val="Calibri"/>
      <family val="2"/>
      <scheme val="minor"/>
    </font>
    <font>
      <sz val="11"/>
      <color theme="1"/>
      <name val="Calibri"/>
      <family val="2"/>
      <scheme val="minor"/>
    </font>
    <font>
      <sz val="11"/>
      <color theme="4"/>
      <name val="Calibri"/>
      <family val="2"/>
      <scheme val="minor"/>
    </font>
    <font>
      <sz val="11"/>
      <color theme="1"/>
      <name val="Calibri Light"/>
      <family val="2"/>
    </font>
    <font>
      <sz val="11"/>
      <color theme="1"/>
      <name val="Calibri Light"/>
      <family val="2"/>
      <scheme val="major"/>
    </font>
    <font>
      <vertAlign val="superscript"/>
      <sz val="11"/>
      <color theme="1"/>
      <name val="Calibri Light"/>
      <family val="2"/>
    </font>
    <font>
      <b/>
      <sz val="12"/>
      <color theme="1"/>
      <name val="Calibri"/>
      <family val="2"/>
      <scheme val="minor"/>
    </font>
    <font>
      <sz val="11"/>
      <color indexed="8"/>
      <name val="Calibri"/>
      <family val="2"/>
    </font>
    <font>
      <i/>
      <sz val="11"/>
      <color theme="1"/>
      <name val="Calibri Light"/>
      <family val="2"/>
    </font>
    <font>
      <vertAlign val="subscript"/>
      <sz val="11"/>
      <color theme="1"/>
      <name val="Calibri Light"/>
      <family val="2"/>
    </font>
    <font>
      <sz val="10"/>
      <color rgb="FF000000"/>
      <name val="Calibri Light"/>
      <family val="2"/>
    </font>
  </fonts>
  <fills count="11">
    <fill>
      <patternFill patternType="none"/>
    </fill>
    <fill>
      <patternFill patternType="gray125"/>
    </fill>
    <fill>
      <patternFill patternType="solid">
        <fgColor theme="7" tint="0.79998168889431442"/>
        <bgColor indexed="64"/>
      </patternFill>
    </fill>
    <fill>
      <patternFill patternType="solid">
        <fgColor theme="4" tint="0.79998168889431442"/>
        <bgColor indexed="64"/>
      </patternFill>
    </fill>
    <fill>
      <patternFill patternType="solid">
        <fgColor theme="7"/>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rgb="FFFFC000"/>
        <bgColor indexed="64"/>
      </patternFill>
    </fill>
    <fill>
      <patternFill patternType="solid">
        <fgColor theme="4" tint="0.39997558519241921"/>
        <bgColor indexed="64"/>
      </patternFill>
    </fill>
  </fills>
  <borders count="9">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3">
    <xf numFmtId="0" fontId="0" fillId="0" borderId="0"/>
    <xf numFmtId="0" fontId="12" fillId="0" borderId="0"/>
    <xf numFmtId="0" fontId="18" fillId="0" borderId="0"/>
  </cellStyleXfs>
  <cellXfs count="82">
    <xf numFmtId="0" fontId="0" fillId="0" borderId="0" xfId="0"/>
    <xf numFmtId="0" fontId="3" fillId="0" borderId="0" xfId="0" applyFont="1"/>
    <xf numFmtId="0" fontId="0" fillId="6" borderId="0" xfId="0" applyFill="1" applyAlignment="1">
      <alignment horizontal="center"/>
    </xf>
    <xf numFmtId="0" fontId="1" fillId="0" borderId="0" xfId="0" applyFont="1" applyAlignment="1">
      <alignment vertical="top" wrapText="1"/>
    </xf>
    <xf numFmtId="0" fontId="4" fillId="0" borderId="0" xfId="0" applyFont="1" applyAlignment="1">
      <alignment vertical="top" wrapText="1"/>
    </xf>
    <xf numFmtId="0" fontId="0" fillId="6" borderId="0" xfId="0" applyFill="1"/>
    <xf numFmtId="0" fontId="2" fillId="9" borderId="0" xfId="0" applyFont="1" applyFill="1" applyAlignment="1">
      <alignment vertical="top" wrapText="1"/>
    </xf>
    <xf numFmtId="0" fontId="2" fillId="3" borderId="0" xfId="0" applyFont="1" applyFill="1" applyAlignment="1">
      <alignment vertical="top" wrapText="1"/>
    </xf>
    <xf numFmtId="0" fontId="2" fillId="3" borderId="0" xfId="0" applyFont="1" applyFill="1"/>
    <xf numFmtId="0" fontId="2" fillId="5" borderId="0" xfId="0" applyFont="1" applyFill="1"/>
    <xf numFmtId="0" fontId="0" fillId="5" borderId="0" xfId="0" applyFont="1" applyFill="1"/>
    <xf numFmtId="0" fontId="5" fillId="0" borderId="0" xfId="0" applyFont="1"/>
    <xf numFmtId="0" fontId="0" fillId="0" borderId="0" xfId="0" applyAlignment="1">
      <alignment horizontal="right"/>
    </xf>
    <xf numFmtId="0" fontId="2" fillId="8" borderId="0" xfId="0" applyFont="1" applyFill="1" applyAlignment="1">
      <alignment vertical="top" wrapText="1"/>
    </xf>
    <xf numFmtId="0" fontId="0" fillId="0" borderId="0" xfId="0" applyFill="1"/>
    <xf numFmtId="0" fontId="1" fillId="0" borderId="1" xfId="0" applyFont="1" applyBorder="1" applyAlignment="1">
      <alignment horizontal="left"/>
    </xf>
    <xf numFmtId="0" fontId="0" fillId="0" borderId="2" xfId="0" applyBorder="1" applyAlignment="1">
      <alignment horizontal="left"/>
    </xf>
    <xf numFmtId="0" fontId="1" fillId="0" borderId="2" xfId="0" applyFont="1" applyBorder="1"/>
    <xf numFmtId="0" fontId="1" fillId="0" borderId="3" xfId="0" applyFont="1" applyBorder="1"/>
    <xf numFmtId="0" fontId="0" fillId="0" borderId="0" xfId="0" applyBorder="1"/>
    <xf numFmtId="0" fontId="2" fillId="0" borderId="0" xfId="0" applyFont="1" applyBorder="1"/>
    <xf numFmtId="0" fontId="0" fillId="0" borderId="5" xfId="0" applyBorder="1"/>
    <xf numFmtId="0" fontId="0" fillId="0" borderId="0" xfId="0" applyFont="1" applyBorder="1"/>
    <xf numFmtId="0" fontId="0" fillId="0" borderId="4" xfId="0" applyBorder="1"/>
    <xf numFmtId="0" fontId="0" fillId="0" borderId="6" xfId="0" applyBorder="1"/>
    <xf numFmtId="0" fontId="0" fillId="0" borderId="7" xfId="0" applyBorder="1"/>
    <xf numFmtId="0" fontId="0" fillId="0" borderId="7" xfId="0" applyFont="1" applyBorder="1"/>
    <xf numFmtId="0" fontId="0" fillId="0" borderId="8" xfId="0" applyBorder="1"/>
    <xf numFmtId="2" fontId="0" fillId="0" borderId="0" xfId="0" applyNumberFormat="1" applyBorder="1"/>
    <xf numFmtId="0" fontId="0" fillId="0" borderId="0" xfId="0" applyFont="1" applyBorder="1" applyAlignment="1">
      <alignment horizontal="left"/>
    </xf>
    <xf numFmtId="0" fontId="0" fillId="5" borderId="0" xfId="0" applyFill="1" applyAlignment="1">
      <alignment vertical="center"/>
    </xf>
    <xf numFmtId="0" fontId="7" fillId="0" borderId="0" xfId="0" applyFont="1" applyBorder="1"/>
    <xf numFmtId="0" fontId="8" fillId="0" borderId="0" xfId="0" applyFont="1" applyBorder="1"/>
    <xf numFmtId="0" fontId="8" fillId="0" borderId="0" xfId="0" applyFont="1" applyFill="1" applyBorder="1"/>
    <xf numFmtId="0" fontId="0" fillId="0" borderId="0" xfId="0" applyAlignment="1">
      <alignment vertical="top"/>
    </xf>
    <xf numFmtId="0" fontId="0" fillId="0" borderId="0" xfId="0" applyFont="1" applyBorder="1" applyAlignment="1">
      <alignment vertical="top" wrapText="1"/>
    </xf>
    <xf numFmtId="0" fontId="0" fillId="0" borderId="0" xfId="0" applyBorder="1" applyAlignment="1">
      <alignment vertical="top" wrapText="1"/>
    </xf>
    <xf numFmtId="2" fontId="0" fillId="0" borderId="0" xfId="0" applyNumberFormat="1"/>
    <xf numFmtId="0" fontId="0" fillId="2" borderId="0" xfId="0" applyFont="1" applyFill="1" applyBorder="1" applyAlignment="1">
      <alignment vertical="top" wrapText="1"/>
    </xf>
    <xf numFmtId="0" fontId="0" fillId="2" borderId="7" xfId="0" applyFont="1" applyFill="1" applyBorder="1" applyAlignment="1">
      <alignment vertical="top" wrapText="1"/>
    </xf>
    <xf numFmtId="0" fontId="0" fillId="6" borderId="0" xfId="0" applyFont="1" applyFill="1" applyBorder="1" applyAlignment="1">
      <alignment vertical="top" wrapText="1"/>
    </xf>
    <xf numFmtId="0" fontId="0" fillId="8" borderId="0" xfId="0" applyFont="1" applyFill="1" applyBorder="1" applyAlignment="1">
      <alignment horizontal="left" vertical="top" wrapText="1"/>
    </xf>
    <xf numFmtId="0" fontId="0" fillId="7" borderId="0" xfId="0" applyFont="1" applyFill="1" applyBorder="1" applyAlignment="1">
      <alignment horizontal="left" vertical="top" wrapText="1"/>
    </xf>
    <xf numFmtId="0" fontId="0" fillId="10" borderId="0" xfId="0" applyFont="1" applyFill="1" applyBorder="1" applyAlignment="1">
      <alignment horizontal="left" vertical="top" wrapText="1"/>
    </xf>
    <xf numFmtId="0" fontId="9" fillId="0" borderId="0" xfId="0" applyFont="1"/>
    <xf numFmtId="0" fontId="9" fillId="0" borderId="0" xfId="0" applyFont="1" applyFill="1"/>
    <xf numFmtId="0" fontId="10" fillId="0" borderId="0" xfId="0" applyFont="1" applyFill="1"/>
    <xf numFmtId="0" fontId="10" fillId="0" borderId="0" xfId="0" applyFont="1"/>
    <xf numFmtId="0" fontId="11" fillId="0" borderId="0" xfId="0" applyFont="1"/>
    <xf numFmtId="0" fontId="1" fillId="0" borderId="0" xfId="0" applyFont="1" applyBorder="1"/>
    <xf numFmtId="0" fontId="0" fillId="0" borderId="0" xfId="0" applyFill="1" applyBorder="1"/>
    <xf numFmtId="0" fontId="10" fillId="0" borderId="0" xfId="0" applyFont="1" applyBorder="1"/>
    <xf numFmtId="0" fontId="13" fillId="0" borderId="0" xfId="0" applyFont="1"/>
    <xf numFmtId="0" fontId="12" fillId="0" borderId="0" xfId="1"/>
    <xf numFmtId="0" fontId="17" fillId="0" borderId="0" xfId="1" applyFont="1"/>
    <xf numFmtId="0" fontId="0" fillId="0" borderId="0" xfId="1" applyFont="1"/>
    <xf numFmtId="0" fontId="0" fillId="0" borderId="0" xfId="1" applyFont="1" applyAlignment="1">
      <alignment horizontal="left"/>
    </xf>
    <xf numFmtId="0" fontId="0" fillId="8" borderId="0" xfId="0" applyFill="1" applyAlignment="1">
      <alignment horizontal="center" vertical="center"/>
    </xf>
    <xf numFmtId="0" fontId="1" fillId="2" borderId="0" xfId="0" applyFont="1" applyFill="1" applyAlignment="1">
      <alignment horizontal="left"/>
    </xf>
    <xf numFmtId="0" fontId="0" fillId="0" borderId="0" xfId="0" applyAlignment="1">
      <alignment horizontal="left" vertical="center"/>
    </xf>
    <xf numFmtId="0" fontId="0" fillId="5" borderId="0" xfId="0" applyFill="1" applyAlignment="1">
      <alignment horizontal="center" vertical="center" wrapText="1"/>
    </xf>
    <xf numFmtId="0" fontId="0" fillId="3" borderId="0" xfId="0" applyFill="1" applyAlignment="1">
      <alignment horizontal="center" vertical="top" wrapText="1"/>
    </xf>
    <xf numFmtId="0" fontId="0" fillId="4" borderId="0" xfId="0" applyFill="1" applyAlignment="1">
      <alignment horizontal="center" vertical="center"/>
    </xf>
    <xf numFmtId="0" fontId="0" fillId="0" borderId="0" xfId="0" applyAlignment="1">
      <alignment horizontal="center"/>
    </xf>
    <xf numFmtId="0" fontId="0" fillId="3" borderId="0" xfId="0" applyFill="1" applyAlignment="1">
      <alignment horizontal="center"/>
    </xf>
    <xf numFmtId="0" fontId="0" fillId="6" borderId="0" xfId="0" applyFill="1" applyAlignment="1">
      <alignment horizontal="center"/>
    </xf>
    <xf numFmtId="0" fontId="0" fillId="8" borderId="0" xfId="0" applyFill="1" applyAlignment="1">
      <alignment horizontal="center"/>
    </xf>
    <xf numFmtId="0" fontId="0" fillId="0" borderId="4" xfId="0" applyBorder="1" applyAlignment="1">
      <alignment horizontal="left" vertical="top" wrapText="1"/>
    </xf>
    <xf numFmtId="0" fontId="0" fillId="0" borderId="0" xfId="0" applyBorder="1" applyAlignment="1">
      <alignment horizontal="left" vertical="top" wrapText="1"/>
    </xf>
    <xf numFmtId="0" fontId="1" fillId="0" borderId="0" xfId="0" applyFont="1" applyAlignment="1">
      <alignment horizontal="center"/>
    </xf>
    <xf numFmtId="0" fontId="0" fillId="0" borderId="0" xfId="0" applyAlignment="1">
      <alignment horizontal="left" vertical="top" wrapText="1"/>
    </xf>
    <xf numFmtId="0" fontId="2" fillId="0" borderId="0" xfId="0" applyFont="1" applyAlignment="1">
      <alignment horizontal="center"/>
    </xf>
    <xf numFmtId="0" fontId="0" fillId="0" borderId="0" xfId="0" applyAlignment="1">
      <alignment horizontal="center" wrapText="1"/>
    </xf>
    <xf numFmtId="0" fontId="0" fillId="0" borderId="0" xfId="0" applyAlignment="1">
      <alignment horizontal="center" vertical="top" wrapText="1"/>
    </xf>
    <xf numFmtId="0" fontId="14" fillId="0" borderId="0" xfId="0" applyFont="1"/>
    <xf numFmtId="0" fontId="15" fillId="0" borderId="0" xfId="0" applyFont="1" applyAlignment="1">
      <alignment horizontal="right" vertical="top"/>
    </xf>
    <xf numFmtId="0" fontId="14" fillId="0" borderId="0" xfId="0" applyFont="1" applyAlignment="1">
      <alignment vertical="top" wrapText="1"/>
    </xf>
    <xf numFmtId="0" fontId="14" fillId="0" borderId="0" xfId="0" applyFont="1" applyAlignment="1">
      <alignment vertical="top"/>
    </xf>
    <xf numFmtId="0" fontId="14" fillId="0" borderId="0" xfId="0" applyFont="1" applyAlignment="1">
      <alignment vertical="center"/>
    </xf>
    <xf numFmtId="0" fontId="14" fillId="0" borderId="0" xfId="0" applyFont="1" applyAlignment="1">
      <alignment horizontal="left" wrapText="1"/>
    </xf>
    <xf numFmtId="0" fontId="21" fillId="0" borderId="0" xfId="0" applyFont="1" applyAlignment="1">
      <alignment horizontal="justify" vertical="center"/>
    </xf>
    <xf numFmtId="0" fontId="21" fillId="0" borderId="0" xfId="0" applyFont="1"/>
  </cellXfs>
  <cellStyles count="3">
    <cellStyle name="Normal" xfId="0" builtinId="0"/>
    <cellStyle name="Normal 2" xfId="1"/>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5358705161854769E-2"/>
          <c:y val="7.407407407407407E-2"/>
          <c:w val="0.88386351706036748"/>
          <c:h val="0.8416746864975212"/>
        </c:manualLayout>
      </c:layout>
      <c:scatterChart>
        <c:scatterStyle val="lineMarker"/>
        <c:varyColors val="0"/>
        <c:ser>
          <c:idx val="0"/>
          <c:order val="0"/>
          <c:tx>
            <c:v>Shoot WC</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'Late r1'!$F$9:$F$19</c:f>
              <c:numCache>
                <c:formatCode>General</c:formatCode>
                <c:ptCount val="11"/>
                <c:pt idx="0">
                  <c:v>0.129</c:v>
                </c:pt>
                <c:pt idx="1">
                  <c:v>1.4550000000000001</c:v>
                </c:pt>
                <c:pt idx="2">
                  <c:v>2.5920000000000001</c:v>
                </c:pt>
                <c:pt idx="3">
                  <c:v>2.831</c:v>
                </c:pt>
                <c:pt idx="4">
                  <c:v>3.4319999999999999</c:v>
                </c:pt>
                <c:pt idx="5">
                  <c:v>3.633</c:v>
                </c:pt>
                <c:pt idx="6">
                  <c:v>3.988</c:v>
                </c:pt>
                <c:pt idx="7">
                  <c:v>4.032</c:v>
                </c:pt>
                <c:pt idx="8">
                  <c:v>4.3120000000000003</c:v>
                </c:pt>
                <c:pt idx="9">
                  <c:v>4.7770000000000001</c:v>
                </c:pt>
                <c:pt idx="10">
                  <c:v>5.1219999999999999</c:v>
                </c:pt>
              </c:numCache>
            </c:numRef>
          </c:xVal>
          <c:yVal>
            <c:numRef>
              <c:f>'Late r1'!$Y$9:$Y$19</c:f>
              <c:numCache>
                <c:formatCode>General</c:formatCode>
                <c:ptCount val="11"/>
                <c:pt idx="0">
                  <c:v>100.30129349348601</c:v>
                </c:pt>
                <c:pt idx="1">
                  <c:v>91.550253426288876</c:v>
                </c:pt>
                <c:pt idx="2">
                  <c:v>90.355513093032968</c:v>
                </c:pt>
                <c:pt idx="3">
                  <c:v>87.561014304893902</c:v>
                </c:pt>
                <c:pt idx="4">
                  <c:v>87.198322739768898</c:v>
                </c:pt>
                <c:pt idx="5">
                  <c:v>82.888624152133787</c:v>
                </c:pt>
                <c:pt idx="6">
                  <c:v>73.809205631387599</c:v>
                </c:pt>
                <c:pt idx="7">
                  <c:v>75.062322108467342</c:v>
                </c:pt>
                <c:pt idx="8">
                  <c:v>69.427090402743588</c:v>
                </c:pt>
                <c:pt idx="9">
                  <c:v>62.943387694359267</c:v>
                </c:pt>
                <c:pt idx="10">
                  <c:v>55.918733600403868</c:v>
                </c:pt>
              </c:numCache>
            </c:numRef>
          </c:yVal>
          <c:smooth val="0"/>
        </c:ser>
        <c:ser>
          <c:idx val="1"/>
          <c:order val="1"/>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'Late r1'!$F$9:$F$19</c:f>
              <c:numCache>
                <c:formatCode>General</c:formatCode>
                <c:ptCount val="11"/>
                <c:pt idx="0">
                  <c:v>0.129</c:v>
                </c:pt>
                <c:pt idx="1">
                  <c:v>1.4550000000000001</c:v>
                </c:pt>
                <c:pt idx="2">
                  <c:v>2.5920000000000001</c:v>
                </c:pt>
                <c:pt idx="3">
                  <c:v>2.831</c:v>
                </c:pt>
                <c:pt idx="4">
                  <c:v>3.4319999999999999</c:v>
                </c:pt>
                <c:pt idx="5">
                  <c:v>3.633</c:v>
                </c:pt>
                <c:pt idx="6">
                  <c:v>3.988</c:v>
                </c:pt>
                <c:pt idx="7">
                  <c:v>4.032</c:v>
                </c:pt>
                <c:pt idx="8">
                  <c:v>4.3120000000000003</c:v>
                </c:pt>
                <c:pt idx="9">
                  <c:v>4.7770000000000001</c:v>
                </c:pt>
                <c:pt idx="10">
                  <c:v>5.1219999999999999</c:v>
                </c:pt>
              </c:numCache>
            </c:numRef>
          </c:xVal>
          <c:yVal>
            <c:numRef>
              <c:f>'Late r1'!$AA$9:$AA$19</c:f>
              <c:numCache>
                <c:formatCode>General</c:formatCode>
                <c:ptCount val="11"/>
                <c:pt idx="0">
                  <c:v>51.290812089425685</c:v>
                </c:pt>
                <c:pt idx="1">
                  <c:v>46.695276343898257</c:v>
                </c:pt>
                <c:pt idx="2">
                  <c:v>49.027231594527926</c:v>
                </c:pt>
                <c:pt idx="3">
                  <c:v>47.127323989061004</c:v>
                </c:pt>
                <c:pt idx="4">
                  <c:v>50.18055406002069</c:v>
                </c:pt>
                <c:pt idx="5">
                  <c:v>47.587262050687023</c:v>
                </c:pt>
                <c:pt idx="6">
                  <c:v>41.380854038653766</c:v>
                </c:pt>
                <c:pt idx="7">
                  <c:v>44.004236781568693</c:v>
                </c:pt>
                <c:pt idx="8">
                  <c:v>43.245837900121039</c:v>
                </c:pt>
                <c:pt idx="9">
                  <c:v>40.993867960268418</c:v>
                </c:pt>
                <c:pt idx="10">
                  <c:v>39.342083827069445</c:v>
                </c:pt>
              </c:numCache>
            </c:numRef>
          </c:yVal>
          <c:smooth val="0"/>
        </c:ser>
        <c:dLbls>
          <c:showLegendKey val="0"/>
          <c:showVal val="0"/>
          <c:showCatName val="0"/>
          <c:showSerName val="0"/>
          <c:showPercent val="0"/>
          <c:showBubbleSize val="0"/>
        </c:dLbls>
        <c:axId val="571336600"/>
        <c:axId val="571340520"/>
      </c:scatterChart>
      <c:valAx>
        <c:axId val="5713366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340520"/>
        <c:crosses val="autoZero"/>
        <c:crossBetween val="midCat"/>
      </c:valAx>
      <c:valAx>
        <c:axId val="571340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33660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Leaf</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'Late r5'!$F$9:$F$13</c:f>
              <c:numCache>
                <c:formatCode>General</c:formatCode>
                <c:ptCount val="5"/>
                <c:pt idx="0">
                  <c:v>0.59699999999999998</c:v>
                </c:pt>
                <c:pt idx="1">
                  <c:v>1.7589999999999999</c:v>
                </c:pt>
                <c:pt idx="2">
                  <c:v>2.2679999999999998</c:v>
                </c:pt>
                <c:pt idx="3">
                  <c:v>3.0609999999999999</c:v>
                </c:pt>
                <c:pt idx="4">
                  <c:v>3.1819999999999999</c:v>
                </c:pt>
              </c:numCache>
            </c:numRef>
          </c:xVal>
          <c:yVal>
            <c:numRef>
              <c:f>'Late r5'!$W$9:$W$13</c:f>
              <c:numCache>
                <c:formatCode>General</c:formatCode>
                <c:ptCount val="5"/>
                <c:pt idx="0">
                  <c:v>2.5608067999999999</c:v>
                </c:pt>
                <c:pt idx="1">
                  <c:v>2.3799996000000001</c:v>
                </c:pt>
                <c:pt idx="2">
                  <c:v>2.3007992000000006</c:v>
                </c:pt>
                <c:pt idx="3">
                  <c:v>2.1774084</c:v>
                </c:pt>
                <c:pt idx="4">
                  <c:v>2.1585808000000002</c:v>
                </c:pt>
              </c:numCache>
            </c:numRef>
          </c:yVal>
          <c:smooth val="0"/>
        </c:ser>
        <c:ser>
          <c:idx val="1"/>
          <c:order val="1"/>
          <c:tx>
            <c:v>Stem</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'Late r5'!$F$9:$F$13</c:f>
              <c:numCache>
                <c:formatCode>General</c:formatCode>
                <c:ptCount val="5"/>
                <c:pt idx="0">
                  <c:v>0.59699999999999998</c:v>
                </c:pt>
                <c:pt idx="1">
                  <c:v>1.7589999999999999</c:v>
                </c:pt>
                <c:pt idx="2">
                  <c:v>2.2679999999999998</c:v>
                </c:pt>
                <c:pt idx="3">
                  <c:v>3.0609999999999999</c:v>
                </c:pt>
                <c:pt idx="4">
                  <c:v>3.1819999999999999</c:v>
                </c:pt>
              </c:numCache>
            </c:numRef>
          </c:xVal>
          <c:yVal>
            <c:numRef>
              <c:f>'Late r5'!$X$9:$X$13</c:f>
              <c:numCache>
                <c:formatCode>General</c:formatCode>
                <c:ptCount val="5"/>
                <c:pt idx="0">
                  <c:v>1.8501783671414753</c:v>
                </c:pt>
                <c:pt idx="1">
                  <c:v>1.7652499526895549</c:v>
                </c:pt>
                <c:pt idx="2">
                  <c:v>1.8219473150689216</c:v>
                </c:pt>
                <c:pt idx="3">
                  <c:v>1.7977209019715943</c:v>
                </c:pt>
                <c:pt idx="4">
                  <c:v>1.6434661783448681</c:v>
                </c:pt>
              </c:numCache>
            </c:numRef>
          </c:yVal>
          <c:smooth val="0"/>
        </c:ser>
        <c:dLbls>
          <c:showLegendKey val="0"/>
          <c:showVal val="0"/>
          <c:showCatName val="0"/>
          <c:showSerName val="0"/>
          <c:showPercent val="0"/>
          <c:showBubbleSize val="0"/>
        </c:dLbls>
        <c:axId val="561850448"/>
        <c:axId val="561840256"/>
      </c:scatterChart>
      <c:valAx>
        <c:axId val="5618504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840256"/>
        <c:crosses val="autoZero"/>
        <c:crossBetween val="midCat"/>
      </c:valAx>
      <c:valAx>
        <c:axId val="561840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85044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5358705161854769E-2"/>
          <c:y val="7.407407407407407E-2"/>
          <c:w val="0.88386351706036748"/>
          <c:h val="0.8416746864975212"/>
        </c:manualLayout>
      </c:layout>
      <c:scatterChart>
        <c:scatterStyle val="lineMarker"/>
        <c:varyColors val="0"/>
        <c:ser>
          <c:idx val="0"/>
          <c:order val="0"/>
          <c:tx>
            <c:v>Shoot WC</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'Late r6'!$F$9:$F$19</c:f>
              <c:numCache>
                <c:formatCode>General</c:formatCode>
                <c:ptCount val="11"/>
                <c:pt idx="0">
                  <c:v>0.61</c:v>
                </c:pt>
                <c:pt idx="1">
                  <c:v>2.476</c:v>
                </c:pt>
                <c:pt idx="2">
                  <c:v>2.9020000000000001</c:v>
                </c:pt>
                <c:pt idx="3">
                  <c:v>3.5920000000000001</c:v>
                </c:pt>
                <c:pt idx="4">
                  <c:v>3.9540000000000002</c:v>
                </c:pt>
                <c:pt idx="5">
                  <c:v>4.0469999999999997</c:v>
                </c:pt>
                <c:pt idx="6">
                  <c:v>4.2069999999999999</c:v>
                </c:pt>
                <c:pt idx="7">
                  <c:v>4.3070000000000004</c:v>
                </c:pt>
                <c:pt idx="8">
                  <c:v>4.6970000000000001</c:v>
                </c:pt>
                <c:pt idx="9">
                  <c:v>5.1230000000000002</c:v>
                </c:pt>
                <c:pt idx="10">
                  <c:v>5.3230000000000004</c:v>
                </c:pt>
              </c:numCache>
            </c:numRef>
          </c:xVal>
          <c:yVal>
            <c:numRef>
              <c:f>'Late r6'!$Y$9:$Y$19</c:f>
              <c:numCache>
                <c:formatCode>General</c:formatCode>
                <c:ptCount val="11"/>
                <c:pt idx="0">
                  <c:v>97.153734510694733</c:v>
                </c:pt>
                <c:pt idx="1">
                  <c:v>90.261618104359798</c:v>
                </c:pt>
                <c:pt idx="2">
                  <c:v>87.144610747084059</c:v>
                </c:pt>
                <c:pt idx="3">
                  <c:v>83.095013875842028</c:v>
                </c:pt>
                <c:pt idx="4">
                  <c:v>80.719197883575575</c:v>
                </c:pt>
                <c:pt idx="5">
                  <c:v>76.450615965853871</c:v>
                </c:pt>
                <c:pt idx="6">
                  <c:v>70.829000777839411</c:v>
                </c:pt>
                <c:pt idx="7">
                  <c:v>69.434510770033725</c:v>
                </c:pt>
                <c:pt idx="8">
                  <c:v>60.761637708308292</c:v>
                </c:pt>
                <c:pt idx="9">
                  <c:v>57.893747040238033</c:v>
                </c:pt>
                <c:pt idx="10">
                  <c:v>53.691069756696429</c:v>
                </c:pt>
              </c:numCache>
            </c:numRef>
          </c:yVal>
          <c:smooth val="0"/>
        </c:ser>
        <c:ser>
          <c:idx val="1"/>
          <c:order val="1"/>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'Late r6'!$F$9:$F$19</c:f>
              <c:numCache>
                <c:formatCode>General</c:formatCode>
                <c:ptCount val="11"/>
                <c:pt idx="0">
                  <c:v>0.61</c:v>
                </c:pt>
                <c:pt idx="1">
                  <c:v>2.476</c:v>
                </c:pt>
                <c:pt idx="2">
                  <c:v>2.9020000000000001</c:v>
                </c:pt>
                <c:pt idx="3">
                  <c:v>3.5920000000000001</c:v>
                </c:pt>
                <c:pt idx="4">
                  <c:v>3.9540000000000002</c:v>
                </c:pt>
                <c:pt idx="5">
                  <c:v>4.0469999999999997</c:v>
                </c:pt>
                <c:pt idx="6">
                  <c:v>4.2069999999999999</c:v>
                </c:pt>
                <c:pt idx="7">
                  <c:v>4.3070000000000004</c:v>
                </c:pt>
                <c:pt idx="8">
                  <c:v>4.6970000000000001</c:v>
                </c:pt>
                <c:pt idx="9">
                  <c:v>5.1230000000000002</c:v>
                </c:pt>
                <c:pt idx="10">
                  <c:v>5.3230000000000004</c:v>
                </c:pt>
              </c:numCache>
            </c:numRef>
          </c:xVal>
          <c:yVal>
            <c:numRef>
              <c:f>'Late r6'!$Z$9:$Z$19</c:f>
              <c:numCache>
                <c:formatCode>General</c:formatCode>
                <c:ptCount val="11"/>
                <c:pt idx="0">
                  <c:v>65.452349067590248</c:v>
                </c:pt>
                <c:pt idx="1">
                  <c:v>57.944976944167458</c:v>
                </c:pt>
                <c:pt idx="2">
                  <c:v>55.959986363290461</c:v>
                </c:pt>
                <c:pt idx="3">
                  <c:v>50.027474165203202</c:v>
                </c:pt>
                <c:pt idx="4">
                  <c:v>46.144853648466224</c:v>
                </c:pt>
                <c:pt idx="5">
                  <c:v>44.979417015386701</c:v>
                </c:pt>
                <c:pt idx="6">
                  <c:v>42.280362619808137</c:v>
                </c:pt>
                <c:pt idx="7">
                  <c:v>40.790243215623441</c:v>
                </c:pt>
                <c:pt idx="8">
                  <c:v>35.768244942030989</c:v>
                </c:pt>
                <c:pt idx="9">
                  <c:v>31.028184634105148</c:v>
                </c:pt>
                <c:pt idx="10">
                  <c:v>28.235729681244244</c:v>
                </c:pt>
              </c:numCache>
            </c:numRef>
          </c:yVal>
          <c:smooth val="0"/>
        </c:ser>
        <c:dLbls>
          <c:showLegendKey val="0"/>
          <c:showVal val="0"/>
          <c:showCatName val="0"/>
          <c:showSerName val="0"/>
          <c:showPercent val="0"/>
          <c:showBubbleSize val="0"/>
        </c:dLbls>
        <c:axId val="561850840"/>
        <c:axId val="561849664"/>
      </c:scatterChart>
      <c:valAx>
        <c:axId val="5618508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849664"/>
        <c:crosses val="autoZero"/>
        <c:crossBetween val="midCat"/>
      </c:valAx>
      <c:valAx>
        <c:axId val="561849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85084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'Late r6'!$W$33</c:f>
              <c:strCache>
                <c:ptCount val="1"/>
              </c:strCache>
            </c:strRef>
          </c:tx>
          <c:spPr>
            <a:ln w="19050" cap="rnd">
              <a:noFill/>
              <a:round/>
            </a:ln>
            <a:effectLst/>
          </c:spPr>
          <c:marker>
            <c:symbol val="circle"/>
            <c:size val="5"/>
            <c:spPr>
              <a:solidFill>
                <a:schemeClr val="accent1"/>
              </a:solidFill>
              <a:ln w="9525">
                <a:solidFill>
                  <a:schemeClr val="accent1"/>
                </a:solidFill>
              </a:ln>
              <a:effectLst/>
            </c:spPr>
          </c:marker>
          <c:yVal>
            <c:numRef>
              <c:f>'Late r6'!$X$33</c:f>
              <c:numCache>
                <c:formatCode>General</c:formatCode>
                <c:ptCount val="1"/>
              </c:numCache>
            </c:numRef>
          </c:yVal>
          <c:smooth val="0"/>
        </c:ser>
        <c:ser>
          <c:idx val="1"/>
          <c:order val="1"/>
          <c:tx>
            <c:v>Leaf</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'Late r6'!$F$9:$F$11</c:f>
              <c:numCache>
                <c:formatCode>General</c:formatCode>
                <c:ptCount val="3"/>
                <c:pt idx="0">
                  <c:v>0.61</c:v>
                </c:pt>
                <c:pt idx="1">
                  <c:v>2.476</c:v>
                </c:pt>
                <c:pt idx="2">
                  <c:v>2.9020000000000001</c:v>
                </c:pt>
              </c:numCache>
            </c:numRef>
          </c:xVal>
          <c:yVal>
            <c:numRef>
              <c:f>'Late r6'!$W$9:$W$11</c:f>
              <c:numCache>
                <c:formatCode>General</c:formatCode>
                <c:ptCount val="3"/>
                <c:pt idx="0">
                  <c:v>2.5587840000000002</c:v>
                </c:pt>
                <c:pt idx="1">
                  <c:v>2.2684344000000003</c:v>
                </c:pt>
                <c:pt idx="2">
                  <c:v>2.2021488000000002</c:v>
                </c:pt>
              </c:numCache>
            </c:numRef>
          </c:yVal>
          <c:smooth val="0"/>
        </c:ser>
        <c:ser>
          <c:idx val="2"/>
          <c:order val="2"/>
          <c:tx>
            <c:v>Stem</c:v>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'Late r6'!$F$9:$F$11</c:f>
              <c:numCache>
                <c:formatCode>General</c:formatCode>
                <c:ptCount val="3"/>
                <c:pt idx="0">
                  <c:v>0.61</c:v>
                </c:pt>
                <c:pt idx="1">
                  <c:v>2.476</c:v>
                </c:pt>
                <c:pt idx="2">
                  <c:v>2.9020000000000001</c:v>
                </c:pt>
              </c:numCache>
            </c:numRef>
          </c:xVal>
          <c:yVal>
            <c:numRef>
              <c:f>'Late r6'!$X$9:$X$11</c:f>
              <c:numCache>
                <c:formatCode>General</c:formatCode>
                <c:ptCount val="3"/>
                <c:pt idx="0">
                  <c:v>1.3489178920023732</c:v>
                </c:pt>
                <c:pt idx="1">
                  <c:v>1.3730272541729849</c:v>
                </c:pt>
                <c:pt idx="2">
                  <c:v>1.3175145729280668</c:v>
                </c:pt>
              </c:numCache>
            </c:numRef>
          </c:yVal>
          <c:smooth val="0"/>
        </c:ser>
        <c:dLbls>
          <c:showLegendKey val="0"/>
          <c:showVal val="0"/>
          <c:showCatName val="0"/>
          <c:showSerName val="0"/>
          <c:showPercent val="0"/>
          <c:showBubbleSize val="0"/>
        </c:dLbls>
        <c:axId val="561848880"/>
        <c:axId val="561844960"/>
      </c:scatterChart>
      <c:valAx>
        <c:axId val="561848880"/>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844960"/>
        <c:crosses val="autoZero"/>
        <c:crossBetween val="midCat"/>
      </c:valAx>
      <c:valAx>
        <c:axId val="561844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8488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5358705161854769E-2"/>
          <c:y val="7.407407407407407E-2"/>
          <c:w val="0.88386351706036748"/>
          <c:h val="0.8416746864975212"/>
        </c:manualLayout>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'Early r1'!$F$9:$F$21</c:f>
              <c:numCache>
                <c:formatCode>General</c:formatCode>
                <c:ptCount val="13"/>
                <c:pt idx="0">
                  <c:v>-0.7</c:v>
                </c:pt>
                <c:pt idx="1">
                  <c:v>-0.875</c:v>
                </c:pt>
                <c:pt idx="2">
                  <c:v>-1.45</c:v>
                </c:pt>
                <c:pt idx="3">
                  <c:v>-2.13</c:v>
                </c:pt>
                <c:pt idx="4">
                  <c:v>-2.605</c:v>
                </c:pt>
                <c:pt idx="5">
                  <c:v>-2.8049999999999997</c:v>
                </c:pt>
                <c:pt idx="6">
                  <c:v>-3.0599999999999996</c:v>
                </c:pt>
                <c:pt idx="7">
                  <c:v>-3.17</c:v>
                </c:pt>
                <c:pt idx="8">
                  <c:v>-3.375</c:v>
                </c:pt>
                <c:pt idx="9">
                  <c:v>-3.71</c:v>
                </c:pt>
                <c:pt idx="10">
                  <c:v>-4.0449999999999999</c:v>
                </c:pt>
                <c:pt idx="11">
                  <c:v>-4.4749999999999996</c:v>
                </c:pt>
                <c:pt idx="12">
                  <c:v>-5.35</c:v>
                </c:pt>
              </c:numCache>
            </c:numRef>
          </c:xVal>
          <c:yVal>
            <c:numRef>
              <c:f>'Early r1'!$Y$9:$Y$21</c:f>
              <c:numCache>
                <c:formatCode>General</c:formatCode>
                <c:ptCount val="13"/>
                <c:pt idx="0">
                  <c:v>96.161768848864128</c:v>
                </c:pt>
                <c:pt idx="1">
                  <c:v>94.824694976238362</c:v>
                </c:pt>
                <c:pt idx="2">
                  <c:v>92.337481067591682</c:v>
                </c:pt>
                <c:pt idx="3">
                  <c:v>90.510664112874096</c:v>
                </c:pt>
                <c:pt idx="4">
                  <c:v>87.236732673698938</c:v>
                </c:pt>
                <c:pt idx="5">
                  <c:v>85.067845837327695</c:v>
                </c:pt>
                <c:pt idx="6">
                  <c:v>83.211344573072139</c:v>
                </c:pt>
                <c:pt idx="7">
                  <c:v>79.564710295947521</c:v>
                </c:pt>
                <c:pt idx="8">
                  <c:v>75.834650380070784</c:v>
                </c:pt>
                <c:pt idx="9">
                  <c:v>70.800706857882247</c:v>
                </c:pt>
                <c:pt idx="10">
                  <c:v>64.551637271792416</c:v>
                </c:pt>
                <c:pt idx="11">
                  <c:v>58.961498746582883</c:v>
                </c:pt>
                <c:pt idx="12">
                  <c:v>51.301517993079706</c:v>
                </c:pt>
              </c:numCache>
            </c:numRef>
          </c:yVal>
          <c:smooth val="0"/>
        </c:ser>
        <c:ser>
          <c:idx val="1"/>
          <c:order val="1"/>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'Early r1'!$F$9:$F$21</c:f>
              <c:numCache>
                <c:formatCode>General</c:formatCode>
                <c:ptCount val="13"/>
                <c:pt idx="0">
                  <c:v>-0.7</c:v>
                </c:pt>
                <c:pt idx="1">
                  <c:v>-0.875</c:v>
                </c:pt>
                <c:pt idx="2">
                  <c:v>-1.45</c:v>
                </c:pt>
                <c:pt idx="3">
                  <c:v>-2.13</c:v>
                </c:pt>
                <c:pt idx="4">
                  <c:v>-2.605</c:v>
                </c:pt>
                <c:pt idx="5">
                  <c:v>-2.8049999999999997</c:v>
                </c:pt>
                <c:pt idx="6">
                  <c:v>-3.0599999999999996</c:v>
                </c:pt>
                <c:pt idx="7">
                  <c:v>-3.17</c:v>
                </c:pt>
                <c:pt idx="8">
                  <c:v>-3.375</c:v>
                </c:pt>
                <c:pt idx="9">
                  <c:v>-3.71</c:v>
                </c:pt>
                <c:pt idx="10">
                  <c:v>-4.0449999999999999</c:v>
                </c:pt>
                <c:pt idx="11">
                  <c:v>-4.4749999999999996</c:v>
                </c:pt>
                <c:pt idx="12">
                  <c:v>-5.35</c:v>
                </c:pt>
              </c:numCache>
            </c:numRef>
          </c:xVal>
          <c:yVal>
            <c:numRef>
              <c:f>'Early r1'!$AA$9:$AA$21</c:f>
              <c:numCache>
                <c:formatCode>General</c:formatCode>
                <c:ptCount val="13"/>
                <c:pt idx="0">
                  <c:v>38.9796455225217</c:v>
                </c:pt>
                <c:pt idx="1">
                  <c:v>38.008188213624535</c:v>
                </c:pt>
                <c:pt idx="2">
                  <c:v>37.029468522307404</c:v>
                </c:pt>
                <c:pt idx="3">
                  <c:v>36.796614852279284</c:v>
                </c:pt>
                <c:pt idx="4">
                  <c:v>34.871815087586597</c:v>
                </c:pt>
                <c:pt idx="5">
                  <c:v>33.691272030721137</c:v>
                </c:pt>
                <c:pt idx="6">
                  <c:v>33.114503666036946</c:v>
                </c:pt>
                <c:pt idx="7">
                  <c:v>30.127234094713383</c:v>
                </c:pt>
                <c:pt idx="8">
                  <c:v>27.515298637776688</c:v>
                </c:pt>
                <c:pt idx="9">
                  <c:v>24.107406614350069</c:v>
                </c:pt>
                <c:pt idx="10">
                  <c:v>19.601613862415661</c:v>
                </c:pt>
                <c:pt idx="11">
                  <c:v>15.863974373222064</c:v>
                </c:pt>
                <c:pt idx="12">
                  <c:v>11.724533393768121</c:v>
                </c:pt>
              </c:numCache>
            </c:numRef>
          </c:yVal>
          <c:smooth val="0"/>
        </c:ser>
        <c:dLbls>
          <c:showLegendKey val="0"/>
          <c:showVal val="0"/>
          <c:showCatName val="0"/>
          <c:showSerName val="0"/>
          <c:showPercent val="0"/>
          <c:showBubbleSize val="0"/>
        </c:dLbls>
        <c:axId val="561851624"/>
        <c:axId val="561847704"/>
      </c:scatterChart>
      <c:valAx>
        <c:axId val="561851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847704"/>
        <c:crosses val="autoZero"/>
        <c:crossBetween val="midCat"/>
      </c:valAx>
      <c:valAx>
        <c:axId val="561847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85162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1"/>
          <c:tx>
            <c:v>Leaf</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'Early r1'!$F$9:$F$13</c:f>
              <c:numCache>
                <c:formatCode>General</c:formatCode>
                <c:ptCount val="5"/>
                <c:pt idx="0">
                  <c:v>-0.7</c:v>
                </c:pt>
                <c:pt idx="1">
                  <c:v>-0.875</c:v>
                </c:pt>
                <c:pt idx="2">
                  <c:v>-1.45</c:v>
                </c:pt>
                <c:pt idx="3">
                  <c:v>-2.13</c:v>
                </c:pt>
                <c:pt idx="4">
                  <c:v>-2.605</c:v>
                </c:pt>
              </c:numCache>
            </c:numRef>
          </c:xVal>
          <c:yVal>
            <c:numRef>
              <c:f>'Early r1'!$W$9:$W$13</c:f>
              <c:numCache>
                <c:formatCode>General</c:formatCode>
                <c:ptCount val="5"/>
                <c:pt idx="0">
                  <c:v>2.2333800000000004</c:v>
                </c:pt>
                <c:pt idx="1">
                  <c:v>2.2191000000000001</c:v>
                </c:pt>
                <c:pt idx="2">
                  <c:v>2.17218</c:v>
                </c:pt>
                <c:pt idx="3">
                  <c:v>2.1166920000000005</c:v>
                </c:pt>
                <c:pt idx="4">
                  <c:v>2.0739720000000004</c:v>
                </c:pt>
              </c:numCache>
            </c:numRef>
          </c:yVal>
          <c:smooth val="0"/>
        </c:ser>
        <c:ser>
          <c:idx val="2"/>
          <c:order val="2"/>
          <c:tx>
            <c:v>Stem</c:v>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'Early r1'!$F$9:$F$13</c:f>
              <c:numCache>
                <c:formatCode>General</c:formatCode>
                <c:ptCount val="5"/>
                <c:pt idx="0">
                  <c:v>-0.7</c:v>
                </c:pt>
                <c:pt idx="1">
                  <c:v>-0.875</c:v>
                </c:pt>
                <c:pt idx="2">
                  <c:v>-1.45</c:v>
                </c:pt>
                <c:pt idx="3">
                  <c:v>-2.13</c:v>
                </c:pt>
                <c:pt idx="4">
                  <c:v>-2.605</c:v>
                </c:pt>
              </c:numCache>
            </c:numRef>
          </c:xVal>
          <c:yVal>
            <c:numRef>
              <c:f>'Early r1'!$X$9:$X$13</c:f>
              <c:numCache>
                <c:formatCode>General</c:formatCode>
                <c:ptCount val="5"/>
                <c:pt idx="0">
                  <c:v>3.2349292255499846</c:v>
                </c:pt>
                <c:pt idx="1">
                  <c:v>3.1543077730508888</c:v>
                </c:pt>
                <c:pt idx="2">
                  <c:v>3.0374356395947384</c:v>
                </c:pt>
                <c:pt idx="3">
                  <c:v>2.997296527127765</c:v>
                </c:pt>
                <c:pt idx="4">
                  <c:v>2.8112455377654166</c:v>
                </c:pt>
              </c:numCache>
            </c:numRef>
          </c:yVal>
          <c:smooth val="0"/>
        </c:ser>
        <c:dLbls>
          <c:showLegendKey val="0"/>
          <c:showVal val="0"/>
          <c:showCatName val="0"/>
          <c:showSerName val="0"/>
          <c:showPercent val="0"/>
          <c:showBubbleSize val="0"/>
        </c:dLbls>
        <c:axId val="561850056"/>
        <c:axId val="561852016"/>
        <c:extLst>
          <c:ext xmlns:c15="http://schemas.microsoft.com/office/drawing/2012/chart" uri="{02D57815-91ED-43cb-92C2-25804820EDAC}">
            <c15:filteredScatterSeries>
              <c15:ser>
                <c:idx val="0"/>
                <c:order val="0"/>
                <c:tx>
                  <c:strRef>
                    <c:extLst>
                      <c:ext uri="{02D57815-91ED-43cb-92C2-25804820EDAC}">
                        <c15:formulaRef>
                          <c15:sqref>'Early r1'!$T$39</c15:sqref>
                        </c15:formulaRef>
                      </c:ext>
                    </c:extLst>
                    <c:strCache>
                      <c:ptCount val="1"/>
                    </c:strCache>
                  </c:strRef>
                </c:tx>
                <c:spPr>
                  <a:ln w="19050" cap="rnd">
                    <a:noFill/>
                    <a:round/>
                  </a:ln>
                  <a:effectLst/>
                </c:spPr>
                <c:marker>
                  <c:symbol val="circle"/>
                  <c:size val="5"/>
                  <c:spPr>
                    <a:solidFill>
                      <a:schemeClr val="accent1"/>
                    </a:solidFill>
                    <a:ln w="9525">
                      <a:solidFill>
                        <a:schemeClr val="accent1"/>
                      </a:solidFill>
                    </a:ln>
                    <a:effectLst/>
                  </c:spPr>
                </c:marker>
                <c:yVal>
                  <c:numRef>
                    <c:extLst>
                      <c:ext uri="{02D57815-91ED-43cb-92C2-25804820EDAC}">
                        <c15:formulaRef>
                          <c15:sqref>'Early r1'!$T$40:$T$41</c15:sqref>
                        </c15:formulaRef>
                      </c:ext>
                    </c:extLst>
                    <c:numCache>
                      <c:formatCode>General</c:formatCode>
                      <c:ptCount val="2"/>
                    </c:numCache>
                  </c:numRef>
                </c:yVal>
                <c:smooth val="0"/>
              </c15:ser>
            </c15:filteredScatterSeries>
          </c:ext>
        </c:extLst>
      </c:scatterChart>
      <c:valAx>
        <c:axId val="5618500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852016"/>
        <c:crosses val="autoZero"/>
        <c:crossBetween val="midCat"/>
      </c:valAx>
      <c:valAx>
        <c:axId val="561852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8500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5358705161854769E-2"/>
          <c:y val="7.407407407407407E-2"/>
          <c:w val="0.88386351706036748"/>
          <c:h val="0.8416746864975212"/>
        </c:manualLayout>
      </c:layout>
      <c:scatterChart>
        <c:scatterStyle val="lineMarker"/>
        <c:varyColors val="0"/>
        <c:ser>
          <c:idx val="0"/>
          <c:order val="0"/>
          <c:tx>
            <c:v>Shoot WC</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'Early r2'!$F$9:$F$19</c:f>
              <c:numCache>
                <c:formatCode>General</c:formatCode>
                <c:ptCount val="11"/>
                <c:pt idx="0">
                  <c:v>-0.12</c:v>
                </c:pt>
                <c:pt idx="1">
                  <c:v>-0.82000000000000006</c:v>
                </c:pt>
                <c:pt idx="2">
                  <c:v>-1.5049999999999999</c:v>
                </c:pt>
                <c:pt idx="3">
                  <c:v>-2.0149999999999997</c:v>
                </c:pt>
                <c:pt idx="4">
                  <c:v>-2.31</c:v>
                </c:pt>
                <c:pt idx="5">
                  <c:v>-2.625</c:v>
                </c:pt>
                <c:pt idx="6">
                  <c:v>-2.83</c:v>
                </c:pt>
                <c:pt idx="7">
                  <c:v>-2.99</c:v>
                </c:pt>
                <c:pt idx="8">
                  <c:v>-3.2749999999999999</c:v>
                </c:pt>
                <c:pt idx="9">
                  <c:v>-3.8049999999999997</c:v>
                </c:pt>
                <c:pt idx="10">
                  <c:v>-4.6549999999999994</c:v>
                </c:pt>
              </c:numCache>
            </c:numRef>
          </c:xVal>
          <c:yVal>
            <c:numRef>
              <c:f>'Early r2'!$Y$9:$Y$19</c:f>
              <c:numCache>
                <c:formatCode>General</c:formatCode>
                <c:ptCount val="11"/>
                <c:pt idx="0">
                  <c:v>98.726059307605368</c:v>
                </c:pt>
                <c:pt idx="1">
                  <c:v>96.245489140653874</c:v>
                </c:pt>
                <c:pt idx="2">
                  <c:v>93.110439672635479</c:v>
                </c:pt>
                <c:pt idx="3">
                  <c:v>90.906835430713329</c:v>
                </c:pt>
                <c:pt idx="4">
                  <c:v>89.122879629847546</c:v>
                </c:pt>
                <c:pt idx="5">
                  <c:v>86.868087301341717</c:v>
                </c:pt>
                <c:pt idx="6">
                  <c:v>84.555867913507328</c:v>
                </c:pt>
                <c:pt idx="7">
                  <c:v>80.825352826495362</c:v>
                </c:pt>
                <c:pt idx="8">
                  <c:v>76.251486341659316</c:v>
                </c:pt>
                <c:pt idx="9">
                  <c:v>63.801415016827789</c:v>
                </c:pt>
                <c:pt idx="10">
                  <c:v>56.81220201876225</c:v>
                </c:pt>
              </c:numCache>
            </c:numRef>
          </c:yVal>
          <c:smooth val="0"/>
        </c:ser>
        <c:ser>
          <c:idx val="1"/>
          <c:order val="1"/>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'Early r2'!$F$9:$F$19</c:f>
              <c:numCache>
                <c:formatCode>General</c:formatCode>
                <c:ptCount val="11"/>
                <c:pt idx="0">
                  <c:v>-0.12</c:v>
                </c:pt>
                <c:pt idx="1">
                  <c:v>-0.82000000000000006</c:v>
                </c:pt>
                <c:pt idx="2">
                  <c:v>-1.5049999999999999</c:v>
                </c:pt>
                <c:pt idx="3">
                  <c:v>-2.0149999999999997</c:v>
                </c:pt>
                <c:pt idx="4">
                  <c:v>-2.31</c:v>
                </c:pt>
                <c:pt idx="5">
                  <c:v>-2.625</c:v>
                </c:pt>
                <c:pt idx="6">
                  <c:v>-2.83</c:v>
                </c:pt>
                <c:pt idx="7">
                  <c:v>-2.99</c:v>
                </c:pt>
                <c:pt idx="8">
                  <c:v>-3.2749999999999999</c:v>
                </c:pt>
                <c:pt idx="9">
                  <c:v>-3.8049999999999997</c:v>
                </c:pt>
                <c:pt idx="10">
                  <c:v>-4.6549999999999994</c:v>
                </c:pt>
              </c:numCache>
            </c:numRef>
          </c:xVal>
          <c:yVal>
            <c:numRef>
              <c:f>'Early r2'!$AA$9:$AA$19</c:f>
              <c:numCache>
                <c:formatCode>General</c:formatCode>
                <c:ptCount val="11"/>
                <c:pt idx="0">
                  <c:v>36.963850449439036</c:v>
                </c:pt>
                <c:pt idx="1">
                  <c:v>36.030105816478951</c:v>
                </c:pt>
                <c:pt idx="2">
                  <c:v>34.935037551267953</c:v>
                </c:pt>
                <c:pt idx="3">
                  <c:v>34.019655981900804</c:v>
                </c:pt>
                <c:pt idx="4">
                  <c:v>33.124178122332943</c:v>
                </c:pt>
                <c:pt idx="5">
                  <c:v>31.994878023365043</c:v>
                </c:pt>
                <c:pt idx="6">
                  <c:v>30.918729005991541</c:v>
                </c:pt>
                <c:pt idx="7">
                  <c:v>28.316682359769739</c:v>
                </c:pt>
                <c:pt idx="8">
                  <c:v>25.275933818532494</c:v>
                </c:pt>
                <c:pt idx="9">
                  <c:v>15.316153611600791</c:v>
                </c:pt>
                <c:pt idx="10">
                  <c:v>11.968524495542868</c:v>
                </c:pt>
              </c:numCache>
            </c:numRef>
          </c:yVal>
          <c:smooth val="0"/>
        </c:ser>
        <c:dLbls>
          <c:showLegendKey val="0"/>
          <c:showVal val="0"/>
          <c:showCatName val="0"/>
          <c:showSerName val="0"/>
          <c:showPercent val="0"/>
          <c:showBubbleSize val="0"/>
        </c:dLbls>
        <c:axId val="561840648"/>
        <c:axId val="561846528"/>
      </c:scatterChart>
      <c:valAx>
        <c:axId val="5618406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846528"/>
        <c:crosses val="autoZero"/>
        <c:crossBetween val="midCat"/>
      </c:valAx>
      <c:valAx>
        <c:axId val="561846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84064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Leaf</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'Early r2'!$F$9:$F$13</c:f>
              <c:numCache>
                <c:formatCode>General</c:formatCode>
                <c:ptCount val="5"/>
                <c:pt idx="0">
                  <c:v>-0.12</c:v>
                </c:pt>
                <c:pt idx="1">
                  <c:v>-0.82000000000000006</c:v>
                </c:pt>
                <c:pt idx="2">
                  <c:v>-1.5049999999999999</c:v>
                </c:pt>
                <c:pt idx="3">
                  <c:v>-2.0149999999999997</c:v>
                </c:pt>
                <c:pt idx="4">
                  <c:v>-2.31</c:v>
                </c:pt>
              </c:numCache>
            </c:numRef>
          </c:xVal>
          <c:yVal>
            <c:numRef>
              <c:f>'Early r2'!$W$9:$W$13</c:f>
              <c:numCache>
                <c:formatCode>General</c:formatCode>
                <c:ptCount val="5"/>
                <c:pt idx="0">
                  <c:v>2.2807080000000002</c:v>
                </c:pt>
                <c:pt idx="1">
                  <c:v>2.2235880000000003</c:v>
                </c:pt>
                <c:pt idx="2">
                  <c:v>2.1676920000000002</c:v>
                </c:pt>
                <c:pt idx="3">
                  <c:v>2.1260760000000003</c:v>
                </c:pt>
                <c:pt idx="4">
                  <c:v>2.102004</c:v>
                </c:pt>
              </c:numCache>
            </c:numRef>
          </c:yVal>
          <c:smooth val="0"/>
        </c:ser>
        <c:ser>
          <c:idx val="1"/>
          <c:order val="1"/>
          <c:tx>
            <c:v>Stem</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layout>
                <c:manualLayout>
                  <c:x val="3.4083552055992998E-2"/>
                  <c:y val="0.1478058471857684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'Early r2'!$F$9:$F$13</c:f>
              <c:numCache>
                <c:formatCode>General</c:formatCode>
                <c:ptCount val="5"/>
                <c:pt idx="0">
                  <c:v>-0.12</c:v>
                </c:pt>
                <c:pt idx="1">
                  <c:v>-0.82000000000000006</c:v>
                </c:pt>
                <c:pt idx="2">
                  <c:v>-1.5049999999999999</c:v>
                </c:pt>
                <c:pt idx="3">
                  <c:v>-2.0149999999999997</c:v>
                </c:pt>
                <c:pt idx="4">
                  <c:v>-2.31</c:v>
                </c:pt>
              </c:numCache>
            </c:numRef>
          </c:xVal>
          <c:yVal>
            <c:numRef>
              <c:f>'Early r2'!$X$9:$X$13</c:f>
              <c:numCache>
                <c:formatCode>General</c:formatCode>
                <c:ptCount val="5"/>
                <c:pt idx="0">
                  <c:v>2.2353336652378593</c:v>
                </c:pt>
                <c:pt idx="1">
                  <c:v>2.1788668527328725</c:v>
                </c:pt>
                <c:pt idx="2">
                  <c:v>2.0820740045775668</c:v>
                </c:pt>
                <c:pt idx="3">
                  <c:v>2.0178262271177645</c:v>
                </c:pt>
                <c:pt idx="4">
                  <c:v>1.9512564142346336</c:v>
                </c:pt>
              </c:numCache>
            </c:numRef>
          </c:yVal>
          <c:smooth val="0"/>
        </c:ser>
        <c:dLbls>
          <c:showLegendKey val="0"/>
          <c:showVal val="0"/>
          <c:showCatName val="0"/>
          <c:showSerName val="0"/>
          <c:showPercent val="0"/>
          <c:showBubbleSize val="0"/>
        </c:dLbls>
        <c:axId val="561841824"/>
        <c:axId val="561855936"/>
      </c:scatterChart>
      <c:valAx>
        <c:axId val="5618418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855936"/>
        <c:crosses val="autoZero"/>
        <c:crossBetween val="midCat"/>
      </c:valAx>
      <c:valAx>
        <c:axId val="561855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84182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5358705161854769E-2"/>
          <c:y val="7.407407407407407E-2"/>
          <c:w val="0.88386351706036748"/>
          <c:h val="0.8416746864975212"/>
        </c:manualLayout>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'Early r3'!$F$9:$F$19</c:f>
              <c:numCache>
                <c:formatCode>General</c:formatCode>
                <c:ptCount val="11"/>
                <c:pt idx="0">
                  <c:v>-0.3</c:v>
                </c:pt>
                <c:pt idx="1">
                  <c:v>-0.76</c:v>
                </c:pt>
                <c:pt idx="2">
                  <c:v>-1.2949999999999999</c:v>
                </c:pt>
                <c:pt idx="3">
                  <c:v>-1.9350000000000001</c:v>
                </c:pt>
                <c:pt idx="4">
                  <c:v>-2.1749999999999998</c:v>
                </c:pt>
                <c:pt idx="5">
                  <c:v>-2.4649999999999999</c:v>
                </c:pt>
                <c:pt idx="6">
                  <c:v>-2.59</c:v>
                </c:pt>
                <c:pt idx="7">
                  <c:v>-2.8250000000000002</c:v>
                </c:pt>
                <c:pt idx="8">
                  <c:v>-3.1399999999999997</c:v>
                </c:pt>
                <c:pt idx="9">
                  <c:v>-3.39</c:v>
                </c:pt>
                <c:pt idx="10">
                  <c:v>-4.1000000000000005</c:v>
                </c:pt>
              </c:numCache>
            </c:numRef>
          </c:xVal>
          <c:yVal>
            <c:numRef>
              <c:f>'Early r3'!$Y$9:$Y$21</c:f>
              <c:numCache>
                <c:formatCode>General</c:formatCode>
                <c:ptCount val="13"/>
                <c:pt idx="0">
                  <c:v>95.56853209773378</c:v>
                </c:pt>
                <c:pt idx="1">
                  <c:v>92.029092982089651</c:v>
                </c:pt>
                <c:pt idx="2">
                  <c:v>89.415376227201108</c:v>
                </c:pt>
                <c:pt idx="3">
                  <c:v>86.046119748534508</c:v>
                </c:pt>
                <c:pt idx="4">
                  <c:v>83.732399668656939</c:v>
                </c:pt>
                <c:pt idx="5">
                  <c:v>81.637820287789367</c:v>
                </c:pt>
                <c:pt idx="6">
                  <c:v>79.780432197452384</c:v>
                </c:pt>
                <c:pt idx="7">
                  <c:v>74.380253673801178</c:v>
                </c:pt>
                <c:pt idx="8">
                  <c:v>70.086695492575558</c:v>
                </c:pt>
                <c:pt idx="9">
                  <c:v>62.313225517503923</c:v>
                </c:pt>
                <c:pt idx="10">
                  <c:v>53.062850847925326</c:v>
                </c:pt>
                <c:pt idx="11">
                  <c:v>45.866507660090669</c:v>
                </c:pt>
                <c:pt idx="12">
                  <c:v>37.45840552222294</c:v>
                </c:pt>
              </c:numCache>
            </c:numRef>
          </c:yVal>
          <c:smooth val="0"/>
        </c:ser>
        <c:ser>
          <c:idx val="1"/>
          <c:order val="1"/>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'Early r3'!$F$9:$F$19</c:f>
              <c:numCache>
                <c:formatCode>General</c:formatCode>
                <c:ptCount val="11"/>
                <c:pt idx="0">
                  <c:v>-0.3</c:v>
                </c:pt>
                <c:pt idx="1">
                  <c:v>-0.76</c:v>
                </c:pt>
                <c:pt idx="2">
                  <c:v>-1.2949999999999999</c:v>
                </c:pt>
                <c:pt idx="3">
                  <c:v>-1.9350000000000001</c:v>
                </c:pt>
                <c:pt idx="4">
                  <c:v>-2.1749999999999998</c:v>
                </c:pt>
                <c:pt idx="5">
                  <c:v>-2.4649999999999999</c:v>
                </c:pt>
                <c:pt idx="6">
                  <c:v>-2.59</c:v>
                </c:pt>
                <c:pt idx="7">
                  <c:v>-2.8250000000000002</c:v>
                </c:pt>
                <c:pt idx="8">
                  <c:v>-3.1399999999999997</c:v>
                </c:pt>
                <c:pt idx="9">
                  <c:v>-3.39</c:v>
                </c:pt>
                <c:pt idx="10">
                  <c:v>-4.1000000000000005</c:v>
                </c:pt>
              </c:numCache>
            </c:numRef>
          </c:xVal>
          <c:yVal>
            <c:numRef>
              <c:f>'Early r3'!$AA$9:$AA$19</c:f>
              <c:numCache>
                <c:formatCode>General</c:formatCode>
                <c:ptCount val="11"/>
                <c:pt idx="0">
                  <c:v>33.426307132084595</c:v>
                </c:pt>
                <c:pt idx="1">
                  <c:v>30.916236934768914</c:v>
                </c:pt>
                <c:pt idx="2">
                  <c:v>30.077605647990502</c:v>
                </c:pt>
                <c:pt idx="3">
                  <c:v>28.827148966667703</c:v>
                </c:pt>
                <c:pt idx="4">
                  <c:v>27.766065316291478</c:v>
                </c:pt>
                <c:pt idx="5">
                  <c:v>26.9561199900884</c:v>
                </c:pt>
                <c:pt idx="6">
                  <c:v>26.142777991043342</c:v>
                </c:pt>
                <c:pt idx="7">
                  <c:v>22.281580443146595</c:v>
                </c:pt>
                <c:pt idx="8">
                  <c:v>19.918172861433728</c:v>
                </c:pt>
                <c:pt idx="9">
                  <c:v>14.18967645374021</c:v>
                </c:pt>
                <c:pt idx="10">
                  <c:v>8.6473700833297009</c:v>
                </c:pt>
              </c:numCache>
            </c:numRef>
          </c:yVal>
          <c:smooth val="0"/>
        </c:ser>
        <c:dLbls>
          <c:showLegendKey val="0"/>
          <c:showVal val="0"/>
          <c:showCatName val="0"/>
          <c:showSerName val="0"/>
          <c:showPercent val="0"/>
          <c:showBubbleSize val="0"/>
        </c:dLbls>
        <c:axId val="561854760"/>
        <c:axId val="561855152"/>
      </c:scatterChart>
      <c:valAx>
        <c:axId val="5618547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855152"/>
        <c:crosses val="autoZero"/>
        <c:crossBetween val="midCat"/>
      </c:valAx>
      <c:valAx>
        <c:axId val="561855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8547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Leaf</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8.3005249343832022E-4"/>
                  <c:y val="9.9702537182852144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'Early r3'!$F$9:$F$15</c:f>
              <c:numCache>
                <c:formatCode>General</c:formatCode>
                <c:ptCount val="7"/>
                <c:pt idx="0">
                  <c:v>-0.3</c:v>
                </c:pt>
                <c:pt idx="1">
                  <c:v>-0.76</c:v>
                </c:pt>
                <c:pt idx="2">
                  <c:v>-1.2949999999999999</c:v>
                </c:pt>
                <c:pt idx="3">
                  <c:v>-1.9350000000000001</c:v>
                </c:pt>
                <c:pt idx="4">
                  <c:v>-2.1749999999999998</c:v>
                </c:pt>
                <c:pt idx="5">
                  <c:v>-2.4649999999999999</c:v>
                </c:pt>
                <c:pt idx="6">
                  <c:v>-2.59</c:v>
                </c:pt>
              </c:numCache>
            </c:numRef>
          </c:xVal>
          <c:yVal>
            <c:numRef>
              <c:f>'Early r3'!$W$9:$W$15</c:f>
              <c:numCache>
                <c:formatCode>General</c:formatCode>
                <c:ptCount val="7"/>
                <c:pt idx="0">
                  <c:v>2.2660200000000001</c:v>
                </c:pt>
                <c:pt idx="1">
                  <c:v>2.2284840000000004</c:v>
                </c:pt>
                <c:pt idx="2">
                  <c:v>2.184828</c:v>
                </c:pt>
                <c:pt idx="3">
                  <c:v>2.1326040000000002</c:v>
                </c:pt>
                <c:pt idx="4">
                  <c:v>2.1130200000000001</c:v>
                </c:pt>
                <c:pt idx="5">
                  <c:v>2.0893560000000004</c:v>
                </c:pt>
                <c:pt idx="6">
                  <c:v>2.076276</c:v>
                </c:pt>
              </c:numCache>
            </c:numRef>
          </c:yVal>
          <c:smooth val="0"/>
        </c:ser>
        <c:ser>
          <c:idx val="1"/>
          <c:order val="1"/>
          <c:tx>
            <c:v>Stem</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'Early r3'!$F$9:$F$15</c:f>
              <c:numCache>
                <c:formatCode>General</c:formatCode>
                <c:ptCount val="7"/>
                <c:pt idx="0">
                  <c:v>-0.3</c:v>
                </c:pt>
                <c:pt idx="1">
                  <c:v>-0.76</c:v>
                </c:pt>
                <c:pt idx="2">
                  <c:v>-1.2949999999999999</c:v>
                </c:pt>
                <c:pt idx="3">
                  <c:v>-1.9350000000000001</c:v>
                </c:pt>
                <c:pt idx="4">
                  <c:v>-2.1749999999999998</c:v>
                </c:pt>
                <c:pt idx="5">
                  <c:v>-2.4649999999999999</c:v>
                </c:pt>
                <c:pt idx="6">
                  <c:v>-2.59</c:v>
                </c:pt>
              </c:numCache>
            </c:numRef>
          </c:xVal>
          <c:yVal>
            <c:numRef>
              <c:f>'Early r3'!$X$9:$X$15</c:f>
              <c:numCache>
                <c:formatCode>General</c:formatCode>
                <c:ptCount val="7"/>
                <c:pt idx="0">
                  <c:v>2.7211590131500198</c:v>
                </c:pt>
                <c:pt idx="1">
                  <c:v>2.5168199542741836</c:v>
                </c:pt>
                <c:pt idx="2">
                  <c:v>2.3969374453735512</c:v>
                </c:pt>
                <c:pt idx="3">
                  <c:v>2.2386897040647078</c:v>
                </c:pt>
                <c:pt idx="4">
                  <c:v>2.1001580379281446</c:v>
                </c:pt>
                <c:pt idx="5">
                  <c:v>1.991468078421313</c:v>
                </c:pt>
                <c:pt idx="6">
                  <c:v>1.8843305840045141</c:v>
                </c:pt>
              </c:numCache>
            </c:numRef>
          </c:yVal>
          <c:smooth val="0"/>
        </c:ser>
        <c:dLbls>
          <c:showLegendKey val="0"/>
          <c:showVal val="0"/>
          <c:showCatName val="0"/>
          <c:showSerName val="0"/>
          <c:showPercent val="0"/>
          <c:showBubbleSize val="0"/>
        </c:dLbls>
        <c:axId val="561855544"/>
        <c:axId val="561853584"/>
      </c:scatterChart>
      <c:valAx>
        <c:axId val="5618555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853584"/>
        <c:crosses val="autoZero"/>
        <c:crossBetween val="midCat"/>
      </c:valAx>
      <c:valAx>
        <c:axId val="561853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8555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5358705161854769E-2"/>
          <c:y val="7.407407407407407E-2"/>
          <c:w val="0.88386351706036748"/>
          <c:h val="0.8416746864975212"/>
        </c:manualLayout>
      </c:layout>
      <c:scatterChart>
        <c:scatterStyle val="lineMarker"/>
        <c:varyColors val="0"/>
        <c:ser>
          <c:idx val="0"/>
          <c:order val="0"/>
          <c:tx>
            <c:v>Shoot WC</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'Early r4'!$F$9:$F$19</c:f>
              <c:numCache>
                <c:formatCode>General</c:formatCode>
                <c:ptCount val="11"/>
                <c:pt idx="0">
                  <c:v>-0.14000000000000001</c:v>
                </c:pt>
                <c:pt idx="1">
                  <c:v>-0.76</c:v>
                </c:pt>
                <c:pt idx="2">
                  <c:v>-1.34</c:v>
                </c:pt>
                <c:pt idx="3">
                  <c:v>-1.8250000000000002</c:v>
                </c:pt>
                <c:pt idx="4">
                  <c:v>-2.2799999999999998</c:v>
                </c:pt>
                <c:pt idx="5">
                  <c:v>-2.5099999999999998</c:v>
                </c:pt>
                <c:pt idx="6">
                  <c:v>-2.74</c:v>
                </c:pt>
                <c:pt idx="7">
                  <c:v>-2.8250000000000002</c:v>
                </c:pt>
                <c:pt idx="8">
                  <c:v>-3.0449999999999999</c:v>
                </c:pt>
                <c:pt idx="9">
                  <c:v>-3.51</c:v>
                </c:pt>
                <c:pt idx="10">
                  <c:v>-4.0999999999999996</c:v>
                </c:pt>
              </c:numCache>
            </c:numRef>
          </c:xVal>
          <c:yVal>
            <c:numRef>
              <c:f>'Early r4'!$Y$9:$Y$19</c:f>
              <c:numCache>
                <c:formatCode>General</c:formatCode>
                <c:ptCount val="11"/>
                <c:pt idx="0">
                  <c:v>97.105319704240927</c:v>
                </c:pt>
                <c:pt idx="1">
                  <c:v>94.143944501987917</c:v>
                </c:pt>
                <c:pt idx="2">
                  <c:v>91.461268542513537</c:v>
                </c:pt>
                <c:pt idx="3">
                  <c:v>88.2442249131213</c:v>
                </c:pt>
                <c:pt idx="4">
                  <c:v>84.623333896822089</c:v>
                </c:pt>
                <c:pt idx="5">
                  <c:v>81.906593277496725</c:v>
                </c:pt>
                <c:pt idx="6">
                  <c:v>80.503121951404196</c:v>
                </c:pt>
                <c:pt idx="7">
                  <c:v>75.594819283415291</c:v>
                </c:pt>
                <c:pt idx="8">
                  <c:v>71.340734445872997</c:v>
                </c:pt>
                <c:pt idx="9">
                  <c:v>62.726348308589273</c:v>
                </c:pt>
                <c:pt idx="10">
                  <c:v>53.206139314460643</c:v>
                </c:pt>
              </c:numCache>
            </c:numRef>
          </c:yVal>
          <c:smooth val="0"/>
        </c:ser>
        <c:ser>
          <c:idx val="1"/>
          <c:order val="1"/>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'Early r4'!$F$9:$F$19</c:f>
              <c:numCache>
                <c:formatCode>General</c:formatCode>
                <c:ptCount val="11"/>
                <c:pt idx="0">
                  <c:v>-0.14000000000000001</c:v>
                </c:pt>
                <c:pt idx="1">
                  <c:v>-0.76</c:v>
                </c:pt>
                <c:pt idx="2">
                  <c:v>-1.34</c:v>
                </c:pt>
                <c:pt idx="3">
                  <c:v>-1.8250000000000002</c:v>
                </c:pt>
                <c:pt idx="4">
                  <c:v>-2.2799999999999998</c:v>
                </c:pt>
                <c:pt idx="5">
                  <c:v>-2.5099999999999998</c:v>
                </c:pt>
                <c:pt idx="6">
                  <c:v>-2.74</c:v>
                </c:pt>
                <c:pt idx="7">
                  <c:v>-2.8250000000000002</c:v>
                </c:pt>
                <c:pt idx="8">
                  <c:v>-3.0449999999999999</c:v>
                </c:pt>
                <c:pt idx="9">
                  <c:v>-3.51</c:v>
                </c:pt>
                <c:pt idx="10">
                  <c:v>-4.0999999999999996</c:v>
                </c:pt>
              </c:numCache>
            </c:numRef>
          </c:xVal>
          <c:yVal>
            <c:numRef>
              <c:f>'Early r4'!$AA$9:$AA$19</c:f>
              <c:numCache>
                <c:formatCode>General</c:formatCode>
                <c:ptCount val="11"/>
                <c:pt idx="0">
                  <c:v>26.140339325212707</c:v>
                </c:pt>
                <c:pt idx="1">
                  <c:v>24.754278104299402</c:v>
                </c:pt>
                <c:pt idx="2">
                  <c:v>24.214430641099462</c:v>
                </c:pt>
                <c:pt idx="3">
                  <c:v>23.061131916107705</c:v>
                </c:pt>
                <c:pt idx="4">
                  <c:v>21.317663388210672</c:v>
                </c:pt>
                <c:pt idx="5">
                  <c:v>20.008555518803469</c:v>
                </c:pt>
                <c:pt idx="6">
                  <c:v>20.571190276151022</c:v>
                </c:pt>
                <c:pt idx="7">
                  <c:v>16.503686004894345</c:v>
                </c:pt>
                <c:pt idx="8">
                  <c:v>13.873738334886266</c:v>
                </c:pt>
                <c:pt idx="9">
                  <c:v>8.1290320495747075</c:v>
                </c:pt>
                <c:pt idx="10">
                  <c:v>1.8411472986492574</c:v>
                </c:pt>
              </c:numCache>
            </c:numRef>
          </c:yVal>
          <c:smooth val="0"/>
        </c:ser>
        <c:dLbls>
          <c:showLegendKey val="0"/>
          <c:showVal val="0"/>
          <c:showCatName val="0"/>
          <c:showSerName val="0"/>
          <c:showPercent val="0"/>
          <c:showBubbleSize val="0"/>
        </c:dLbls>
        <c:axId val="561854368"/>
        <c:axId val="678374848"/>
      </c:scatterChart>
      <c:valAx>
        <c:axId val="5618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374848"/>
        <c:crosses val="autoZero"/>
        <c:crossBetween val="midCat"/>
      </c:valAx>
      <c:valAx>
        <c:axId val="678374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85436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Leaf</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'Late r1'!$F$9:$F$12</c:f>
              <c:numCache>
                <c:formatCode>General</c:formatCode>
                <c:ptCount val="4"/>
                <c:pt idx="0">
                  <c:v>0.129</c:v>
                </c:pt>
                <c:pt idx="1">
                  <c:v>1.4550000000000001</c:v>
                </c:pt>
                <c:pt idx="2">
                  <c:v>2.5920000000000001</c:v>
                </c:pt>
                <c:pt idx="3">
                  <c:v>2.831</c:v>
                </c:pt>
              </c:numCache>
            </c:numRef>
          </c:xVal>
          <c:yVal>
            <c:numRef>
              <c:f>'Late r1'!$W$9:$W$12</c:f>
              <c:numCache>
                <c:formatCode>General</c:formatCode>
                <c:ptCount val="4"/>
                <c:pt idx="0">
                  <c:v>2.6336276000000001</c:v>
                </c:pt>
                <c:pt idx="1">
                  <c:v>2.4273020000000001</c:v>
                </c:pt>
                <c:pt idx="2">
                  <c:v>2.2503848000000004</c:v>
                </c:pt>
                <c:pt idx="3">
                  <c:v>2.2131964000000002</c:v>
                </c:pt>
              </c:numCache>
            </c:numRef>
          </c:yVal>
          <c:smooth val="0"/>
        </c:ser>
        <c:ser>
          <c:idx val="1"/>
          <c:order val="1"/>
          <c:tx>
            <c:v>Stem</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layout>
                <c:manualLayout>
                  <c:x val="9.1771653543307082E-3"/>
                  <c:y val="0.1362937445319335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'Late r1'!$F$9:$F$12</c:f>
              <c:numCache>
                <c:formatCode>General</c:formatCode>
                <c:ptCount val="4"/>
                <c:pt idx="0">
                  <c:v>0.129</c:v>
                </c:pt>
                <c:pt idx="1">
                  <c:v>1.4550000000000001</c:v>
                </c:pt>
                <c:pt idx="2">
                  <c:v>2.5920000000000001</c:v>
                </c:pt>
                <c:pt idx="3">
                  <c:v>2.831</c:v>
                </c:pt>
              </c:numCache>
            </c:numRef>
          </c:xVal>
          <c:yVal>
            <c:numRef>
              <c:f>'Late r1'!$X$9:$X$12</c:f>
              <c:numCache>
                <c:formatCode>General</c:formatCode>
                <c:ptCount val="4"/>
                <c:pt idx="0">
                  <c:v>1.6106013759728055</c:v>
                </c:pt>
                <c:pt idx="1">
                  <c:v>1.4603275594498764</c:v>
                </c:pt>
                <c:pt idx="2">
                  <c:v>1.5277914963863652</c:v>
                </c:pt>
                <c:pt idx="3">
                  <c:v>1.464223389943526</c:v>
                </c:pt>
              </c:numCache>
            </c:numRef>
          </c:yVal>
          <c:smooth val="0"/>
        </c:ser>
        <c:dLbls>
          <c:showLegendKey val="0"/>
          <c:showVal val="0"/>
          <c:showCatName val="0"/>
          <c:showSerName val="0"/>
          <c:showPercent val="0"/>
          <c:showBubbleSize val="0"/>
        </c:dLbls>
        <c:axId val="571340912"/>
        <c:axId val="571336208"/>
      </c:scatterChart>
      <c:valAx>
        <c:axId val="5713409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336208"/>
        <c:crosses val="autoZero"/>
        <c:crossBetween val="midCat"/>
      </c:valAx>
      <c:valAx>
        <c:axId val="571336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34091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Leaf</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'Early r4'!$F$9:$F$14</c:f>
              <c:numCache>
                <c:formatCode>General</c:formatCode>
                <c:ptCount val="6"/>
                <c:pt idx="0">
                  <c:v>-0.14000000000000001</c:v>
                </c:pt>
                <c:pt idx="1">
                  <c:v>-0.76</c:v>
                </c:pt>
                <c:pt idx="2">
                  <c:v>-1.34</c:v>
                </c:pt>
                <c:pt idx="3">
                  <c:v>-1.8250000000000002</c:v>
                </c:pt>
                <c:pt idx="4">
                  <c:v>-2.2799999999999998</c:v>
                </c:pt>
                <c:pt idx="5">
                  <c:v>-2.5099999999999998</c:v>
                </c:pt>
              </c:numCache>
            </c:numRef>
          </c:xVal>
          <c:yVal>
            <c:numRef>
              <c:f>'Early r4'!$W$9:$W$14</c:f>
              <c:numCache>
                <c:formatCode>General</c:formatCode>
                <c:ptCount val="6"/>
                <c:pt idx="0">
                  <c:v>2.2790760000000003</c:v>
                </c:pt>
                <c:pt idx="1">
                  <c:v>2.2284840000000004</c:v>
                </c:pt>
                <c:pt idx="2">
                  <c:v>2.1811560000000005</c:v>
                </c:pt>
                <c:pt idx="3">
                  <c:v>2.1415800000000007</c:v>
                </c:pt>
                <c:pt idx="4">
                  <c:v>2.1044520000000002</c:v>
                </c:pt>
                <c:pt idx="5">
                  <c:v>2.0856840000000001</c:v>
                </c:pt>
              </c:numCache>
            </c:numRef>
          </c:yVal>
          <c:smooth val="0"/>
        </c:ser>
        <c:ser>
          <c:idx val="1"/>
          <c:order val="1"/>
          <c:tx>
            <c:v>Stem</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'Early r4'!$F$9:$F$14</c:f>
              <c:numCache>
                <c:formatCode>General</c:formatCode>
                <c:ptCount val="6"/>
                <c:pt idx="0">
                  <c:v>-0.14000000000000001</c:v>
                </c:pt>
                <c:pt idx="1">
                  <c:v>-0.76</c:v>
                </c:pt>
                <c:pt idx="2">
                  <c:v>-1.34</c:v>
                </c:pt>
                <c:pt idx="3">
                  <c:v>-1.8250000000000002</c:v>
                </c:pt>
                <c:pt idx="4">
                  <c:v>-2.2799999999999998</c:v>
                </c:pt>
                <c:pt idx="5">
                  <c:v>-2.5099999999999998</c:v>
                </c:pt>
              </c:numCache>
            </c:numRef>
          </c:xVal>
          <c:yVal>
            <c:numRef>
              <c:f>'Early r4'!$X$9:$X$14</c:f>
              <c:numCache>
                <c:formatCode>General</c:formatCode>
                <c:ptCount val="6"/>
                <c:pt idx="0">
                  <c:v>1.2995913789483746</c:v>
                </c:pt>
                <c:pt idx="1">
                  <c:v>1.2306820510707446</c:v>
                </c:pt>
                <c:pt idx="2">
                  <c:v>1.1857576854875709</c:v>
                </c:pt>
                <c:pt idx="3">
                  <c:v>1.1079109469407249</c:v>
                </c:pt>
                <c:pt idx="4">
                  <c:v>1.0069702708986621</c:v>
                </c:pt>
                <c:pt idx="5">
                  <c:v>0.92742488957934943</c:v>
                </c:pt>
              </c:numCache>
            </c:numRef>
          </c:yVal>
          <c:smooth val="0"/>
        </c:ser>
        <c:dLbls>
          <c:showLegendKey val="0"/>
          <c:showVal val="0"/>
          <c:showCatName val="0"/>
          <c:showSerName val="0"/>
          <c:showPercent val="0"/>
          <c:showBubbleSize val="0"/>
        </c:dLbls>
        <c:axId val="678364264"/>
        <c:axId val="678365832"/>
      </c:scatterChart>
      <c:valAx>
        <c:axId val="6783642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365832"/>
        <c:crosses val="autoZero"/>
        <c:crossBetween val="midCat"/>
      </c:valAx>
      <c:valAx>
        <c:axId val="678365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36426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Early</c:v>
          </c:tx>
          <c:spPr>
            <a:solidFill>
              <a:schemeClr val="accent1"/>
            </a:solidFill>
            <a:ln>
              <a:noFill/>
            </a:ln>
            <a:effectLst/>
          </c:spPr>
          <c:invertIfNegative val="0"/>
          <c:errBars>
            <c:errBarType val="both"/>
            <c:errValType val="cust"/>
            <c:noEndCap val="0"/>
            <c:plus>
              <c:numRef>
                <c:f>Ttests!$D$19:$F$19</c:f>
                <c:numCache>
                  <c:formatCode>General</c:formatCode>
                  <c:ptCount val="3"/>
                  <c:pt idx="0">
                    <c:v>0.58637836192456161</c:v>
                  </c:pt>
                  <c:pt idx="1">
                    <c:v>0.33522380583723482</c:v>
                  </c:pt>
                  <c:pt idx="2">
                    <c:v>0.26609443812300887</c:v>
                  </c:pt>
                </c:numCache>
              </c:numRef>
            </c:plus>
            <c:minus>
              <c:numRef>
                <c:f>Ttests!$D$19:$F$19</c:f>
                <c:numCache>
                  <c:formatCode>General</c:formatCode>
                  <c:ptCount val="3"/>
                  <c:pt idx="0">
                    <c:v>0.58637836192456161</c:v>
                  </c:pt>
                  <c:pt idx="1">
                    <c:v>0.33522380583723482</c:v>
                  </c:pt>
                  <c:pt idx="2">
                    <c:v>0.26609443812300887</c:v>
                  </c:pt>
                </c:numCache>
              </c:numRef>
            </c:minus>
            <c:spPr>
              <a:noFill/>
              <a:ln w="9525" cap="flat" cmpd="sng" algn="ctr">
                <a:solidFill>
                  <a:schemeClr val="tx1">
                    <a:lumMod val="65000"/>
                    <a:lumOff val="35000"/>
                  </a:schemeClr>
                </a:solidFill>
                <a:round/>
              </a:ln>
              <a:effectLst/>
            </c:spPr>
          </c:errBars>
          <c:cat>
            <c:strRef>
              <c:f>Ttests!$D$2:$F$2</c:f>
              <c:strCache>
                <c:ptCount val="3"/>
                <c:pt idx="0">
                  <c:v>C shoot</c:v>
                </c:pt>
                <c:pt idx="1">
                  <c:v>Cleaf</c:v>
                </c:pt>
                <c:pt idx="2">
                  <c:v>C stem</c:v>
                </c:pt>
              </c:strCache>
            </c:strRef>
          </c:cat>
          <c:val>
            <c:numRef>
              <c:f>Ttests!$D$18:$F$18</c:f>
              <c:numCache>
                <c:formatCode>General</c:formatCode>
                <c:ptCount val="3"/>
                <c:pt idx="0">
                  <c:v>-5.3475000000000001</c:v>
                </c:pt>
                <c:pt idx="1">
                  <c:v>-3.165</c:v>
                </c:pt>
                <c:pt idx="2">
                  <c:v>-2.1825000000000001</c:v>
                </c:pt>
              </c:numCache>
            </c:numRef>
          </c:val>
        </c:ser>
        <c:ser>
          <c:idx val="1"/>
          <c:order val="1"/>
          <c:tx>
            <c:v>Late</c:v>
          </c:tx>
          <c:spPr>
            <a:solidFill>
              <a:schemeClr val="accent2"/>
            </a:solidFill>
            <a:ln>
              <a:noFill/>
            </a:ln>
            <a:effectLst/>
          </c:spPr>
          <c:invertIfNegative val="0"/>
          <c:errBars>
            <c:errBarType val="both"/>
            <c:errValType val="cust"/>
            <c:noEndCap val="0"/>
            <c:plus>
              <c:numRef>
                <c:f>Ttests!$D$22:$F$22</c:f>
                <c:numCache>
                  <c:formatCode>General</c:formatCode>
                  <c:ptCount val="3"/>
                  <c:pt idx="0">
                    <c:v>0.32961492684646465</c:v>
                  </c:pt>
                  <c:pt idx="1">
                    <c:v>0.30297854709533373</c:v>
                  </c:pt>
                  <c:pt idx="2">
                    <c:v>0.2508904143246608</c:v>
                  </c:pt>
                </c:numCache>
              </c:numRef>
            </c:plus>
            <c:minus>
              <c:numRef>
                <c:f>Ttests!$D$22:$F$22</c:f>
                <c:numCache>
                  <c:formatCode>General</c:formatCode>
                  <c:ptCount val="3"/>
                  <c:pt idx="0">
                    <c:v>0.32961492684646465</c:v>
                  </c:pt>
                  <c:pt idx="1">
                    <c:v>0.30297854709533373</c:v>
                  </c:pt>
                  <c:pt idx="2">
                    <c:v>0.2508904143246608</c:v>
                  </c:pt>
                </c:numCache>
              </c:numRef>
            </c:minus>
            <c:spPr>
              <a:noFill/>
              <a:ln w="9525" cap="flat" cmpd="sng" algn="ctr">
                <a:solidFill>
                  <a:schemeClr val="tx1">
                    <a:lumMod val="65000"/>
                    <a:lumOff val="35000"/>
                  </a:schemeClr>
                </a:solidFill>
                <a:round/>
              </a:ln>
              <a:effectLst/>
            </c:spPr>
          </c:errBars>
          <c:cat>
            <c:strRef>
              <c:f>Ttests!$D$2:$F$2</c:f>
              <c:strCache>
                <c:ptCount val="3"/>
                <c:pt idx="0">
                  <c:v>C shoot</c:v>
                </c:pt>
                <c:pt idx="1">
                  <c:v>Cleaf</c:v>
                </c:pt>
                <c:pt idx="2">
                  <c:v>C stem</c:v>
                </c:pt>
              </c:strCache>
            </c:strRef>
          </c:cat>
          <c:val>
            <c:numRef>
              <c:f>Ttests!$D$21:$F$21</c:f>
              <c:numCache>
                <c:formatCode>General</c:formatCode>
                <c:ptCount val="3"/>
                <c:pt idx="0">
                  <c:v>-4.6059999999999999</c:v>
                </c:pt>
                <c:pt idx="1">
                  <c:v>-3.9560000000000004</c:v>
                </c:pt>
                <c:pt idx="2">
                  <c:v>-0.69599999999999995</c:v>
                </c:pt>
              </c:numCache>
            </c:numRef>
          </c:val>
        </c:ser>
        <c:dLbls>
          <c:showLegendKey val="0"/>
          <c:showVal val="0"/>
          <c:showCatName val="0"/>
          <c:showSerName val="0"/>
          <c:showPercent val="0"/>
          <c:showBubbleSize val="0"/>
        </c:dLbls>
        <c:gapWidth val="219"/>
        <c:axId val="678363480"/>
        <c:axId val="678372888"/>
      </c:barChart>
      <c:catAx>
        <c:axId val="67836348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372888"/>
        <c:crosses val="autoZero"/>
        <c:auto val="1"/>
        <c:lblAlgn val="ctr"/>
        <c:lblOffset val="100"/>
        <c:noMultiLvlLbl val="0"/>
      </c:catAx>
      <c:valAx>
        <c:axId val="678372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 RWC Shoot MPa-1</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363480"/>
        <c:crosses val="autoZero"/>
        <c:crossBetween val="between"/>
      </c:valAx>
      <c:spPr>
        <a:noFill/>
        <a:ln>
          <a:noFill/>
        </a:ln>
        <a:effectLst/>
      </c:spPr>
    </c:plotArea>
    <c:legend>
      <c:legendPos val="r"/>
      <c:layout>
        <c:manualLayout>
          <c:xMode val="edge"/>
          <c:yMode val="edge"/>
          <c:x val="0.89480096237970252"/>
          <c:y val="7.4652230971128636E-2"/>
          <c:w val="9.9073065608585253E-2"/>
          <c:h val="0.167874400865401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Early</c:v>
          </c:tx>
          <c:spPr>
            <a:solidFill>
              <a:schemeClr val="accent1"/>
            </a:solidFill>
            <a:ln>
              <a:noFill/>
            </a:ln>
            <a:effectLst/>
          </c:spPr>
          <c:invertIfNegative val="0"/>
          <c:errBars>
            <c:errBarType val="both"/>
            <c:errValType val="cust"/>
            <c:noEndCap val="0"/>
            <c:plus>
              <c:numRef>
                <c:f>Ttests!$G$19:$I$19</c:f>
                <c:numCache>
                  <c:formatCode>General</c:formatCode>
                  <c:ptCount val="3"/>
                  <c:pt idx="0">
                    <c:v>1.3149778198382939E-2</c:v>
                  </c:pt>
                  <c:pt idx="1">
                    <c:v>8.5391256382996727E-4</c:v>
                  </c:pt>
                  <c:pt idx="2">
                    <c:v>4.7499999999999994E-2</c:v>
                  </c:pt>
                </c:numCache>
              </c:numRef>
            </c:plus>
            <c:minus>
              <c:numRef>
                <c:f>Ttests!$G$19:$I$19</c:f>
                <c:numCache>
                  <c:formatCode>General</c:formatCode>
                  <c:ptCount val="3"/>
                  <c:pt idx="0">
                    <c:v>1.3149778198382939E-2</c:v>
                  </c:pt>
                  <c:pt idx="1">
                    <c:v>8.5391256382996727E-4</c:v>
                  </c:pt>
                  <c:pt idx="2">
                    <c:v>4.7499999999999994E-2</c:v>
                  </c:pt>
                </c:numCache>
              </c:numRef>
            </c:minus>
            <c:spPr>
              <a:noFill/>
              <a:ln w="9525" cap="flat" cmpd="sng" algn="ctr">
                <a:solidFill>
                  <a:schemeClr val="tx1">
                    <a:lumMod val="65000"/>
                    <a:lumOff val="35000"/>
                  </a:schemeClr>
                </a:solidFill>
                <a:round/>
              </a:ln>
              <a:effectLst/>
            </c:spPr>
          </c:errBars>
          <c:cat>
            <c:strRef>
              <c:f>Ttests!$D$2:$F$2</c:f>
              <c:strCache>
                <c:ptCount val="3"/>
                <c:pt idx="0">
                  <c:v>C shoot</c:v>
                </c:pt>
                <c:pt idx="1">
                  <c:v>Cleaf</c:v>
                </c:pt>
                <c:pt idx="2">
                  <c:v>C stem</c:v>
                </c:pt>
              </c:strCache>
            </c:strRef>
          </c:cat>
          <c:val>
            <c:numRef>
              <c:f>Ttests!$G$18:$I$18</c:f>
              <c:numCache>
                <c:formatCode>General</c:formatCode>
                <c:ptCount val="3"/>
                <c:pt idx="0">
                  <c:v>-0.1225</c:v>
                </c:pt>
                <c:pt idx="1">
                  <c:v>-8.1750000000000003E-2</c:v>
                </c:pt>
                <c:pt idx="2">
                  <c:v>-0.20250000000000001</c:v>
                </c:pt>
              </c:numCache>
            </c:numRef>
          </c:val>
        </c:ser>
        <c:ser>
          <c:idx val="1"/>
          <c:order val="1"/>
          <c:tx>
            <c:v>Late</c:v>
          </c:tx>
          <c:spPr>
            <a:solidFill>
              <a:schemeClr val="accent2"/>
            </a:solidFill>
            <a:ln>
              <a:noFill/>
            </a:ln>
            <a:effectLst/>
          </c:spPr>
          <c:invertIfNegative val="0"/>
          <c:errBars>
            <c:errBarType val="both"/>
            <c:errValType val="cust"/>
            <c:noEndCap val="0"/>
            <c:plus>
              <c:numRef>
                <c:f>Ttests!$G$22:$I$22</c:f>
                <c:numCache>
                  <c:formatCode>General</c:formatCode>
                  <c:ptCount val="3"/>
                  <c:pt idx="0">
                    <c:v>1.3638181696985857E-2</c:v>
                  </c:pt>
                  <c:pt idx="1">
                    <c:v>6.7823299831252671E-3</c:v>
                  </c:pt>
                  <c:pt idx="2">
                    <c:v>1.2884098726725123E-2</c:v>
                  </c:pt>
                </c:numCache>
              </c:numRef>
            </c:plus>
            <c:minus>
              <c:numRef>
                <c:f>Ttests!$G$22:$I$22</c:f>
                <c:numCache>
                  <c:formatCode>General</c:formatCode>
                  <c:ptCount val="3"/>
                  <c:pt idx="0">
                    <c:v>1.3638181696985857E-2</c:v>
                  </c:pt>
                  <c:pt idx="1">
                    <c:v>6.7823299831252671E-3</c:v>
                  </c:pt>
                  <c:pt idx="2">
                    <c:v>1.2884098726725123E-2</c:v>
                  </c:pt>
                </c:numCache>
              </c:numRef>
            </c:minus>
            <c:spPr>
              <a:noFill/>
              <a:ln w="9525" cap="flat" cmpd="sng" algn="ctr">
                <a:solidFill>
                  <a:schemeClr val="tx1">
                    <a:lumMod val="65000"/>
                    <a:lumOff val="35000"/>
                  </a:schemeClr>
                </a:solidFill>
                <a:round/>
              </a:ln>
              <a:effectLst/>
            </c:spPr>
          </c:errBars>
          <c:cat>
            <c:strRef>
              <c:f>Ttests!$D$2:$F$2</c:f>
              <c:strCache>
                <c:ptCount val="3"/>
                <c:pt idx="0">
                  <c:v>C shoot</c:v>
                </c:pt>
                <c:pt idx="1">
                  <c:v>Cleaf</c:v>
                </c:pt>
                <c:pt idx="2">
                  <c:v>C stem</c:v>
                </c:pt>
              </c:strCache>
            </c:strRef>
          </c:cat>
          <c:val>
            <c:numRef>
              <c:f>Ttests!$G$21:$I$21</c:f>
              <c:numCache>
                <c:formatCode>General</c:formatCode>
                <c:ptCount val="3"/>
                <c:pt idx="0">
                  <c:v>-0.10400000000000001</c:v>
                </c:pt>
                <c:pt idx="1">
                  <c:v>-0.17400000000000002</c:v>
                </c:pt>
                <c:pt idx="2">
                  <c:v>-3.6000000000000004E-2</c:v>
                </c:pt>
              </c:numCache>
            </c:numRef>
          </c:val>
        </c:ser>
        <c:dLbls>
          <c:showLegendKey val="0"/>
          <c:showVal val="0"/>
          <c:showCatName val="0"/>
          <c:showSerName val="0"/>
          <c:showPercent val="0"/>
          <c:showBubbleSize val="0"/>
        </c:dLbls>
        <c:gapWidth val="219"/>
        <c:axId val="678370536"/>
        <c:axId val="678375240"/>
      </c:barChart>
      <c:catAx>
        <c:axId val="678370536"/>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375240"/>
        <c:crosses val="autoZero"/>
        <c:auto val="1"/>
        <c:lblAlgn val="ctr"/>
        <c:lblOffset val="100"/>
        <c:noMultiLvlLbl val="0"/>
      </c:catAx>
      <c:valAx>
        <c:axId val="678375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g water/g g dm/Mpa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370536"/>
        <c:crosses val="autoZero"/>
        <c:crossBetween val="between"/>
      </c:valAx>
      <c:spPr>
        <a:noFill/>
        <a:ln>
          <a:noFill/>
        </a:ln>
        <a:effectLst/>
      </c:spPr>
    </c:plotArea>
    <c:legend>
      <c:legendPos val="r"/>
      <c:layout>
        <c:manualLayout>
          <c:xMode val="edge"/>
          <c:yMode val="edge"/>
          <c:x val="0.89480096237970252"/>
          <c:y val="7.4652230971128636E-2"/>
          <c:w val="9.9695816168674262E-2"/>
          <c:h val="0.1701334821540207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Early</c:v>
          </c:tx>
          <c:spPr>
            <a:solidFill>
              <a:schemeClr val="accent1"/>
            </a:solidFill>
            <a:ln>
              <a:noFill/>
            </a:ln>
            <a:effectLst/>
          </c:spPr>
          <c:invertIfNegative val="0"/>
          <c:errBars>
            <c:errBarType val="both"/>
            <c:errValType val="cust"/>
            <c:noEndCap val="0"/>
            <c:plus>
              <c:numRef>
                <c:f>Ttests!$J$19:$L$19</c:f>
                <c:numCache>
                  <c:formatCode>General</c:formatCode>
                  <c:ptCount val="3"/>
                  <c:pt idx="0">
                    <c:v>0.14980542936311145</c:v>
                  </c:pt>
                  <c:pt idx="1">
                    <c:v>4.7871355387816847E-3</c:v>
                  </c:pt>
                  <c:pt idx="2">
                    <c:v>0.4271294690528078</c:v>
                  </c:pt>
                </c:numCache>
              </c:numRef>
            </c:plus>
            <c:minus>
              <c:numRef>
                <c:f>Ttests!$J$19:$L$19</c:f>
                <c:numCache>
                  <c:formatCode>General</c:formatCode>
                  <c:ptCount val="3"/>
                  <c:pt idx="0">
                    <c:v>0.14980542936311145</c:v>
                  </c:pt>
                  <c:pt idx="1">
                    <c:v>4.7871355387816847E-3</c:v>
                  </c:pt>
                  <c:pt idx="2">
                    <c:v>0.4271294690528078</c:v>
                  </c:pt>
                </c:numCache>
              </c:numRef>
            </c:minus>
            <c:spPr>
              <a:noFill/>
              <a:ln w="9525" cap="flat" cmpd="sng" algn="ctr">
                <a:solidFill>
                  <a:schemeClr val="tx1">
                    <a:lumMod val="65000"/>
                    <a:lumOff val="35000"/>
                  </a:schemeClr>
                </a:solidFill>
                <a:round/>
              </a:ln>
              <a:effectLst/>
            </c:spPr>
          </c:errBars>
          <c:cat>
            <c:strRef>
              <c:f>Ttests!$D$2:$F$2</c:f>
              <c:strCache>
                <c:ptCount val="3"/>
                <c:pt idx="0">
                  <c:v>C shoot</c:v>
                </c:pt>
                <c:pt idx="1">
                  <c:v>Cleaf</c:v>
                </c:pt>
                <c:pt idx="2">
                  <c:v>C stem</c:v>
                </c:pt>
              </c:strCache>
            </c:strRef>
          </c:cat>
          <c:val>
            <c:numRef>
              <c:f>Ttests!$J$18:$L$18</c:f>
              <c:numCache>
                <c:formatCode>General</c:formatCode>
                <c:ptCount val="3"/>
                <c:pt idx="0">
                  <c:v>2.3250000000000002</c:v>
                </c:pt>
                <c:pt idx="1">
                  <c:v>2.2975000000000003</c:v>
                </c:pt>
                <c:pt idx="2">
                  <c:v>2.4474999999999998</c:v>
                </c:pt>
              </c:numCache>
            </c:numRef>
          </c:val>
        </c:ser>
        <c:ser>
          <c:idx val="1"/>
          <c:order val="1"/>
          <c:tx>
            <c:v>Late</c:v>
          </c:tx>
          <c:spPr>
            <a:solidFill>
              <a:schemeClr val="accent2"/>
            </a:solidFill>
            <a:ln>
              <a:noFill/>
            </a:ln>
            <a:effectLst/>
          </c:spPr>
          <c:invertIfNegative val="0"/>
          <c:errBars>
            <c:errBarType val="both"/>
            <c:errValType val="cust"/>
            <c:noEndCap val="0"/>
            <c:plus>
              <c:numRef>
                <c:f>Ttests!$J$22:$L$22</c:f>
                <c:numCache>
                  <c:formatCode>General</c:formatCode>
                  <c:ptCount val="3"/>
                  <c:pt idx="0">
                    <c:v>9.6591925128346051E-2</c:v>
                  </c:pt>
                  <c:pt idx="1">
                    <c:v>1.6733200530681568E-2</c:v>
                  </c:pt>
                  <c:pt idx="2">
                    <c:v>0.1450379260745267</c:v>
                  </c:pt>
                </c:numCache>
              </c:numRef>
            </c:plus>
            <c:minus>
              <c:numRef>
                <c:f>Ttests!$J$22:$L$22</c:f>
                <c:numCache>
                  <c:formatCode>General</c:formatCode>
                  <c:ptCount val="3"/>
                  <c:pt idx="0">
                    <c:v>9.6591925128346051E-2</c:v>
                  </c:pt>
                  <c:pt idx="1">
                    <c:v>1.6733200530681568E-2</c:v>
                  </c:pt>
                  <c:pt idx="2">
                    <c:v>0.1450379260745267</c:v>
                  </c:pt>
                </c:numCache>
              </c:numRef>
            </c:minus>
            <c:spPr>
              <a:noFill/>
              <a:ln w="9525" cap="flat" cmpd="sng" algn="ctr">
                <a:solidFill>
                  <a:schemeClr val="tx1">
                    <a:lumMod val="65000"/>
                    <a:lumOff val="35000"/>
                  </a:schemeClr>
                </a:solidFill>
                <a:round/>
              </a:ln>
              <a:effectLst/>
            </c:spPr>
          </c:errBars>
          <c:cat>
            <c:strRef>
              <c:f>Ttests!$D$2:$F$2</c:f>
              <c:strCache>
                <c:ptCount val="3"/>
                <c:pt idx="0">
                  <c:v>C shoot</c:v>
                </c:pt>
                <c:pt idx="1">
                  <c:v>Cleaf</c:v>
                </c:pt>
                <c:pt idx="2">
                  <c:v>C stem</c:v>
                </c:pt>
              </c:strCache>
            </c:strRef>
          </c:cat>
          <c:val>
            <c:numRef>
              <c:f>Ttests!$J$21:$L$21</c:f>
              <c:numCache>
                <c:formatCode>General</c:formatCode>
                <c:ptCount val="3"/>
                <c:pt idx="0">
                  <c:v>2.23</c:v>
                </c:pt>
                <c:pt idx="1">
                  <c:v>2.68</c:v>
                </c:pt>
                <c:pt idx="2">
                  <c:v>1.766</c:v>
                </c:pt>
              </c:numCache>
            </c:numRef>
          </c:val>
        </c:ser>
        <c:dLbls>
          <c:showLegendKey val="0"/>
          <c:showVal val="0"/>
          <c:showCatName val="0"/>
          <c:showSerName val="0"/>
          <c:showPercent val="0"/>
          <c:showBubbleSize val="0"/>
        </c:dLbls>
        <c:gapWidth val="219"/>
        <c:axId val="678364656"/>
        <c:axId val="678372496"/>
      </c:barChart>
      <c:catAx>
        <c:axId val="678364656"/>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372496"/>
        <c:crosses val="autoZero"/>
        <c:auto val="1"/>
        <c:lblAlgn val="ctr"/>
        <c:lblOffset val="100"/>
        <c:noMultiLvlLbl val="0"/>
      </c:catAx>
      <c:valAx>
        <c:axId val="678372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WC at ful hydration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364656"/>
        <c:crosses val="autoZero"/>
        <c:crossBetween val="between"/>
      </c:valAx>
      <c:spPr>
        <a:noFill/>
        <a:ln>
          <a:noFill/>
        </a:ln>
        <a:effectLst/>
      </c:spPr>
    </c:plotArea>
    <c:legend>
      <c:legendPos val="r"/>
      <c:layout>
        <c:manualLayout>
          <c:xMode val="edge"/>
          <c:yMode val="edge"/>
          <c:x val="0.89480096237970252"/>
          <c:y val="7.4652230971128636E-2"/>
          <c:w val="9.9695816168674262E-2"/>
          <c:h val="0.1701334821540207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5358705161854769E-2"/>
          <c:y val="7.407407407407407E-2"/>
          <c:w val="0.88386351706036748"/>
          <c:h val="0.8416746864975212"/>
        </c:manualLayout>
      </c:layout>
      <c:scatterChart>
        <c:scatterStyle val="lineMarker"/>
        <c:varyColors val="0"/>
        <c:ser>
          <c:idx val="0"/>
          <c:order val="0"/>
          <c:tx>
            <c:v>Shoot WC</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'Late r2'!$F$9:$F$19</c:f>
              <c:numCache>
                <c:formatCode>General</c:formatCode>
                <c:ptCount val="11"/>
                <c:pt idx="0">
                  <c:v>0.52100000000000002</c:v>
                </c:pt>
                <c:pt idx="1">
                  <c:v>0.97799999999999998</c:v>
                </c:pt>
                <c:pt idx="2">
                  <c:v>1.6579999999999999</c:v>
                </c:pt>
                <c:pt idx="3">
                  <c:v>2.5379999999999998</c:v>
                </c:pt>
                <c:pt idx="4">
                  <c:v>3.15</c:v>
                </c:pt>
                <c:pt idx="5">
                  <c:v>3.4129999999999998</c:v>
                </c:pt>
                <c:pt idx="6">
                  <c:v>3.89</c:v>
                </c:pt>
                <c:pt idx="7">
                  <c:v>4.0709999999999997</c:v>
                </c:pt>
                <c:pt idx="8">
                  <c:v>4.3789999999999996</c:v>
                </c:pt>
                <c:pt idx="9">
                  <c:v>4.8529999999999998</c:v>
                </c:pt>
                <c:pt idx="10">
                  <c:v>6.5529999999999999</c:v>
                </c:pt>
              </c:numCache>
            </c:numRef>
          </c:xVal>
          <c:yVal>
            <c:numRef>
              <c:f>'Late r2'!$Y$9:$Y$19</c:f>
              <c:numCache>
                <c:formatCode>General</c:formatCode>
                <c:ptCount val="11"/>
                <c:pt idx="0">
                  <c:v>98.991975396850677</c:v>
                </c:pt>
                <c:pt idx="1">
                  <c:v>86.803395940942664</c:v>
                </c:pt>
                <c:pt idx="2">
                  <c:v>80.698411832352775</c:v>
                </c:pt>
                <c:pt idx="3">
                  <c:v>74.271551229841336</c:v>
                </c:pt>
                <c:pt idx="4">
                  <c:v>72.004765430438638</c:v>
                </c:pt>
                <c:pt idx="5">
                  <c:v>65.273794263195526</c:v>
                </c:pt>
                <c:pt idx="6">
                  <c:v>60.456547789941915</c:v>
                </c:pt>
                <c:pt idx="7">
                  <c:v>55.353038857583812</c:v>
                </c:pt>
                <c:pt idx="8">
                  <c:v>49.240181926680748</c:v>
                </c:pt>
                <c:pt idx="9">
                  <c:v>41.40607231145222</c:v>
                </c:pt>
                <c:pt idx="10">
                  <c:v>36.74509398219292</c:v>
                </c:pt>
              </c:numCache>
            </c:numRef>
          </c:yVal>
          <c:smooth val="0"/>
        </c:ser>
        <c:ser>
          <c:idx val="1"/>
          <c:order val="1"/>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'Late r2'!$F$9:$F$19</c:f>
              <c:numCache>
                <c:formatCode>General</c:formatCode>
                <c:ptCount val="11"/>
                <c:pt idx="0">
                  <c:v>0.52100000000000002</c:v>
                </c:pt>
                <c:pt idx="1">
                  <c:v>0.97799999999999998</c:v>
                </c:pt>
                <c:pt idx="2">
                  <c:v>1.6579999999999999</c:v>
                </c:pt>
                <c:pt idx="3">
                  <c:v>2.5379999999999998</c:v>
                </c:pt>
                <c:pt idx="4">
                  <c:v>3.15</c:v>
                </c:pt>
                <c:pt idx="5">
                  <c:v>3.4129999999999998</c:v>
                </c:pt>
                <c:pt idx="6">
                  <c:v>3.89</c:v>
                </c:pt>
                <c:pt idx="7">
                  <c:v>4.0709999999999997</c:v>
                </c:pt>
                <c:pt idx="8">
                  <c:v>4.3789999999999996</c:v>
                </c:pt>
                <c:pt idx="9">
                  <c:v>4.8529999999999998</c:v>
                </c:pt>
                <c:pt idx="10">
                  <c:v>6.5529999999999999</c:v>
                </c:pt>
              </c:numCache>
            </c:numRef>
          </c:xVal>
          <c:yVal>
            <c:numRef>
              <c:f>'Late r2'!$AA$9:$AA$19</c:f>
              <c:numCache>
                <c:formatCode>General</c:formatCode>
                <c:ptCount val="11"/>
                <c:pt idx="0">
                  <c:v>48.034822712462827</c:v>
                </c:pt>
                <c:pt idx="1">
                  <c:v>37.368809169139347</c:v>
                </c:pt>
                <c:pt idx="2">
                  <c:v>33.663699808008552</c:v>
                </c:pt>
                <c:pt idx="3">
                  <c:v>30.642010901996734</c:v>
                </c:pt>
                <c:pt idx="4">
                  <c:v>30.505334601321426</c:v>
                </c:pt>
                <c:pt idx="5">
                  <c:v>26.215203427887769</c:v>
                </c:pt>
                <c:pt idx="6">
                  <c:v>25.654615985896978</c:v>
                </c:pt>
                <c:pt idx="7">
                  <c:v>22.647260417445647</c:v>
                </c:pt>
                <c:pt idx="8">
                  <c:v>19.960865786251691</c:v>
                </c:pt>
                <c:pt idx="9">
                  <c:v>16.25637873941254</c:v>
                </c:pt>
                <c:pt idx="10">
                  <c:v>24.091646846412864</c:v>
                </c:pt>
              </c:numCache>
            </c:numRef>
          </c:yVal>
          <c:smooth val="0"/>
        </c:ser>
        <c:dLbls>
          <c:showLegendKey val="0"/>
          <c:showVal val="0"/>
          <c:showCatName val="0"/>
          <c:showSerName val="0"/>
          <c:showPercent val="0"/>
          <c:showBubbleSize val="0"/>
        </c:dLbls>
        <c:axId val="571333856"/>
        <c:axId val="571335032"/>
      </c:scatterChart>
      <c:valAx>
        <c:axId val="5713338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335032"/>
        <c:crosses val="autoZero"/>
        <c:crossBetween val="midCat"/>
      </c:valAx>
      <c:valAx>
        <c:axId val="571335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3338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Leaf</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'Late r2'!$F$9:$F$13</c:f>
              <c:numCache>
                <c:formatCode>General</c:formatCode>
                <c:ptCount val="5"/>
                <c:pt idx="0">
                  <c:v>0.52100000000000002</c:v>
                </c:pt>
                <c:pt idx="1">
                  <c:v>0.97799999999999998</c:v>
                </c:pt>
                <c:pt idx="2">
                  <c:v>1.6579999999999999</c:v>
                </c:pt>
                <c:pt idx="3">
                  <c:v>2.5379999999999998</c:v>
                </c:pt>
                <c:pt idx="4">
                  <c:v>3.15</c:v>
                </c:pt>
              </c:numCache>
            </c:numRef>
          </c:xVal>
          <c:yVal>
            <c:numRef>
              <c:f>'Late r2'!$W$9:$W$13</c:f>
              <c:numCache>
                <c:formatCode>General</c:formatCode>
                <c:ptCount val="5"/>
                <c:pt idx="0">
                  <c:v>2.5726324000000003</c:v>
                </c:pt>
                <c:pt idx="1">
                  <c:v>2.5015232000000003</c:v>
                </c:pt>
                <c:pt idx="2">
                  <c:v>2.3957152000000002</c:v>
                </c:pt>
                <c:pt idx="3">
                  <c:v>2.2587872000000004</c:v>
                </c:pt>
                <c:pt idx="4">
                  <c:v>2.1635600000000004</c:v>
                </c:pt>
              </c:numCache>
            </c:numRef>
          </c:yVal>
          <c:smooth val="0"/>
        </c:ser>
        <c:ser>
          <c:idx val="1"/>
          <c:order val="1"/>
          <c:tx>
            <c:v>Stem</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'Late r2'!$F$9:$F$13</c:f>
              <c:numCache>
                <c:formatCode>General</c:formatCode>
                <c:ptCount val="5"/>
                <c:pt idx="0">
                  <c:v>0.52100000000000002</c:v>
                </c:pt>
                <c:pt idx="1">
                  <c:v>0.97799999999999998</c:v>
                </c:pt>
                <c:pt idx="2">
                  <c:v>1.6579999999999999</c:v>
                </c:pt>
                <c:pt idx="3">
                  <c:v>2.5379999999999998</c:v>
                </c:pt>
                <c:pt idx="4">
                  <c:v>3.15</c:v>
                </c:pt>
              </c:numCache>
            </c:numRef>
          </c:xVal>
          <c:yVal>
            <c:numRef>
              <c:f>'Late r2'!$X$9:$X$13</c:f>
              <c:numCache>
                <c:formatCode>General</c:formatCode>
                <c:ptCount val="5"/>
                <c:pt idx="0">
                  <c:v>2.5772750584229667</c:v>
                </c:pt>
                <c:pt idx="1">
                  <c:v>2.000103627366018</c:v>
                </c:pt>
                <c:pt idx="2">
                  <c:v>1.7894436850392257</c:v>
                </c:pt>
                <c:pt idx="3">
                  <c:v>1.6017980599870512</c:v>
                </c:pt>
                <c:pt idx="4">
                  <c:v>1.583529155383532</c:v>
                </c:pt>
              </c:numCache>
            </c:numRef>
          </c:yVal>
          <c:smooth val="0"/>
        </c:ser>
        <c:dLbls>
          <c:showLegendKey val="0"/>
          <c:showVal val="0"/>
          <c:showCatName val="0"/>
          <c:showSerName val="0"/>
          <c:showPercent val="0"/>
          <c:showBubbleSize val="0"/>
        </c:dLbls>
        <c:axId val="571335816"/>
        <c:axId val="571346400"/>
      </c:scatterChart>
      <c:valAx>
        <c:axId val="5713358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346400"/>
        <c:crosses val="autoZero"/>
        <c:crossBetween val="midCat"/>
      </c:valAx>
      <c:valAx>
        <c:axId val="571346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3358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5358705161854769E-2"/>
          <c:y val="7.407407407407407E-2"/>
          <c:w val="0.88386351706036748"/>
          <c:h val="0.8416746864975212"/>
        </c:manualLayout>
      </c:layout>
      <c:scatterChart>
        <c:scatterStyle val="lineMarker"/>
        <c:varyColors val="0"/>
        <c:ser>
          <c:idx val="0"/>
          <c:order val="0"/>
          <c:tx>
            <c:v>Shoot WC</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'Late r3'!$F$9:$F$19</c:f>
              <c:numCache>
                <c:formatCode>General</c:formatCode>
                <c:ptCount val="11"/>
                <c:pt idx="0">
                  <c:v>0.11</c:v>
                </c:pt>
                <c:pt idx="1">
                  <c:v>1.159</c:v>
                </c:pt>
                <c:pt idx="2">
                  <c:v>1.5489999999999999</c:v>
                </c:pt>
                <c:pt idx="3">
                  <c:v>2.3889999999999998</c:v>
                </c:pt>
                <c:pt idx="4">
                  <c:v>2.9910000000000001</c:v>
                </c:pt>
                <c:pt idx="5">
                  <c:v>3.2240000000000002</c:v>
                </c:pt>
                <c:pt idx="6">
                  <c:v>3.5070000000000001</c:v>
                </c:pt>
                <c:pt idx="7">
                  <c:v>3.6789999999999998</c:v>
                </c:pt>
                <c:pt idx="8">
                  <c:v>3.8879999999999999</c:v>
                </c:pt>
                <c:pt idx="9">
                  <c:v>4.133</c:v>
                </c:pt>
                <c:pt idx="10">
                  <c:v>4.93</c:v>
                </c:pt>
              </c:numCache>
            </c:numRef>
          </c:xVal>
          <c:yVal>
            <c:numRef>
              <c:f>'Late r3'!$Y$9:$Y$19</c:f>
              <c:numCache>
                <c:formatCode>General</c:formatCode>
                <c:ptCount val="11"/>
                <c:pt idx="0">
                  <c:v>100.30234256315114</c:v>
                </c:pt>
                <c:pt idx="1">
                  <c:v>94.128354041886126</c:v>
                </c:pt>
                <c:pt idx="2">
                  <c:v>91.689766713379825</c:v>
                </c:pt>
                <c:pt idx="3">
                  <c:v>89.846002003678166</c:v>
                </c:pt>
                <c:pt idx="4">
                  <c:v>85.081157831947067</c:v>
                </c:pt>
                <c:pt idx="5">
                  <c:v>81.153425032321138</c:v>
                </c:pt>
                <c:pt idx="6">
                  <c:v>71.392929034240822</c:v>
                </c:pt>
                <c:pt idx="7">
                  <c:v>71.067584135712792</c:v>
                </c:pt>
                <c:pt idx="8">
                  <c:v>66.611203460013414</c:v>
                </c:pt>
                <c:pt idx="9">
                  <c:v>61.259158711078378</c:v>
                </c:pt>
                <c:pt idx="10">
                  <c:v>52.413844336385594</c:v>
                </c:pt>
              </c:numCache>
            </c:numRef>
          </c:yVal>
          <c:smooth val="0"/>
        </c:ser>
        <c:ser>
          <c:idx val="1"/>
          <c:order val="1"/>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'Late r3'!$F$9:$F$19</c:f>
              <c:numCache>
                <c:formatCode>General</c:formatCode>
                <c:ptCount val="11"/>
                <c:pt idx="0">
                  <c:v>0.11</c:v>
                </c:pt>
                <c:pt idx="1">
                  <c:v>1.159</c:v>
                </c:pt>
                <c:pt idx="2">
                  <c:v>1.5489999999999999</c:v>
                </c:pt>
                <c:pt idx="3">
                  <c:v>2.3889999999999998</c:v>
                </c:pt>
                <c:pt idx="4">
                  <c:v>2.9910000000000001</c:v>
                </c:pt>
                <c:pt idx="5">
                  <c:v>3.2240000000000002</c:v>
                </c:pt>
                <c:pt idx="6">
                  <c:v>3.5070000000000001</c:v>
                </c:pt>
                <c:pt idx="7">
                  <c:v>3.6789999999999998</c:v>
                </c:pt>
                <c:pt idx="8">
                  <c:v>3.8879999999999999</c:v>
                </c:pt>
                <c:pt idx="9">
                  <c:v>4.133</c:v>
                </c:pt>
                <c:pt idx="10">
                  <c:v>4.93</c:v>
                </c:pt>
              </c:numCache>
            </c:numRef>
          </c:xVal>
          <c:yVal>
            <c:numRef>
              <c:f>'Late r3'!$AA$9:$AA$19</c:f>
              <c:numCache>
                <c:formatCode>General</c:formatCode>
                <c:ptCount val="11"/>
                <c:pt idx="0">
                  <c:v>36.62974832453456</c:v>
                </c:pt>
                <c:pt idx="1">
                  <c:v>35.209462859399046</c:v>
                </c:pt>
                <c:pt idx="2">
                  <c:v>34.382107633225822</c:v>
                </c:pt>
                <c:pt idx="3">
                  <c:v>35.858986922197516</c:v>
                </c:pt>
                <c:pt idx="4">
                  <c:v>33.417881739755387</c:v>
                </c:pt>
                <c:pt idx="5">
                  <c:v>31.148283285732909</c:v>
                </c:pt>
                <c:pt idx="6">
                  <c:v>24.314882617301471</c:v>
                </c:pt>
                <c:pt idx="7">
                  <c:v>26.791848487983728</c:v>
                </c:pt>
                <c:pt idx="8">
                  <c:v>25.226343191020696</c:v>
                </c:pt>
                <c:pt idx="9">
                  <c:v>23.436901106792273</c:v>
                </c:pt>
                <c:pt idx="10">
                  <c:v>23.313068332059135</c:v>
                </c:pt>
              </c:numCache>
            </c:numRef>
          </c:yVal>
          <c:smooth val="0"/>
        </c:ser>
        <c:dLbls>
          <c:showLegendKey val="0"/>
          <c:showVal val="0"/>
          <c:showCatName val="0"/>
          <c:showSerName val="0"/>
          <c:showPercent val="0"/>
          <c:showBubbleSize val="0"/>
        </c:dLbls>
        <c:axId val="571343656"/>
        <c:axId val="571346008"/>
      </c:scatterChart>
      <c:valAx>
        <c:axId val="5713436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346008"/>
        <c:crosses val="autoZero"/>
        <c:crossBetween val="midCat"/>
      </c:valAx>
      <c:valAx>
        <c:axId val="571346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3436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Leaf</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3.4015748031496064E-3"/>
                  <c:y val="-8.8874671916010492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'Late r3'!$F$9:$F$13</c:f>
              <c:numCache>
                <c:formatCode>General</c:formatCode>
                <c:ptCount val="5"/>
                <c:pt idx="0">
                  <c:v>0.11</c:v>
                </c:pt>
                <c:pt idx="1">
                  <c:v>1.159</c:v>
                </c:pt>
                <c:pt idx="2">
                  <c:v>1.5489999999999999</c:v>
                </c:pt>
                <c:pt idx="3">
                  <c:v>2.3889999999999998</c:v>
                </c:pt>
                <c:pt idx="4">
                  <c:v>2.9910000000000001</c:v>
                </c:pt>
              </c:numCache>
            </c:numRef>
          </c:xVal>
          <c:yVal>
            <c:numRef>
              <c:f>'Late r3'!$W$9:$W$13</c:f>
              <c:numCache>
                <c:formatCode>General</c:formatCode>
                <c:ptCount val="5"/>
                <c:pt idx="0">
                  <c:v>2.6365840000000005</c:v>
                </c:pt>
                <c:pt idx="1">
                  <c:v>2.4733596000000002</c:v>
                </c:pt>
                <c:pt idx="2">
                  <c:v>2.4126756</c:v>
                </c:pt>
                <c:pt idx="3">
                  <c:v>2.2819716000000003</c:v>
                </c:pt>
                <c:pt idx="4">
                  <c:v>2.1883004000000001</c:v>
                </c:pt>
              </c:numCache>
            </c:numRef>
          </c:yVal>
          <c:smooth val="0"/>
        </c:ser>
        <c:ser>
          <c:idx val="1"/>
          <c:order val="1"/>
          <c:tx>
            <c:v>Stem</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layout>
                <c:manualLayout>
                  <c:x val="2.1598425196850395E-2"/>
                  <c:y val="0.1224088655584718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'Late r3'!$F$9:$F$13</c:f>
              <c:numCache>
                <c:formatCode>General</c:formatCode>
                <c:ptCount val="5"/>
                <c:pt idx="0">
                  <c:v>0.11</c:v>
                </c:pt>
                <c:pt idx="1">
                  <c:v>1.159</c:v>
                </c:pt>
                <c:pt idx="2">
                  <c:v>1.5489999999999999</c:v>
                </c:pt>
                <c:pt idx="3">
                  <c:v>2.3889999999999998</c:v>
                </c:pt>
                <c:pt idx="4">
                  <c:v>2.9910000000000001</c:v>
                </c:pt>
              </c:numCache>
            </c:numRef>
          </c:xVal>
          <c:yVal>
            <c:numRef>
              <c:f>'Late r3'!$X$9:$X$13</c:f>
              <c:numCache>
                <c:formatCode>General</c:formatCode>
                <c:ptCount val="5"/>
                <c:pt idx="0">
                  <c:v>2.1209456815499359</c:v>
                </c:pt>
                <c:pt idx="1">
                  <c:v>2.0006816676793062</c:v>
                </c:pt>
                <c:pt idx="2">
                  <c:v>1.9460770109579613</c:v>
                </c:pt>
                <c:pt idx="3">
                  <c:v>2.0188510086679439</c:v>
                </c:pt>
                <c:pt idx="4">
                  <c:v>1.8762206279809628</c:v>
                </c:pt>
              </c:numCache>
            </c:numRef>
          </c:yVal>
          <c:smooth val="0"/>
        </c:ser>
        <c:dLbls>
          <c:showLegendKey val="0"/>
          <c:showVal val="0"/>
          <c:showCatName val="0"/>
          <c:showSerName val="0"/>
          <c:showPercent val="0"/>
          <c:showBubbleSize val="0"/>
        </c:dLbls>
        <c:axId val="571344440"/>
        <c:axId val="571344832"/>
      </c:scatterChart>
      <c:valAx>
        <c:axId val="5713444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344832"/>
        <c:crosses val="autoZero"/>
        <c:crossBetween val="midCat"/>
      </c:valAx>
      <c:valAx>
        <c:axId val="571344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34444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5358705161854769E-2"/>
          <c:y val="7.407407407407407E-2"/>
          <c:w val="0.88386351706036748"/>
          <c:h val="0.8416746864975212"/>
        </c:manualLayout>
      </c:layout>
      <c:scatterChart>
        <c:scatterStyle val="lineMarker"/>
        <c:varyColors val="0"/>
        <c:ser>
          <c:idx val="0"/>
          <c:order val="0"/>
          <c:tx>
            <c:v>Shoot WC</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'Late r4'!$F$9:$F$19</c:f>
              <c:numCache>
                <c:formatCode>General</c:formatCode>
                <c:ptCount val="11"/>
                <c:pt idx="0">
                  <c:v>0.35</c:v>
                </c:pt>
                <c:pt idx="1">
                  <c:v>2.1859999999999999</c:v>
                </c:pt>
                <c:pt idx="2">
                  <c:v>3.161</c:v>
                </c:pt>
                <c:pt idx="3">
                  <c:v>3.431</c:v>
                </c:pt>
                <c:pt idx="4">
                  <c:v>3.673</c:v>
                </c:pt>
                <c:pt idx="5">
                  <c:v>3.8780000000000001</c:v>
                </c:pt>
                <c:pt idx="6">
                  <c:v>4.1369999999999996</c:v>
                </c:pt>
                <c:pt idx="7">
                  <c:v>5.1230000000000002</c:v>
                </c:pt>
                <c:pt idx="8">
                  <c:v>6.0229999999999997</c:v>
                </c:pt>
                <c:pt idx="9">
                  <c:v>7.12</c:v>
                </c:pt>
              </c:numCache>
            </c:numRef>
          </c:xVal>
          <c:yVal>
            <c:numRef>
              <c:f>'Late r4'!$Y$9:$Y$19</c:f>
              <c:numCache>
                <c:formatCode>General</c:formatCode>
                <c:ptCount val="11"/>
                <c:pt idx="0">
                  <c:v>98.169214639376023</c:v>
                </c:pt>
                <c:pt idx="1">
                  <c:v>86.647189866204315</c:v>
                </c:pt>
                <c:pt idx="2">
                  <c:v>82.740142585736336</c:v>
                </c:pt>
                <c:pt idx="3">
                  <c:v>80.035154057364281</c:v>
                </c:pt>
                <c:pt idx="4">
                  <c:v>76.397032870578158</c:v>
                </c:pt>
                <c:pt idx="5">
                  <c:v>71.266169154848711</c:v>
                </c:pt>
                <c:pt idx="6">
                  <c:v>63.481085958512274</c:v>
                </c:pt>
                <c:pt idx="7">
                  <c:v>61.293876522060273</c:v>
                </c:pt>
                <c:pt idx="8">
                  <c:v>57.720774160544408</c:v>
                </c:pt>
                <c:pt idx="9">
                  <c:v>50.092230754713576</c:v>
                </c:pt>
              </c:numCache>
            </c:numRef>
          </c:yVal>
          <c:smooth val="0"/>
        </c:ser>
        <c:ser>
          <c:idx val="1"/>
          <c:order val="1"/>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'Late r4'!$F$9:$F$19</c:f>
              <c:numCache>
                <c:formatCode>General</c:formatCode>
                <c:ptCount val="11"/>
                <c:pt idx="0">
                  <c:v>0.35</c:v>
                </c:pt>
                <c:pt idx="1">
                  <c:v>2.1859999999999999</c:v>
                </c:pt>
                <c:pt idx="2">
                  <c:v>3.161</c:v>
                </c:pt>
                <c:pt idx="3">
                  <c:v>3.431</c:v>
                </c:pt>
                <c:pt idx="4">
                  <c:v>3.673</c:v>
                </c:pt>
                <c:pt idx="5">
                  <c:v>3.8780000000000001</c:v>
                </c:pt>
                <c:pt idx="6">
                  <c:v>4.1369999999999996</c:v>
                </c:pt>
                <c:pt idx="7">
                  <c:v>5.1230000000000002</c:v>
                </c:pt>
                <c:pt idx="8">
                  <c:v>6.0229999999999997</c:v>
                </c:pt>
                <c:pt idx="9">
                  <c:v>7.12</c:v>
                </c:pt>
              </c:numCache>
            </c:numRef>
          </c:xVal>
          <c:yVal>
            <c:numRef>
              <c:f>'Late r4'!$AA$9:$AA$19</c:f>
              <c:numCache>
                <c:formatCode>General</c:formatCode>
                <c:ptCount val="11"/>
                <c:pt idx="0">
                  <c:v>32.160519516192366</c:v>
                </c:pt>
                <c:pt idx="1">
                  <c:v>28.11998915012645</c:v>
                </c:pt>
                <c:pt idx="2">
                  <c:v>28.348032524464532</c:v>
                </c:pt>
                <c:pt idx="3">
                  <c:v>29.123983985771247</c:v>
                </c:pt>
                <c:pt idx="4">
                  <c:v>28.077041671208185</c:v>
                </c:pt>
                <c:pt idx="5">
                  <c:v>25.239837407445183</c:v>
                </c:pt>
                <c:pt idx="6">
                  <c:v>20.327446852282353</c:v>
                </c:pt>
                <c:pt idx="7">
                  <c:v>28.39700913892365</c:v>
                </c:pt>
                <c:pt idx="8">
                  <c:v>34.288683434136999</c:v>
                </c:pt>
                <c:pt idx="9">
                  <c:v>37.904225892537404</c:v>
                </c:pt>
              </c:numCache>
            </c:numRef>
          </c:yVal>
          <c:smooth val="0"/>
        </c:ser>
        <c:dLbls>
          <c:showLegendKey val="0"/>
          <c:showVal val="0"/>
          <c:showCatName val="0"/>
          <c:showSerName val="0"/>
          <c:showPercent val="0"/>
          <c:showBubbleSize val="0"/>
        </c:dLbls>
        <c:axId val="571345616"/>
        <c:axId val="561842608"/>
      </c:scatterChart>
      <c:valAx>
        <c:axId val="5713456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842608"/>
        <c:crosses val="autoZero"/>
        <c:crossBetween val="midCat"/>
      </c:valAx>
      <c:valAx>
        <c:axId val="561842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3456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Leaf</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'Late r4'!$F$9:$F$11</c:f>
              <c:numCache>
                <c:formatCode>General</c:formatCode>
                <c:ptCount val="3"/>
                <c:pt idx="0">
                  <c:v>0.35</c:v>
                </c:pt>
                <c:pt idx="1">
                  <c:v>2.1859999999999999</c:v>
                </c:pt>
                <c:pt idx="2">
                  <c:v>3.161</c:v>
                </c:pt>
              </c:numCache>
            </c:numRef>
          </c:xVal>
          <c:yVal>
            <c:numRef>
              <c:f>'Late r4'!$W$9:$W$11</c:f>
              <c:numCache>
                <c:formatCode>General</c:formatCode>
                <c:ptCount val="3"/>
                <c:pt idx="0">
                  <c:v>2.59924</c:v>
                </c:pt>
                <c:pt idx="1">
                  <c:v>2.3135583999999998</c:v>
                </c:pt>
                <c:pt idx="2">
                  <c:v>2.1618484000000002</c:v>
                </c:pt>
              </c:numCache>
            </c:numRef>
          </c:yVal>
          <c:smooth val="0"/>
        </c:ser>
        <c:ser>
          <c:idx val="1"/>
          <c:order val="1"/>
          <c:tx>
            <c:v>Stem</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'Late r4'!$F$9:$F$11</c:f>
              <c:numCache>
                <c:formatCode>General</c:formatCode>
                <c:ptCount val="3"/>
                <c:pt idx="0">
                  <c:v>0.35</c:v>
                </c:pt>
                <c:pt idx="1">
                  <c:v>2.1859999999999999</c:v>
                </c:pt>
                <c:pt idx="2">
                  <c:v>3.161</c:v>
                </c:pt>
              </c:numCache>
            </c:numRef>
          </c:xVal>
          <c:yVal>
            <c:numRef>
              <c:f>'Late r4'!$X$9:$X$11</c:f>
              <c:numCache>
                <c:formatCode>General</c:formatCode>
                <c:ptCount val="3"/>
                <c:pt idx="0">
                  <c:v>1.9837751442652436</c:v>
                </c:pt>
                <c:pt idx="1">
                  <c:v>1.7241290094923258</c:v>
                </c:pt>
                <c:pt idx="2">
                  <c:v>1.7235824746210588</c:v>
                </c:pt>
              </c:numCache>
            </c:numRef>
          </c:yVal>
          <c:smooth val="0"/>
        </c:ser>
        <c:dLbls>
          <c:showLegendKey val="0"/>
          <c:showVal val="0"/>
          <c:showCatName val="0"/>
          <c:showSerName val="0"/>
          <c:showPercent val="0"/>
          <c:showBubbleSize val="0"/>
        </c:dLbls>
        <c:axId val="561848096"/>
        <c:axId val="561842216"/>
      </c:scatterChart>
      <c:valAx>
        <c:axId val="5618480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842216"/>
        <c:crosses val="autoZero"/>
        <c:crossBetween val="midCat"/>
      </c:valAx>
      <c:valAx>
        <c:axId val="561842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8480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5358705161854769E-2"/>
          <c:y val="7.407407407407407E-2"/>
          <c:w val="0.88386351706036748"/>
          <c:h val="0.8416746864975212"/>
        </c:manualLayout>
      </c:layout>
      <c:scatterChart>
        <c:scatterStyle val="lineMarker"/>
        <c:varyColors val="0"/>
        <c:ser>
          <c:idx val="0"/>
          <c:order val="0"/>
          <c:tx>
            <c:v>Shoot WC</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'Late r5'!$F$9:$F$19</c:f>
              <c:numCache>
                <c:formatCode>General</c:formatCode>
                <c:ptCount val="11"/>
                <c:pt idx="0">
                  <c:v>0.59699999999999998</c:v>
                </c:pt>
                <c:pt idx="1">
                  <c:v>1.7589999999999999</c:v>
                </c:pt>
                <c:pt idx="2">
                  <c:v>2.2679999999999998</c:v>
                </c:pt>
                <c:pt idx="3">
                  <c:v>3.0609999999999999</c:v>
                </c:pt>
                <c:pt idx="4">
                  <c:v>3.1819999999999999</c:v>
                </c:pt>
                <c:pt idx="5">
                  <c:v>3.2709999999999999</c:v>
                </c:pt>
                <c:pt idx="6">
                  <c:v>3.52</c:v>
                </c:pt>
                <c:pt idx="7">
                  <c:v>3.6280000000000001</c:v>
                </c:pt>
                <c:pt idx="8">
                  <c:v>3.9020000000000001</c:v>
                </c:pt>
                <c:pt idx="9">
                  <c:v>4.3369999999999997</c:v>
                </c:pt>
                <c:pt idx="10">
                  <c:v>5.0570000000000004</c:v>
                </c:pt>
              </c:numCache>
            </c:numRef>
          </c:xVal>
          <c:yVal>
            <c:numRef>
              <c:f>'Late r5'!$Y$9:$Y$19</c:f>
              <c:numCache>
                <c:formatCode>General</c:formatCode>
                <c:ptCount val="11"/>
                <c:pt idx="0">
                  <c:v>96.674825653959033</c:v>
                </c:pt>
                <c:pt idx="1">
                  <c:v>90.875651781065969</c:v>
                </c:pt>
                <c:pt idx="2">
                  <c:v>90.59967996277517</c:v>
                </c:pt>
                <c:pt idx="3">
                  <c:v>87.498603378317199</c:v>
                </c:pt>
                <c:pt idx="4">
                  <c:v>83.195467269673628</c:v>
                </c:pt>
                <c:pt idx="5">
                  <c:v>81.570478537354205</c:v>
                </c:pt>
                <c:pt idx="6">
                  <c:v>75.318606024610119</c:v>
                </c:pt>
                <c:pt idx="7">
                  <c:v>71.500393875388838</c:v>
                </c:pt>
                <c:pt idx="8">
                  <c:v>66.89859022503353</c:v>
                </c:pt>
                <c:pt idx="9">
                  <c:v>61.488879522497385</c:v>
                </c:pt>
                <c:pt idx="10">
                  <c:v>57.003936413747049</c:v>
                </c:pt>
              </c:numCache>
            </c:numRef>
          </c:yVal>
          <c:smooth val="0"/>
        </c:ser>
        <c:ser>
          <c:idx val="1"/>
          <c:order val="1"/>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'Late r5'!$F$9:$F$19</c:f>
              <c:numCache>
                <c:formatCode>General</c:formatCode>
                <c:ptCount val="11"/>
                <c:pt idx="0">
                  <c:v>0.59699999999999998</c:v>
                </c:pt>
                <c:pt idx="1">
                  <c:v>1.7589999999999999</c:v>
                </c:pt>
                <c:pt idx="2">
                  <c:v>2.2679999999999998</c:v>
                </c:pt>
                <c:pt idx="3">
                  <c:v>3.0609999999999999</c:v>
                </c:pt>
                <c:pt idx="4">
                  <c:v>3.1819999999999999</c:v>
                </c:pt>
                <c:pt idx="5">
                  <c:v>3.2709999999999999</c:v>
                </c:pt>
                <c:pt idx="6">
                  <c:v>3.52</c:v>
                </c:pt>
                <c:pt idx="7">
                  <c:v>3.6280000000000001</c:v>
                </c:pt>
                <c:pt idx="8">
                  <c:v>3.9020000000000001</c:v>
                </c:pt>
                <c:pt idx="9">
                  <c:v>4.3369999999999997</c:v>
                </c:pt>
                <c:pt idx="10">
                  <c:v>5.0570000000000004</c:v>
                </c:pt>
              </c:numCache>
            </c:numRef>
          </c:xVal>
          <c:yVal>
            <c:numRef>
              <c:f>'Late r5'!$AA$9:$AA$19</c:f>
              <c:numCache>
                <c:formatCode>General</c:formatCode>
                <c:ptCount val="11"/>
                <c:pt idx="0">
                  <c:v>44.664865396556401</c:v>
                </c:pt>
                <c:pt idx="1">
                  <c:v>42.834974449173266</c:v>
                </c:pt>
                <c:pt idx="2">
                  <c:v>44.41280428810569</c:v>
                </c:pt>
                <c:pt idx="3">
                  <c:v>43.981046963497803</c:v>
                </c:pt>
                <c:pt idx="4">
                  <c:v>40.695441937615414</c:v>
                </c:pt>
                <c:pt idx="5">
                  <c:v>37.093821047671646</c:v>
                </c:pt>
                <c:pt idx="6">
                  <c:v>32.86379181588687</c:v>
                </c:pt>
                <c:pt idx="7">
                  <c:v>29.484276754152511</c:v>
                </c:pt>
                <c:pt idx="8">
                  <c:v>26.235329654254201</c:v>
                </c:pt>
                <c:pt idx="9">
                  <c:v>21.228308593075095</c:v>
                </c:pt>
                <c:pt idx="10">
                  <c:v>19.658048554323081</c:v>
                </c:pt>
              </c:numCache>
            </c:numRef>
          </c:yVal>
          <c:smooth val="0"/>
        </c:ser>
        <c:dLbls>
          <c:showLegendKey val="0"/>
          <c:showVal val="0"/>
          <c:showCatName val="0"/>
          <c:showSerName val="0"/>
          <c:showPercent val="0"/>
          <c:showBubbleSize val="0"/>
        </c:dLbls>
        <c:axId val="561843784"/>
        <c:axId val="561845352"/>
      </c:scatterChart>
      <c:valAx>
        <c:axId val="5618437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845352"/>
        <c:crosses val="autoZero"/>
        <c:crossBetween val="midCat"/>
      </c:valAx>
      <c:valAx>
        <c:axId val="561845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8437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29</xdr:col>
      <xdr:colOff>441613</xdr:colOff>
      <xdr:row>6</xdr:row>
      <xdr:rowOff>179818</xdr:rowOff>
    </xdr:from>
    <xdr:to>
      <xdr:col>37</xdr:col>
      <xdr:colOff>164522</xdr:colOff>
      <xdr:row>18</xdr:row>
      <xdr:rowOff>65518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31</xdr:col>
      <xdr:colOff>3073</xdr:colOff>
      <xdr:row>28</xdr:row>
      <xdr:rowOff>110919</xdr:rowOff>
    </xdr:from>
    <xdr:to>
      <xdr:col>38</xdr:col>
      <xdr:colOff>273461</xdr:colOff>
      <xdr:row>43</xdr:row>
      <xdr:rowOff>88797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29</xdr:col>
      <xdr:colOff>441613</xdr:colOff>
      <xdr:row>6</xdr:row>
      <xdr:rowOff>179818</xdr:rowOff>
    </xdr:from>
    <xdr:to>
      <xdr:col>37</xdr:col>
      <xdr:colOff>164522</xdr:colOff>
      <xdr:row>18</xdr:row>
      <xdr:rowOff>65518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456277</xdr:colOff>
      <xdr:row>31</xdr:row>
      <xdr:rowOff>141645</xdr:rowOff>
    </xdr:from>
    <xdr:to>
      <xdr:col>33</xdr:col>
      <xdr:colOff>112148</xdr:colOff>
      <xdr:row>46</xdr:row>
      <xdr:rowOff>119522</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15</xdr:col>
      <xdr:colOff>304800</xdr:colOff>
      <xdr:row>0</xdr:row>
      <xdr:rowOff>80962</xdr:rowOff>
    </xdr:from>
    <xdr:to>
      <xdr:col>22</xdr:col>
      <xdr:colOff>352425</xdr:colOff>
      <xdr:row>12</xdr:row>
      <xdr:rowOff>123825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66675</xdr:colOff>
      <xdr:row>13</xdr:row>
      <xdr:rowOff>0</xdr:rowOff>
    </xdr:from>
    <xdr:to>
      <xdr:col>22</xdr:col>
      <xdr:colOff>533400</xdr:colOff>
      <xdr:row>26</xdr:row>
      <xdr:rowOff>42863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27</xdr:row>
      <xdr:rowOff>0</xdr:rowOff>
    </xdr:from>
    <xdr:to>
      <xdr:col>22</xdr:col>
      <xdr:colOff>466725</xdr:colOff>
      <xdr:row>40</xdr:row>
      <xdr:rowOff>42863</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29</xdr:col>
      <xdr:colOff>441613</xdr:colOff>
      <xdr:row>6</xdr:row>
      <xdr:rowOff>179818</xdr:rowOff>
    </xdr:from>
    <xdr:to>
      <xdr:col>37</xdr:col>
      <xdr:colOff>164522</xdr:colOff>
      <xdr:row>18</xdr:row>
      <xdr:rowOff>65518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748173</xdr:colOff>
      <xdr:row>30</xdr:row>
      <xdr:rowOff>141645</xdr:rowOff>
    </xdr:from>
    <xdr:to>
      <xdr:col>29</xdr:col>
      <xdr:colOff>357955</xdr:colOff>
      <xdr:row>45</xdr:row>
      <xdr:rowOff>119522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29</xdr:col>
      <xdr:colOff>441613</xdr:colOff>
      <xdr:row>6</xdr:row>
      <xdr:rowOff>179818</xdr:rowOff>
    </xdr:from>
    <xdr:to>
      <xdr:col>37</xdr:col>
      <xdr:colOff>164522</xdr:colOff>
      <xdr:row>18</xdr:row>
      <xdr:rowOff>65518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10753</xdr:colOff>
      <xdr:row>30</xdr:row>
      <xdr:rowOff>49468</xdr:rowOff>
    </xdr:from>
    <xdr:to>
      <xdr:col>26</xdr:col>
      <xdr:colOff>434769</xdr:colOff>
      <xdr:row>45</xdr:row>
      <xdr:rowOff>27345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29</xdr:col>
      <xdr:colOff>441613</xdr:colOff>
      <xdr:row>6</xdr:row>
      <xdr:rowOff>179818</xdr:rowOff>
    </xdr:from>
    <xdr:to>
      <xdr:col>37</xdr:col>
      <xdr:colOff>164522</xdr:colOff>
      <xdr:row>18</xdr:row>
      <xdr:rowOff>65518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348737</xdr:colOff>
      <xdr:row>28</xdr:row>
      <xdr:rowOff>157008</xdr:rowOff>
    </xdr:from>
    <xdr:to>
      <xdr:col>27</xdr:col>
      <xdr:colOff>158237</xdr:colOff>
      <xdr:row>43</xdr:row>
      <xdr:rowOff>134886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29</xdr:col>
      <xdr:colOff>441613</xdr:colOff>
      <xdr:row>6</xdr:row>
      <xdr:rowOff>179818</xdr:rowOff>
    </xdr:from>
    <xdr:to>
      <xdr:col>37</xdr:col>
      <xdr:colOff>164522</xdr:colOff>
      <xdr:row>18</xdr:row>
      <xdr:rowOff>65518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287285</xdr:colOff>
      <xdr:row>27</xdr:row>
      <xdr:rowOff>218459</xdr:rowOff>
    </xdr:from>
    <xdr:to>
      <xdr:col>28</xdr:col>
      <xdr:colOff>511583</xdr:colOff>
      <xdr:row>42</xdr:row>
      <xdr:rowOff>42708</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29</xdr:col>
      <xdr:colOff>441613</xdr:colOff>
      <xdr:row>6</xdr:row>
      <xdr:rowOff>179818</xdr:rowOff>
    </xdr:from>
    <xdr:to>
      <xdr:col>37</xdr:col>
      <xdr:colOff>164522</xdr:colOff>
      <xdr:row>18</xdr:row>
      <xdr:rowOff>65518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625269</xdr:colOff>
      <xdr:row>30</xdr:row>
      <xdr:rowOff>49467</xdr:rowOff>
    </xdr:from>
    <xdr:to>
      <xdr:col>30</xdr:col>
      <xdr:colOff>511584</xdr:colOff>
      <xdr:row>45</xdr:row>
      <xdr:rowOff>27344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29</xdr:col>
      <xdr:colOff>441613</xdr:colOff>
      <xdr:row>6</xdr:row>
      <xdr:rowOff>179818</xdr:rowOff>
    </xdr:from>
    <xdr:to>
      <xdr:col>37</xdr:col>
      <xdr:colOff>164522</xdr:colOff>
      <xdr:row>18</xdr:row>
      <xdr:rowOff>65518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310331</xdr:colOff>
      <xdr:row>33</xdr:row>
      <xdr:rowOff>80193</xdr:rowOff>
    </xdr:from>
    <xdr:to>
      <xdr:col>32</xdr:col>
      <xdr:colOff>580718</xdr:colOff>
      <xdr:row>48</xdr:row>
      <xdr:rowOff>58071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29</xdr:col>
      <xdr:colOff>441613</xdr:colOff>
      <xdr:row>6</xdr:row>
      <xdr:rowOff>179818</xdr:rowOff>
    </xdr:from>
    <xdr:to>
      <xdr:col>37</xdr:col>
      <xdr:colOff>164522</xdr:colOff>
      <xdr:row>18</xdr:row>
      <xdr:rowOff>65518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287285</xdr:colOff>
      <xdr:row>36</xdr:row>
      <xdr:rowOff>18742</xdr:rowOff>
    </xdr:from>
    <xdr:to>
      <xdr:col>33</xdr:col>
      <xdr:colOff>557672</xdr:colOff>
      <xdr:row>50</xdr:row>
      <xdr:rowOff>180974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29</xdr:col>
      <xdr:colOff>441613</xdr:colOff>
      <xdr:row>6</xdr:row>
      <xdr:rowOff>179818</xdr:rowOff>
    </xdr:from>
    <xdr:to>
      <xdr:col>37</xdr:col>
      <xdr:colOff>164522</xdr:colOff>
      <xdr:row>18</xdr:row>
      <xdr:rowOff>65518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24</xdr:col>
      <xdr:colOff>594543</xdr:colOff>
      <xdr:row>33</xdr:row>
      <xdr:rowOff>126282</xdr:rowOff>
    </xdr:from>
    <xdr:to>
      <xdr:col>32</xdr:col>
      <xdr:colOff>50696</xdr:colOff>
      <xdr:row>48</xdr:row>
      <xdr:rowOff>104160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Desktop/Ball%20Lab%20technical%20work/Daintree%20Campaign%20August%202019/S.%20alba%20early%20dry%20season%20Shoot%20PV%20worksheet%20-%20C%20Brya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tocol Metadata"/>
      <sheetName val="Rep 1"/>
      <sheetName val="Rep 2"/>
      <sheetName val="Rep 3"/>
      <sheetName val="Rep 4"/>
      <sheetName val="Summary Sheet"/>
    </sheetNames>
    <sheetDataSet>
      <sheetData sheetId="0" refreshError="1"/>
      <sheetData sheetId="1">
        <row r="9">
          <cell r="F9">
            <v>-0.7</v>
          </cell>
        </row>
        <row r="28">
          <cell r="O28">
            <v>4.3105197910142259</v>
          </cell>
        </row>
        <row r="29">
          <cell r="O29">
            <v>2.5168937381384158</v>
          </cell>
        </row>
        <row r="30">
          <cell r="O30">
            <v>1.7936260528758126</v>
          </cell>
        </row>
        <row r="32">
          <cell r="O32">
            <v>0.11448007327736404</v>
          </cell>
        </row>
        <row r="33">
          <cell r="O33">
            <v>8.318097917369649E-2</v>
          </cell>
        </row>
        <row r="34">
          <cell r="O34">
            <v>0.1928946983791161</v>
          </cell>
        </row>
        <row r="36">
          <cell r="O36">
            <v>2.6267271804524479</v>
          </cell>
        </row>
        <row r="37">
          <cell r="O37">
            <v>2.292161679677577</v>
          </cell>
        </row>
        <row r="38">
          <cell r="O38">
            <v>3.3464155125021469</v>
          </cell>
        </row>
        <row r="40">
          <cell r="O40">
            <v>98.904195051507529</v>
          </cell>
        </row>
        <row r="41">
          <cell r="O41">
            <v>58.983340977780351</v>
          </cell>
        </row>
        <row r="42">
          <cell r="O42">
            <v>39.920854073727163</v>
          </cell>
        </row>
        <row r="44">
          <cell r="O44">
            <v>85.067845837327695</v>
          </cell>
        </row>
        <row r="45">
          <cell r="O45">
            <v>52.364917586112334</v>
          </cell>
        </row>
        <row r="46">
          <cell r="O46">
            <v>34.871815087586597</v>
          </cell>
        </row>
      </sheetData>
      <sheetData sheetId="2">
        <row r="9">
          <cell r="F9">
            <v>-0.12</v>
          </cell>
        </row>
        <row r="28">
          <cell r="O28">
            <v>4.3602626534354014</v>
          </cell>
        </row>
        <row r="29">
          <cell r="O29">
            <v>2.6552646803028428</v>
          </cell>
        </row>
        <row r="30">
          <cell r="O30">
            <v>1.7049979731325557</v>
          </cell>
        </row>
        <row r="32">
          <cell r="O32">
            <v>9.9968316377287522E-2</v>
          </cell>
        </row>
        <row r="33">
          <cell r="O33">
            <v>8.1600000000000061E-2</v>
          </cell>
        </row>
        <row r="34">
          <cell r="O34">
            <v>0.12834518789104363</v>
          </cell>
        </row>
        <row r="36">
          <cell r="O36">
            <v>2.2818488401182959</v>
          </cell>
        </row>
        <row r="37">
          <cell r="O37">
            <v>2.2905000000000002</v>
          </cell>
        </row>
        <row r="38">
          <cell r="O38">
            <v>2.2668508171846122</v>
          </cell>
        </row>
        <row r="40">
          <cell r="O40">
            <v>99.526136269042652</v>
          </cell>
        </row>
        <row r="41">
          <cell r="O41">
            <v>62.203003429137233</v>
          </cell>
        </row>
        <row r="42">
          <cell r="O42">
            <v>37.323132839905426</v>
          </cell>
        </row>
        <row r="44">
          <cell r="O44">
            <v>86.868087301341717</v>
          </cell>
        </row>
        <row r="45">
          <cell r="O45">
            <v>53.637138907515791</v>
          </cell>
        </row>
        <row r="46">
          <cell r="O46">
            <v>31.994878023365043</v>
          </cell>
        </row>
      </sheetData>
      <sheetData sheetId="3">
        <row r="9">
          <cell r="F9">
            <v>-0.3</v>
          </cell>
        </row>
        <row r="28">
          <cell r="O28">
            <v>6.4686897007829369</v>
          </cell>
        </row>
        <row r="29">
          <cell r="O29">
            <v>3.646968690108098</v>
          </cell>
        </row>
        <row r="30">
          <cell r="O30">
            <v>2.8217210106748438</v>
          </cell>
        </row>
        <row r="32">
          <cell r="O32">
            <v>0.16290908328747594</v>
          </cell>
        </row>
        <row r="33">
          <cell r="O33">
            <v>8.2185455865076501E-2</v>
          </cell>
        </row>
        <row r="34">
          <cell r="O34">
            <v>0.33617569942042169</v>
          </cell>
        </row>
        <row r="36">
          <cell r="O36">
            <v>2.4562883115671661</v>
          </cell>
        </row>
        <row r="37">
          <cell r="O37">
            <v>2.2910520645093833</v>
          </cell>
        </row>
        <row r="38">
          <cell r="O38">
            <v>2.8174724106485272</v>
          </cell>
        </row>
        <row r="40">
          <cell r="O40">
            <v>97.532725508925296</v>
          </cell>
        </row>
        <row r="41">
          <cell r="O41">
            <v>63.730084362938292</v>
          </cell>
        </row>
        <row r="42">
          <cell r="O42">
            <v>33.802641145987025</v>
          </cell>
        </row>
        <row r="44">
          <cell r="O44">
            <v>79.780432197452384</v>
          </cell>
        </row>
        <row r="45">
          <cell r="O45">
            <v>53.637654206409039</v>
          </cell>
        </row>
        <row r="46">
          <cell r="O46">
            <v>26.142777991043342</v>
          </cell>
        </row>
      </sheetData>
      <sheetData sheetId="4">
        <row r="9">
          <cell r="F9">
            <v>-0.14000000000000001</v>
          </cell>
        </row>
        <row r="20">
          <cell r="O20">
            <v>-0.80232384000000112</v>
          </cell>
        </row>
        <row r="28">
          <cell r="O28">
            <v>6.2510185638406419</v>
          </cell>
        </row>
        <row r="30">
          <cell r="O30">
            <v>2.4174980629623248</v>
          </cell>
        </row>
        <row r="32">
          <cell r="O32">
            <v>0.12196660545044329</v>
          </cell>
        </row>
        <row r="33">
          <cell r="O33">
            <v>8.1600000000000061E-2</v>
          </cell>
        </row>
        <row r="34">
          <cell r="O34">
            <v>0.14983714807475823</v>
          </cell>
        </row>
        <row r="36">
          <cell r="O36">
            <v>1.9278557336035089</v>
          </cell>
        </row>
        <row r="37">
          <cell r="O37">
            <v>2.2905000000000006</v>
          </cell>
        </row>
        <row r="38">
          <cell r="O38">
            <v>1.3475241948545684</v>
          </cell>
        </row>
        <row r="41">
          <cell r="O41">
            <v>71.989018329621103</v>
          </cell>
        </row>
        <row r="42">
          <cell r="O42">
            <v>26.817224040210803</v>
          </cell>
        </row>
        <row r="44">
          <cell r="O44">
            <v>81.906593277496725</v>
          </cell>
        </row>
        <row r="45">
          <cell r="O45">
            <v>61.898037758693249</v>
          </cell>
        </row>
        <row r="46">
          <cell r="O46">
            <v>20.008555518803469</v>
          </cell>
        </row>
      </sheetData>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tabSelected="1" workbookViewId="0">
      <selection activeCell="A13" sqref="A13"/>
    </sheetView>
  </sheetViews>
  <sheetFormatPr defaultRowHeight="15" x14ac:dyDescent="0.25"/>
  <cols>
    <col min="1" max="1" width="22.85546875" customWidth="1"/>
    <col min="2" max="2" width="140.140625" customWidth="1"/>
  </cols>
  <sheetData>
    <row r="1" spans="1:2" x14ac:dyDescent="0.25">
      <c r="A1" s="12" t="s">
        <v>139</v>
      </c>
      <c r="B1" s="74" t="s">
        <v>140</v>
      </c>
    </row>
    <row r="2" spans="1:2" ht="160.5" customHeight="1" x14ac:dyDescent="0.25">
      <c r="A2" s="75" t="s">
        <v>141</v>
      </c>
      <c r="B2" s="76" t="s">
        <v>207</v>
      </c>
    </row>
    <row r="3" spans="1:2" x14ac:dyDescent="0.25">
      <c r="A3" s="75" t="s">
        <v>142</v>
      </c>
      <c r="B3" s="77" t="s">
        <v>208</v>
      </c>
    </row>
    <row r="4" spans="1:2" x14ac:dyDescent="0.25">
      <c r="A4" s="75"/>
      <c r="B4" s="77" t="s">
        <v>209</v>
      </c>
    </row>
    <row r="5" spans="1:2" ht="17.25" x14ac:dyDescent="0.25">
      <c r="A5" s="75" t="s">
        <v>143</v>
      </c>
      <c r="B5" s="78" t="s">
        <v>210</v>
      </c>
    </row>
    <row r="6" spans="1:2" x14ac:dyDescent="0.25">
      <c r="A6" s="75" t="s">
        <v>144</v>
      </c>
      <c r="B6" s="77" t="s">
        <v>145</v>
      </c>
    </row>
    <row r="7" spans="1:2" x14ac:dyDescent="0.25">
      <c r="A7" s="75" t="s">
        <v>146</v>
      </c>
      <c r="B7" s="77" t="s">
        <v>147</v>
      </c>
    </row>
    <row r="8" spans="1:2" x14ac:dyDescent="0.25">
      <c r="A8" s="75" t="s">
        <v>148</v>
      </c>
      <c r="B8" s="74" t="s">
        <v>149</v>
      </c>
    </row>
    <row r="9" spans="1:2" ht="31.5" customHeight="1" x14ac:dyDescent="0.25">
      <c r="A9" s="75" t="s">
        <v>150</v>
      </c>
      <c r="B9" s="79" t="s">
        <v>211</v>
      </c>
    </row>
    <row r="10" spans="1:2" ht="16.5" customHeight="1" x14ac:dyDescent="0.25">
      <c r="A10" s="75" t="s">
        <v>151</v>
      </c>
      <c r="B10" s="74" t="s">
        <v>152</v>
      </c>
    </row>
    <row r="11" spans="1:2" x14ac:dyDescent="0.25">
      <c r="A11" s="75" t="s">
        <v>212</v>
      </c>
      <c r="B11" s="80" t="s">
        <v>213</v>
      </c>
    </row>
    <row r="12" spans="1:2" x14ac:dyDescent="0.25">
      <c r="B12" s="80" t="s">
        <v>214</v>
      </c>
    </row>
    <row r="13" spans="1:2" x14ac:dyDescent="0.25">
      <c r="B13" s="80" t="s">
        <v>215</v>
      </c>
    </row>
    <row r="14" spans="1:2" x14ac:dyDescent="0.25">
      <c r="B14" s="80" t="s">
        <v>216</v>
      </c>
    </row>
    <row r="15" spans="1:2" x14ac:dyDescent="0.25">
      <c r="B15" s="80" t="s">
        <v>217</v>
      </c>
    </row>
    <row r="16" spans="1:2" x14ac:dyDescent="0.25">
      <c r="B16" s="80" t="s">
        <v>218</v>
      </c>
    </row>
    <row r="17" spans="2:2" x14ac:dyDescent="0.25">
      <c r="B17" s="80" t="s">
        <v>219</v>
      </c>
    </row>
    <row r="18" spans="2:2" x14ac:dyDescent="0.25">
      <c r="B18" s="80" t="s">
        <v>220</v>
      </c>
    </row>
    <row r="19" spans="2:2" x14ac:dyDescent="0.25">
      <c r="B19" s="80" t="s">
        <v>221</v>
      </c>
    </row>
    <row r="20" spans="2:2" x14ac:dyDescent="0.25">
      <c r="B20" s="80" t="s">
        <v>222</v>
      </c>
    </row>
    <row r="21" spans="2:2" x14ac:dyDescent="0.25">
      <c r="B21" s="80" t="s">
        <v>223</v>
      </c>
    </row>
    <row r="22" spans="2:2" x14ac:dyDescent="0.25">
      <c r="B22" s="80" t="s">
        <v>224</v>
      </c>
    </row>
    <row r="23" spans="2:2" x14ac:dyDescent="0.25">
      <c r="B23" s="80" t="s">
        <v>225</v>
      </c>
    </row>
    <row r="24" spans="2:2" x14ac:dyDescent="0.25">
      <c r="B24" s="81" t="s">
        <v>226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15"/>
  <sheetViews>
    <sheetView workbookViewId="0">
      <selection activeCell="J32" sqref="J32"/>
    </sheetView>
  </sheetViews>
  <sheetFormatPr defaultRowHeight="15" x14ac:dyDescent="0.25"/>
  <cols>
    <col min="2" max="2" width="12.140625" customWidth="1"/>
    <col min="3" max="3" width="12.5703125" customWidth="1"/>
    <col min="4" max="4" width="12.42578125" customWidth="1"/>
    <col min="5" max="5" width="2" customWidth="1"/>
    <col min="6" max="6" width="12.42578125" customWidth="1"/>
    <col min="7" max="7" width="13" customWidth="1"/>
    <col min="8" max="8" width="13.140625" customWidth="1"/>
    <col min="9" max="9" width="1.5703125" customWidth="1"/>
    <col min="10" max="10" width="13.28515625" customWidth="1"/>
    <col min="11" max="11" width="14" customWidth="1"/>
    <col min="12" max="12" width="13" customWidth="1"/>
    <col min="13" max="13" width="1" customWidth="1"/>
    <col min="14" max="14" width="13.5703125" customWidth="1"/>
    <col min="15" max="15" width="13" customWidth="1"/>
    <col min="16" max="16" width="14.85546875" customWidth="1"/>
    <col min="17" max="17" width="0.7109375" customWidth="1"/>
    <col min="18" max="18" width="13.42578125" customWidth="1"/>
    <col min="19" max="19" width="13" customWidth="1"/>
    <col min="20" max="20" width="14.28515625" customWidth="1"/>
  </cols>
  <sheetData>
    <row r="2" spans="1:20" ht="57.75" customHeight="1" x14ac:dyDescent="0.25">
      <c r="A2" s="34" t="s">
        <v>4</v>
      </c>
      <c r="B2" s="42" t="s">
        <v>87</v>
      </c>
      <c r="C2" s="42" t="s">
        <v>88</v>
      </c>
      <c r="D2" s="42" t="s">
        <v>89</v>
      </c>
      <c r="E2" s="35"/>
      <c r="F2" s="43" t="s">
        <v>87</v>
      </c>
      <c r="G2" s="43" t="s">
        <v>88</v>
      </c>
      <c r="H2" s="43" t="s">
        <v>89</v>
      </c>
      <c r="I2" s="36"/>
      <c r="J2" s="41" t="s">
        <v>103</v>
      </c>
      <c r="K2" s="41" t="s">
        <v>90</v>
      </c>
      <c r="L2" s="41" t="s">
        <v>92</v>
      </c>
      <c r="M2" s="35"/>
      <c r="N2" s="40" t="s">
        <v>93</v>
      </c>
      <c r="O2" s="40" t="s">
        <v>96</v>
      </c>
      <c r="P2" s="40" t="s">
        <v>97</v>
      </c>
      <c r="Q2" s="35"/>
      <c r="R2" s="38" t="s">
        <v>94</v>
      </c>
      <c r="S2" s="38" t="s">
        <v>95</v>
      </c>
      <c r="T2" s="39" t="s">
        <v>98</v>
      </c>
    </row>
    <row r="3" spans="1:20" x14ac:dyDescent="0.25">
      <c r="B3" s="31" t="s">
        <v>112</v>
      </c>
      <c r="C3" s="31" t="s">
        <v>112</v>
      </c>
      <c r="D3" s="31" t="s">
        <v>112</v>
      </c>
      <c r="E3" s="32"/>
      <c r="F3" s="32" t="s">
        <v>101</v>
      </c>
      <c r="G3" s="32" t="s">
        <v>101</v>
      </c>
      <c r="H3" s="32" t="s">
        <v>101</v>
      </c>
      <c r="I3" s="32"/>
      <c r="J3" s="32" t="s">
        <v>106</v>
      </c>
      <c r="K3" s="32" t="s">
        <v>104</v>
      </c>
      <c r="L3" s="32" t="s">
        <v>105</v>
      </c>
      <c r="M3" s="22"/>
      <c r="N3" s="33" t="s">
        <v>113</v>
      </c>
      <c r="O3" s="33" t="s">
        <v>113</v>
      </c>
      <c r="P3" s="33" t="s">
        <v>113</v>
      </c>
      <c r="Q3" s="22"/>
      <c r="R3" s="33" t="s">
        <v>113</v>
      </c>
      <c r="S3" s="33" t="s">
        <v>113</v>
      </c>
      <c r="T3" s="33" t="s">
        <v>113</v>
      </c>
    </row>
    <row r="5" spans="1:20" x14ac:dyDescent="0.25">
      <c r="A5">
        <v>1</v>
      </c>
      <c r="B5" s="37">
        <f>'Late r1'!O28</f>
        <v>-4.2485317357970773</v>
      </c>
      <c r="C5" s="37">
        <f>'Late r1'!O29</f>
        <v>-3.1528224691072388</v>
      </c>
      <c r="D5" s="37">
        <f>'Late r1'!O30</f>
        <v>-1.0957092666898385</v>
      </c>
      <c r="F5" s="37">
        <f>'Late r1'!O32</f>
        <v>-7.683503341862398E-2</v>
      </c>
      <c r="G5" s="37">
        <f>'Late r1'!O33</f>
        <v>-0.171919420424925</v>
      </c>
      <c r="H5" s="37">
        <f>'Late r1'!O34</f>
        <v>-1.9076200206172095E-2</v>
      </c>
      <c r="J5" s="37">
        <f>'Late r1'!O36</f>
        <v>1.9717893011340826</v>
      </c>
      <c r="K5" s="37">
        <f>'Late r1'!O37</f>
        <v>2.6711371659631586</v>
      </c>
      <c r="L5" s="37">
        <f>'Late r1'!O38</f>
        <v>1.5633417036521913</v>
      </c>
      <c r="N5" s="37">
        <f>'Late r1'!O40</f>
        <v>100.30129349348601</v>
      </c>
      <c r="O5" s="37">
        <f>'Late r1'!O41</f>
        <v>49.010481404060336</v>
      </c>
      <c r="P5" s="37">
        <f>'Late r1'!O42</f>
        <v>51.290812089425685</v>
      </c>
      <c r="R5" s="37">
        <f>'Late r1'!O44</f>
        <v>87.3796685223314</v>
      </c>
      <c r="S5" s="37">
        <f>'Late r1'!O45</f>
        <v>38.725729497790567</v>
      </c>
      <c r="T5" s="37">
        <f>'Late r1'!O46</f>
        <v>48.653939024540847</v>
      </c>
    </row>
    <row r="6" spans="1:20" x14ac:dyDescent="0.25">
      <c r="B6" s="37"/>
      <c r="C6" s="37"/>
      <c r="D6" s="37"/>
      <c r="F6" s="37"/>
      <c r="G6" s="37"/>
      <c r="H6" s="37"/>
      <c r="J6" s="37"/>
      <c r="K6" s="37"/>
      <c r="L6" s="37"/>
      <c r="N6" s="37"/>
      <c r="O6" s="37"/>
      <c r="P6" s="37"/>
      <c r="R6" s="37"/>
      <c r="S6" s="37"/>
      <c r="T6" s="37"/>
    </row>
    <row r="7" spans="1:20" x14ac:dyDescent="0.25">
      <c r="A7">
        <v>3</v>
      </c>
      <c r="B7" s="37">
        <f>'Late r3'!O28</f>
        <v>-4.9646964646187044</v>
      </c>
      <c r="C7" s="37">
        <f>'Late r3'!O29</f>
        <v>-4.1529170965198539</v>
      </c>
      <c r="D7" s="37">
        <f>'Late r3'!O30</f>
        <v>-0.44375641797973425</v>
      </c>
      <c r="F7" s="37">
        <f>'Late r3'!O32</f>
        <v>-0.11986191126677943</v>
      </c>
      <c r="G7" s="37">
        <f>'Late r3'!O33</f>
        <v>-0.15560000000000007</v>
      </c>
      <c r="H7" s="37">
        <f>'Late r3'!O34</f>
        <v>-5.1071759875016977E-2</v>
      </c>
      <c r="J7" s="37">
        <f>'Late r3'!O36</f>
        <v>2.4227261113392067</v>
      </c>
      <c r="K7" s="37">
        <f>'Late r3'!O37</f>
        <v>2.6537000000000006</v>
      </c>
      <c r="L7" s="37">
        <f>'Late r3'!O38</f>
        <v>2.1026782373515771</v>
      </c>
      <c r="N7" s="37">
        <f>'Late r3'!O40</f>
        <v>100.30234256315114</v>
      </c>
      <c r="O7" s="37">
        <f>'Late r3'!O41</f>
        <v>63.672594238616576</v>
      </c>
      <c r="P7" s="37">
        <f>'Late r3'!O42</f>
        <v>36.62974832453456</v>
      </c>
      <c r="R7" s="37">
        <f>'Late r3'!O44</f>
        <v>87.463579917812609</v>
      </c>
      <c r="S7" s="37">
        <f>'Late r3'!O45</f>
        <v>52.825145586836157</v>
      </c>
      <c r="T7" s="37">
        <f>'Late r3'!O46</f>
        <v>34.638434330976452</v>
      </c>
    </row>
    <row r="8" spans="1:20" x14ac:dyDescent="0.25">
      <c r="A8">
        <v>4</v>
      </c>
      <c r="B8" s="37">
        <f>'Late r4'!O28</f>
        <v>-5.5905732803769004</v>
      </c>
      <c r="C8" s="37">
        <f>'Late r4'!O20</f>
        <v>0</v>
      </c>
      <c r="D8" s="37">
        <f>'Late r4'!O30</f>
        <v>-1.4654845576864417</v>
      </c>
      <c r="F8" s="37">
        <f>'Late r4'!O32</f>
        <v>-0.14642606091129659</v>
      </c>
      <c r="G8" s="37">
        <f>'Late r4'!O33</f>
        <v>-0.18730005065974975</v>
      </c>
      <c r="H8" s="37">
        <f>'Late r4'!O34</f>
        <v>-8.0188729307419687E-2</v>
      </c>
      <c r="J8" s="37">
        <f>'Late r4'!O36</f>
        <v>2.4129366171346445</v>
      </c>
      <c r="K8" s="37">
        <f>'Late r4'!O37</f>
        <v>2.6891910296990913</v>
      </c>
      <c r="L8" s="37">
        <f>'Late r4'!O38</f>
        <v>1.9793080114181991</v>
      </c>
      <c r="N8" s="37">
        <f>'Late r1'!O40</f>
        <v>100.30129349348601</v>
      </c>
      <c r="O8" s="37">
        <f>'Late r4'!O41</f>
        <v>66.008695123183657</v>
      </c>
      <c r="P8" s="37">
        <f>'Late r4'!O42</f>
        <v>32.160519516192366</v>
      </c>
      <c r="R8" s="37">
        <f>'Late r4'!O44</f>
        <v>78.21609346397122</v>
      </c>
      <c r="S8" s="37">
        <f>'Late r4'!O45</f>
        <v>49.615580635481507</v>
      </c>
      <c r="T8" s="37">
        <f>'Late r4'!O46</f>
        <v>28.600512828489716</v>
      </c>
    </row>
    <row r="9" spans="1:20" x14ac:dyDescent="0.25">
      <c r="A9">
        <v>5</v>
      </c>
      <c r="B9" s="37">
        <f>'Late r5'!O28</f>
        <v>-3.6334507640955294</v>
      </c>
      <c r="C9" s="37">
        <f>'Late r5'!O29</f>
        <v>-3.4553189433493872</v>
      </c>
      <c r="D9" s="37">
        <f>'Late r5'!O30</f>
        <v>-0.17813182074614295</v>
      </c>
      <c r="F9" s="37">
        <f>'Late r5'!O32</f>
        <v>-8.1740892812135854E-2</v>
      </c>
      <c r="G9" s="37">
        <f>'Late r5'!O33</f>
        <v>-0.15559999999999988</v>
      </c>
      <c r="H9" s="37">
        <f>'Late r5'!O34</f>
        <v>-1.7441040434731596E-2</v>
      </c>
      <c r="J9" s="37">
        <f>'Late r5'!O36</f>
        <v>2.2372692931140969</v>
      </c>
      <c r="K9" s="37">
        <f>'Late r5'!O37</f>
        <v>2.6536999999999997</v>
      </c>
      <c r="L9" s="37">
        <f>'Late r5'!O38</f>
        <v>1.8838898125776145</v>
      </c>
      <c r="N9" s="37">
        <f>'Late r1'!O40</f>
        <v>100.30129349348601</v>
      </c>
      <c r="O9" s="37">
        <f>'Late r5'!O41</f>
        <v>52.009960257402632</v>
      </c>
      <c r="P9" s="37">
        <f>'Late r5'!O42</f>
        <v>44.664865396556401</v>
      </c>
      <c r="R9" s="37">
        <f>'Late r5'!O44</f>
        <v>85.347035323995414</v>
      </c>
      <c r="S9" s="37">
        <f>'Late r5'!O45</f>
        <v>43.008790873438805</v>
      </c>
      <c r="T9" s="37">
        <f>'Late r5'!O46</f>
        <v>42.338244450556608</v>
      </c>
    </row>
    <row r="10" spans="1:20" x14ac:dyDescent="0.25">
      <c r="A10">
        <v>6</v>
      </c>
      <c r="B10" s="37">
        <f>'Late r6'!O28</f>
        <v>-4.6002075467681918</v>
      </c>
      <c r="C10" s="37">
        <f>'Late r6'!O29</f>
        <v>-4.8916735054274953</v>
      </c>
      <c r="D10" s="37">
        <f>'Late r6'!O30</f>
        <v>0.2914659586593123</v>
      </c>
      <c r="F10" s="37">
        <f>'Late r6'!O32</f>
        <v>-9.3727194920143128E-2</v>
      </c>
      <c r="G10" s="37">
        <f>'Late r6'!O33</f>
        <v>-0.18612182755900289</v>
      </c>
      <c r="H10" s="37">
        <f>'Late r6'!O34</f>
        <v>8.6457227700114866E-3</v>
      </c>
      <c r="J10" s="37">
        <f>'Late r6'!O36</f>
        <v>2.0553793421064821</v>
      </c>
      <c r="K10" s="37">
        <f>'Late r6'!O37</f>
        <v>2.7366965386803708</v>
      </c>
      <c r="L10" s="37">
        <f>'Late r6'!O38</f>
        <v>1.313234462490801</v>
      </c>
      <c r="N10" s="37">
        <f>'Late r1'!O40</f>
        <v>100.30129349348601</v>
      </c>
      <c r="O10" s="37">
        <f>'Late r6'!O41</f>
        <v>65.452349067590248</v>
      </c>
      <c r="P10" s="37">
        <f>'Late r6'!O42</f>
        <v>31.701385443104467</v>
      </c>
      <c r="R10" s="37">
        <f>'Late r6'!O44</f>
        <v>81.907105879708809</v>
      </c>
      <c r="S10" s="37">
        <f>'Late r6'!O45</f>
        <v>48.086163906834713</v>
      </c>
      <c r="T10" s="37">
        <f>'Late r6'!O46</f>
        <v>33.820941972874095</v>
      </c>
    </row>
    <row r="12" spans="1:20" x14ac:dyDescent="0.25">
      <c r="A12" t="s">
        <v>110</v>
      </c>
      <c r="B12">
        <f>AVERAGE(B5:B10)</f>
        <v>-4.6074919583312806</v>
      </c>
      <c r="C12">
        <f t="shared" ref="C12:T12" si="0">AVERAGE(C5:C10)</f>
        <v>-3.1305464028807948</v>
      </c>
      <c r="D12">
        <f t="shared" si="0"/>
        <v>-0.57832322088856902</v>
      </c>
      <c r="F12">
        <f t="shared" si="0"/>
        <v>-0.10371821866579581</v>
      </c>
      <c r="G12">
        <f t="shared" si="0"/>
        <v>-0.17130825972873551</v>
      </c>
      <c r="H12">
        <f t="shared" si="0"/>
        <v>-3.1826401410665769E-2</v>
      </c>
      <c r="J12">
        <f t="shared" si="0"/>
        <v>2.2200201329657023</v>
      </c>
      <c r="K12">
        <f t="shared" si="0"/>
        <v>2.6808849468685239</v>
      </c>
      <c r="L12">
        <f t="shared" si="0"/>
        <v>1.7684904454980768</v>
      </c>
      <c r="N12">
        <f t="shared" si="0"/>
        <v>100.30150330741904</v>
      </c>
      <c r="O12">
        <f t="shared" si="0"/>
        <v>59.230816018170685</v>
      </c>
      <c r="P12">
        <f t="shared" si="0"/>
        <v>39.289466153962692</v>
      </c>
      <c r="R12">
        <f t="shared" si="0"/>
        <v>84.062696621563887</v>
      </c>
      <c r="S12">
        <f t="shared" si="0"/>
        <v>46.452282100076346</v>
      </c>
      <c r="T12">
        <f t="shared" si="0"/>
        <v>37.610414521487542</v>
      </c>
    </row>
    <row r="13" spans="1:20" x14ac:dyDescent="0.25">
      <c r="A13" t="s">
        <v>111</v>
      </c>
      <c r="B13">
        <f>STDEV(B5:B10)/SQRT(5)</f>
        <v>0.32952281386490268</v>
      </c>
      <c r="C13">
        <f t="shared" ref="C13:T13" si="1">STDEV(C5:C10)/SQRT(5)</f>
        <v>0.83824533143034552</v>
      </c>
      <c r="D13">
        <f t="shared" si="1"/>
        <v>0.31539960018605756</v>
      </c>
      <c r="E13" t="e">
        <f t="shared" si="1"/>
        <v>#DIV/0!</v>
      </c>
      <c r="F13">
        <f t="shared" si="1"/>
        <v>1.3019423290337293E-2</v>
      </c>
      <c r="G13">
        <f t="shared" si="1"/>
        <v>6.9607885108319374E-3</v>
      </c>
      <c r="H13">
        <f t="shared" si="1"/>
        <v>1.5357079245210788E-2</v>
      </c>
      <c r="I13" t="e">
        <f t="shared" si="1"/>
        <v>#DIV/0!</v>
      </c>
      <c r="J13">
        <f t="shared" si="1"/>
        <v>9.1468342322592044E-2</v>
      </c>
      <c r="K13">
        <f t="shared" si="1"/>
        <v>1.5422364762947961E-2</v>
      </c>
      <c r="L13">
        <f t="shared" si="1"/>
        <v>0.14470427716408882</v>
      </c>
      <c r="M13" t="e">
        <f t="shared" si="1"/>
        <v>#DIV/0!</v>
      </c>
      <c r="N13">
        <f t="shared" si="1"/>
        <v>2.0981393302577087E-4</v>
      </c>
      <c r="O13">
        <f t="shared" si="1"/>
        <v>3.6122881249217715</v>
      </c>
      <c r="P13">
        <f t="shared" si="1"/>
        <v>3.7973817904629033</v>
      </c>
      <c r="Q13" t="e">
        <f t="shared" si="1"/>
        <v>#DIV/0!</v>
      </c>
      <c r="R13">
        <f t="shared" si="1"/>
        <v>1.7754883217933621</v>
      </c>
      <c r="S13">
        <f t="shared" si="1"/>
        <v>2.4984661629412832</v>
      </c>
      <c r="T13">
        <f t="shared" si="1"/>
        <v>3.5262083478909192</v>
      </c>
    </row>
    <row r="15" spans="1:20" x14ac:dyDescent="0.25">
      <c r="A15" t="s">
        <v>115</v>
      </c>
      <c r="B15" t="s">
        <v>114</v>
      </c>
      <c r="D15">
        <f>_xlfn.T.TEST(C5:C10,D5:D10,1,2)</f>
        <v>1.0744859635112812E-2</v>
      </c>
      <c r="F15" t="s">
        <v>115</v>
      </c>
      <c r="G15" t="s">
        <v>114</v>
      </c>
      <c r="H15">
        <f>_xlfn.T.TEST(H5:H10,G5:G10,1,2)</f>
        <v>1.7143238846587878E-5</v>
      </c>
      <c r="I15" t="e">
        <f>_xlfn.T.TEST(H5:H10,I5:I10,1,2)</f>
        <v>#DIV/0!</v>
      </c>
      <c r="J15" t="s">
        <v>115</v>
      </c>
      <c r="K15" t="s">
        <v>114</v>
      </c>
      <c r="L15">
        <f>_xlfn.T.TEST(L5:L10,K5:K10,1,2)</f>
        <v>1.202595138613938E-4</v>
      </c>
      <c r="N15" t="s">
        <v>115</v>
      </c>
      <c r="O15" t="s">
        <v>114</v>
      </c>
      <c r="P15">
        <f>_xlfn.T.TEST(P5:P10,O5:O10,1,2)</f>
        <v>2.6003836997638787E-3</v>
      </c>
      <c r="R15" t="s">
        <v>115</v>
      </c>
      <c r="S15" t="s">
        <v>114</v>
      </c>
      <c r="T15">
        <f>_xlfn.T.TEST(T5:T10,S5:S10,1,2)</f>
        <v>3.7488663206912749E-2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6"/>
  <sheetViews>
    <sheetView topLeftCell="A5" zoomScale="106" zoomScaleNormal="106" workbookViewId="0">
      <selection activeCell="E28" sqref="E28"/>
    </sheetView>
  </sheetViews>
  <sheetFormatPr defaultRowHeight="15" x14ac:dyDescent="0.25"/>
  <cols>
    <col min="1" max="1" width="11.7109375" customWidth="1"/>
    <col min="4" max="4" width="9.28515625" customWidth="1"/>
    <col min="5" max="5" width="30.5703125" customWidth="1"/>
    <col min="6" max="6" width="12.5703125" customWidth="1"/>
    <col min="7" max="7" width="16.140625" customWidth="1"/>
    <col min="8" max="8" width="16.85546875" customWidth="1"/>
    <col min="9" max="9" width="16.28515625" customWidth="1"/>
    <col min="10" max="10" width="18" customWidth="1"/>
    <col min="11" max="11" width="11.7109375" customWidth="1"/>
    <col min="12" max="12" width="12.7109375" customWidth="1"/>
    <col min="13" max="13" width="12.5703125" customWidth="1"/>
    <col min="14" max="14" width="14.7109375" customWidth="1"/>
    <col min="16" max="16" width="19.140625" bestFit="1" customWidth="1"/>
    <col min="17" max="18" width="17.7109375" customWidth="1"/>
    <col min="19" max="19" width="13.28515625" customWidth="1"/>
    <col min="20" max="20" width="13.5703125" customWidth="1"/>
    <col min="21" max="21" width="19.5703125" customWidth="1"/>
    <col min="22" max="22" width="15.42578125" customWidth="1"/>
    <col min="23" max="23" width="13.42578125" customWidth="1"/>
    <col min="24" max="24" width="12" customWidth="1"/>
    <col min="25" max="25" width="12.140625" customWidth="1"/>
  </cols>
  <sheetData>
    <row r="1" spans="1:28" x14ac:dyDescent="0.25">
      <c r="E1" s="69" t="s">
        <v>42</v>
      </c>
      <c r="F1" s="69"/>
      <c r="G1" t="s">
        <v>20</v>
      </c>
      <c r="K1" s="70" t="s">
        <v>19</v>
      </c>
      <c r="L1" s="70"/>
      <c r="M1" s="70"/>
    </row>
    <row r="2" spans="1:28" x14ac:dyDescent="0.25">
      <c r="C2" s="63"/>
      <c r="D2" s="63"/>
      <c r="E2" t="s">
        <v>42</v>
      </c>
      <c r="F2">
        <v>8.1600000000000006E-2</v>
      </c>
      <c r="G2" t="s">
        <v>21</v>
      </c>
      <c r="K2" s="70"/>
      <c r="L2" s="70"/>
      <c r="M2" s="70"/>
    </row>
    <row r="3" spans="1:28" x14ac:dyDescent="0.25">
      <c r="E3" t="s">
        <v>18</v>
      </c>
      <c r="F3">
        <v>0.15359999999999999</v>
      </c>
      <c r="G3" t="s">
        <v>21</v>
      </c>
      <c r="K3" s="70"/>
      <c r="L3" s="70"/>
      <c r="M3" s="70"/>
    </row>
    <row r="4" spans="1:28" x14ac:dyDescent="0.25">
      <c r="E4" t="s">
        <v>29</v>
      </c>
      <c r="F4">
        <v>2.2905000000000002</v>
      </c>
    </row>
    <row r="5" spans="1:28" x14ac:dyDescent="0.25">
      <c r="E5" t="s">
        <v>124</v>
      </c>
      <c r="F5">
        <f>(INTERCEPT(Q9:Q13,F9:F13)/L9)</f>
        <v>2.6558298958749886</v>
      </c>
    </row>
    <row r="7" spans="1:28" x14ac:dyDescent="0.25">
      <c r="D7" s="30" t="s">
        <v>25</v>
      </c>
      <c r="E7" s="30"/>
      <c r="F7" s="30"/>
      <c r="G7" s="64" t="s">
        <v>26</v>
      </c>
      <c r="H7" s="64"/>
      <c r="I7" s="65" t="s">
        <v>13</v>
      </c>
      <c r="J7" s="65"/>
      <c r="K7" s="65"/>
      <c r="L7" s="65"/>
      <c r="M7" s="65"/>
      <c r="N7" s="65"/>
      <c r="O7" s="65"/>
      <c r="P7" s="65"/>
      <c r="Q7" s="65"/>
      <c r="R7" s="65"/>
      <c r="S7" s="65"/>
      <c r="T7" s="65"/>
      <c r="U7" s="5"/>
      <c r="V7" s="5"/>
      <c r="W7" s="66" t="s">
        <v>32</v>
      </c>
      <c r="X7" s="66"/>
      <c r="Y7" s="66"/>
      <c r="Z7" s="66"/>
      <c r="AA7" s="66"/>
      <c r="AB7" s="66"/>
    </row>
    <row r="8" spans="1:28" ht="63" customHeight="1" x14ac:dyDescent="0.25">
      <c r="A8" s="3" t="s">
        <v>3</v>
      </c>
      <c r="B8" s="3" t="s">
        <v>4</v>
      </c>
      <c r="C8" s="3" t="s">
        <v>5</v>
      </c>
      <c r="D8" s="3" t="s">
        <v>6</v>
      </c>
      <c r="E8" s="3" t="s">
        <v>7</v>
      </c>
      <c r="F8" s="4" t="s">
        <v>9</v>
      </c>
      <c r="G8" s="4" t="s">
        <v>14</v>
      </c>
      <c r="H8" s="4" t="s">
        <v>11</v>
      </c>
      <c r="I8" s="4" t="s">
        <v>23</v>
      </c>
      <c r="J8" s="4" t="s">
        <v>10</v>
      </c>
      <c r="K8" s="4" t="s">
        <v>12</v>
      </c>
      <c r="L8" s="4" t="s">
        <v>15</v>
      </c>
      <c r="M8" s="4" t="s">
        <v>24</v>
      </c>
      <c r="N8" s="4" t="s">
        <v>44</v>
      </c>
      <c r="O8" s="4" t="s">
        <v>16</v>
      </c>
      <c r="P8" s="4" t="s">
        <v>22</v>
      </c>
      <c r="Q8" s="4" t="s">
        <v>28</v>
      </c>
      <c r="R8" s="4" t="s">
        <v>117</v>
      </c>
      <c r="S8" s="4" t="s">
        <v>27</v>
      </c>
      <c r="T8" s="4" t="s">
        <v>30</v>
      </c>
      <c r="U8" s="4" t="s">
        <v>129</v>
      </c>
      <c r="V8" s="4" t="s">
        <v>33</v>
      </c>
      <c r="W8" s="4" t="s">
        <v>34</v>
      </c>
      <c r="X8" s="4" t="s">
        <v>31</v>
      </c>
      <c r="Y8" s="4" t="s">
        <v>35</v>
      </c>
      <c r="Z8" s="4" t="s">
        <v>36</v>
      </c>
      <c r="AA8" s="4" t="s">
        <v>37</v>
      </c>
    </row>
    <row r="9" spans="1:28" x14ac:dyDescent="0.25">
      <c r="A9" s="1" t="s">
        <v>8</v>
      </c>
      <c r="B9">
        <v>1</v>
      </c>
      <c r="C9">
        <v>0</v>
      </c>
      <c r="D9">
        <v>249.2</v>
      </c>
      <c r="E9">
        <v>0</v>
      </c>
      <c r="F9" s="44">
        <v>-0.7</v>
      </c>
      <c r="I9" s="19">
        <f>D9-E9</f>
        <v>249.2</v>
      </c>
      <c r="J9">
        <f>SUM(G9:G21)</f>
        <v>47.680587699999997</v>
      </c>
      <c r="K9">
        <f>SUM(H9:H21)</f>
        <v>22.439699999999998</v>
      </c>
      <c r="L9">
        <f>SUM(J9:K9)</f>
        <v>70.120287699999992</v>
      </c>
      <c r="N9">
        <v>0</v>
      </c>
      <c r="Q9">
        <f>D9-L9</f>
        <v>179.07971229999998</v>
      </c>
      <c r="R9">
        <f>J9*$F$4</f>
        <v>109.21238612685001</v>
      </c>
      <c r="S9">
        <f>($F$4*J9)+($F$2*J9*F9)</f>
        <v>106.488870957426</v>
      </c>
      <c r="T9">
        <f>Q9-S9</f>
        <v>72.590841342573981</v>
      </c>
      <c r="U9">
        <f>L9*$F$5</f>
        <v>186.22755638101523</v>
      </c>
      <c r="V9">
        <f>Q9/L9</f>
        <v>2.5538930054903357</v>
      </c>
      <c r="W9">
        <f>S9/J9</f>
        <v>2.2333800000000004</v>
      </c>
      <c r="X9">
        <f>T9/K9</f>
        <v>3.2349292255499846</v>
      </c>
      <c r="Y9">
        <f>Q9/U9*100</f>
        <v>96.161768848864128</v>
      </c>
      <c r="Z9">
        <f>S9/(U9)*100</f>
        <v>57.182123326342428</v>
      </c>
      <c r="AA9">
        <f>T9/(U9)*100</f>
        <v>38.9796455225217</v>
      </c>
    </row>
    <row r="10" spans="1:28" x14ac:dyDescent="0.25">
      <c r="A10" s="1" t="s">
        <v>8</v>
      </c>
      <c r="B10">
        <v>1</v>
      </c>
      <c r="C10">
        <v>1</v>
      </c>
      <c r="D10">
        <v>246.71</v>
      </c>
      <c r="E10">
        <v>3.2240000000000002</v>
      </c>
      <c r="F10" s="44">
        <v>-0.875</v>
      </c>
      <c r="G10">
        <v>0.81340000000000001</v>
      </c>
      <c r="I10" s="19">
        <f t="shared" ref="I10:I20" si="0">D10-E10</f>
        <v>243.48600000000002</v>
      </c>
      <c r="J10">
        <f>SUM(G10:G21)</f>
        <v>47.680587699999997</v>
      </c>
      <c r="K10">
        <f t="shared" ref="K10:K11" si="1">SUM(H10:H22)</f>
        <v>22.439699999999998</v>
      </c>
      <c r="L10">
        <f>SUM(J10:K10)</f>
        <v>70.120287699999992</v>
      </c>
      <c r="M10">
        <f>I9-D10</f>
        <v>2.4899999999999807</v>
      </c>
      <c r="N10">
        <f>F10-F9</f>
        <v>-0.17500000000000004</v>
      </c>
      <c r="O10">
        <f>N10*$F$2*J10</f>
        <v>-0.68087879235600013</v>
      </c>
      <c r="P10">
        <f>M10-O10</f>
        <v>3.1708787923559809</v>
      </c>
      <c r="Q10">
        <f t="shared" ref="Q10:Q21" si="2">D10-L10</f>
        <v>176.58971230000003</v>
      </c>
      <c r="R10">
        <f t="shared" ref="R10:R21" si="3">J10*$F$4</f>
        <v>109.21238612685001</v>
      </c>
      <c r="S10">
        <f t="shared" ref="S10:S12" si="4">($F$4*J10)+($F$2*J10*F10)</f>
        <v>105.80799216507</v>
      </c>
      <c r="T10">
        <f t="shared" ref="T10:T21" si="5">Q10-S10</f>
        <v>70.781720134930026</v>
      </c>
      <c r="U10">
        <f t="shared" ref="U10:U21" si="6">L10*$F$5</f>
        <v>186.22755638101523</v>
      </c>
      <c r="V10">
        <f t="shared" ref="V10:V18" si="7">Q10/L10</f>
        <v>2.5183825978512071</v>
      </c>
      <c r="W10">
        <f t="shared" ref="W10:X21" si="8">S10/J10</f>
        <v>2.2191000000000001</v>
      </c>
      <c r="X10">
        <f t="shared" si="8"/>
        <v>3.1543077730508888</v>
      </c>
      <c r="Y10">
        <f t="shared" ref="Y10:Y21" si="9">Q10/U10*100</f>
        <v>94.824694976238362</v>
      </c>
      <c r="Z10">
        <f t="shared" ref="Z10:Z21" si="10">S10/(U10)*100</f>
        <v>56.816506762613827</v>
      </c>
      <c r="AA10">
        <f t="shared" ref="AA10:AA21" si="11">T10/(U10)*100</f>
        <v>38.008188213624535</v>
      </c>
    </row>
    <row r="11" spans="1:28" x14ac:dyDescent="0.25">
      <c r="A11" s="1" t="s">
        <v>8</v>
      </c>
      <c r="B11">
        <v>1</v>
      </c>
      <c r="C11">
        <v>2</v>
      </c>
      <c r="D11">
        <v>239.27</v>
      </c>
      <c r="E11">
        <v>2.1993999999999998</v>
      </c>
      <c r="F11" s="44">
        <v>-1.45</v>
      </c>
      <c r="G11">
        <v>0.57279999999999998</v>
      </c>
      <c r="H11">
        <v>4.3400000000000001E-2</v>
      </c>
      <c r="I11" s="19">
        <f t="shared" si="0"/>
        <v>237.07060000000001</v>
      </c>
      <c r="J11">
        <f>SUM(G11:G21)</f>
        <v>46.867187699999995</v>
      </c>
      <c r="K11">
        <f t="shared" si="1"/>
        <v>22.439699999999998</v>
      </c>
      <c r="L11">
        <f t="shared" ref="L11:L18" si="12">SUM(J11:K11)</f>
        <v>69.30688769999999</v>
      </c>
      <c r="M11">
        <f>I10-D11</f>
        <v>4.2160000000000082</v>
      </c>
      <c r="N11">
        <f t="shared" ref="N11:N21" si="13">F11-F10</f>
        <v>-0.57499999999999996</v>
      </c>
      <c r="O11">
        <f t="shared" ref="O11:O13" si="14">N11*$F$2*J11</f>
        <v>-2.1990084468839997</v>
      </c>
      <c r="P11">
        <f t="shared" ref="P11:P21" si="15">M11-O11</f>
        <v>6.4150084468840074</v>
      </c>
      <c r="Q11">
        <f t="shared" si="2"/>
        <v>169.96311230000003</v>
      </c>
      <c r="R11">
        <f t="shared" si="3"/>
        <v>107.34929342685</v>
      </c>
      <c r="S11">
        <f t="shared" si="4"/>
        <v>101.80396777818599</v>
      </c>
      <c r="T11">
        <f t="shared" si="5"/>
        <v>68.159144521814042</v>
      </c>
      <c r="U11">
        <f t="shared" si="6"/>
        <v>184.0673043437105</v>
      </c>
      <c r="V11">
        <f t="shared" si="7"/>
        <v>2.4523264272910072</v>
      </c>
      <c r="W11">
        <f t="shared" si="8"/>
        <v>2.17218</v>
      </c>
      <c r="X11">
        <f t="shared" si="8"/>
        <v>3.0374356395947384</v>
      </c>
      <c r="Y11">
        <f t="shared" si="9"/>
        <v>92.337481067591682</v>
      </c>
      <c r="Z11">
        <f t="shared" si="10"/>
        <v>55.308012545284278</v>
      </c>
      <c r="AA11">
        <f t="shared" si="11"/>
        <v>37.029468522307404</v>
      </c>
    </row>
    <row r="12" spans="1:28" x14ac:dyDescent="0.25">
      <c r="A12" s="1" t="s">
        <v>8</v>
      </c>
      <c r="B12">
        <v>1</v>
      </c>
      <c r="C12">
        <v>3</v>
      </c>
      <c r="D12">
        <v>233.81</v>
      </c>
      <c r="E12">
        <v>2.9142999999999999</v>
      </c>
      <c r="F12" s="44">
        <v>-2.13</v>
      </c>
      <c r="G12">
        <v>0.7077</v>
      </c>
      <c r="I12" s="19">
        <f t="shared" si="0"/>
        <v>230.89570000000001</v>
      </c>
      <c r="J12">
        <f>SUM(G12:G21)</f>
        <v>46.294387700000001</v>
      </c>
      <c r="K12">
        <f>H$21</f>
        <v>22.3963</v>
      </c>
      <c r="L12">
        <f t="shared" si="12"/>
        <v>68.690687699999998</v>
      </c>
      <c r="M12">
        <f>I11-D12</f>
        <v>3.2606000000000108</v>
      </c>
      <c r="N12">
        <f t="shared" si="13"/>
        <v>-0.67999999999999994</v>
      </c>
      <c r="O12">
        <f t="shared" si="14"/>
        <v>-2.5687829846976</v>
      </c>
      <c r="P12">
        <f t="shared" si="15"/>
        <v>5.8293829846976113</v>
      </c>
      <c r="Q12">
        <f t="shared" si="2"/>
        <v>165.11931229999999</v>
      </c>
      <c r="R12">
        <f t="shared" si="3"/>
        <v>106.03729502685002</v>
      </c>
      <c r="S12">
        <f t="shared" si="4"/>
        <v>97.990960089488425</v>
      </c>
      <c r="T12">
        <f t="shared" si="5"/>
        <v>67.128352210511565</v>
      </c>
      <c r="U12">
        <f t="shared" si="6"/>
        <v>182.43078196187236</v>
      </c>
      <c r="V12">
        <f t="shared" si="7"/>
        <v>2.4038092764647048</v>
      </c>
      <c r="W12">
        <f t="shared" si="8"/>
        <v>2.1166920000000005</v>
      </c>
      <c r="X12">
        <f t="shared" si="8"/>
        <v>2.997296527127765</v>
      </c>
      <c r="Y12">
        <f t="shared" si="9"/>
        <v>90.510664112874096</v>
      </c>
      <c r="Z12">
        <f t="shared" si="10"/>
        <v>53.714049260594813</v>
      </c>
      <c r="AA12">
        <f t="shared" si="11"/>
        <v>36.796614852279284</v>
      </c>
    </row>
    <row r="13" spans="1:28" x14ac:dyDescent="0.25">
      <c r="A13" s="1" t="s">
        <v>8</v>
      </c>
      <c r="B13">
        <v>1</v>
      </c>
      <c r="C13">
        <v>4</v>
      </c>
      <c r="D13">
        <v>225.49</v>
      </c>
      <c r="E13">
        <v>2.1032999999999999</v>
      </c>
      <c r="F13" s="44">
        <v>-2.605</v>
      </c>
      <c r="G13">
        <f>E13*0.269</f>
        <v>0.5657877</v>
      </c>
      <c r="I13" s="19">
        <f t="shared" si="0"/>
        <v>223.38670000000002</v>
      </c>
      <c r="J13">
        <f>SUM(G13:G21)</f>
        <v>45.586687699999999</v>
      </c>
      <c r="K13">
        <f t="shared" ref="K13:K21" si="16">H$21</f>
        <v>22.3963</v>
      </c>
      <c r="L13">
        <f t="shared" si="12"/>
        <v>67.982987699999995</v>
      </c>
      <c r="M13">
        <f>I12-D13</f>
        <v>5.405699999999996</v>
      </c>
      <c r="N13">
        <f t="shared" si="13"/>
        <v>-0.47500000000000009</v>
      </c>
      <c r="O13">
        <f t="shared" si="14"/>
        <v>-1.7669400152520005</v>
      </c>
      <c r="P13">
        <f t="shared" si="15"/>
        <v>7.1726400152519965</v>
      </c>
      <c r="Q13">
        <f t="shared" si="2"/>
        <v>157.50701230000001</v>
      </c>
      <c r="R13">
        <f t="shared" si="3"/>
        <v>104.41630817685001</v>
      </c>
      <c r="S13">
        <f>($F$4*J13)-(2.55*$F$2*J13)-($F$3*((ABS(F13)-2.55)*J13))</f>
        <v>94.545513862544411</v>
      </c>
      <c r="T13">
        <f t="shared" si="5"/>
        <v>62.961498437455603</v>
      </c>
      <c r="U13">
        <f t="shared" si="6"/>
        <v>180.55125114456163</v>
      </c>
      <c r="V13">
        <f t="shared" si="7"/>
        <v>2.3168592265326406</v>
      </c>
      <c r="W13">
        <f t="shared" si="8"/>
        <v>2.0739720000000004</v>
      </c>
      <c r="X13">
        <f t="shared" si="8"/>
        <v>2.8112455377654166</v>
      </c>
      <c r="Y13">
        <f t="shared" si="9"/>
        <v>87.236732673698938</v>
      </c>
      <c r="Z13">
        <f t="shared" si="10"/>
        <v>52.364917586112334</v>
      </c>
      <c r="AA13">
        <f t="shared" si="11"/>
        <v>34.871815087586597</v>
      </c>
    </row>
    <row r="14" spans="1:28" x14ac:dyDescent="0.25">
      <c r="A14" s="1" t="s">
        <v>8</v>
      </c>
      <c r="B14">
        <v>1</v>
      </c>
      <c r="C14">
        <v>5</v>
      </c>
      <c r="D14">
        <v>219.73</v>
      </c>
      <c r="E14">
        <v>2.8898999999999999</v>
      </c>
      <c r="F14" s="47">
        <v>-2.8049999999999997</v>
      </c>
      <c r="G14">
        <v>0.78380000000000005</v>
      </c>
      <c r="I14" s="19">
        <f t="shared" si="0"/>
        <v>216.84009999999998</v>
      </c>
      <c r="J14">
        <f>SUM(G14:G21)</f>
        <v>45.020899999999997</v>
      </c>
      <c r="K14">
        <f t="shared" si="16"/>
        <v>22.3963</v>
      </c>
      <c r="L14">
        <f t="shared" si="12"/>
        <v>67.417199999999994</v>
      </c>
      <c r="M14">
        <f t="shared" ref="M14:M21" si="17">I13-D14</f>
        <v>3.6567000000000291</v>
      </c>
      <c r="N14">
        <f t="shared" si="13"/>
        <v>-0.19999999999999973</v>
      </c>
      <c r="O14">
        <f>N14*$F$3*J14</f>
        <v>-1.3830420479999979</v>
      </c>
      <c r="P14">
        <f t="shared" si="15"/>
        <v>5.0397420480000275</v>
      </c>
      <c r="Q14">
        <f t="shared" si="2"/>
        <v>152.31279999999998</v>
      </c>
      <c r="R14">
        <f t="shared" si="3"/>
        <v>103.12037145000001</v>
      </c>
      <c r="S14">
        <f>($F$4*J14)-(2.55*$F$2*J14)-($F$3*((ABS(F14)-2.55)*J14))</f>
        <v>91.989043966800011</v>
      </c>
      <c r="T14">
        <f t="shared" si="5"/>
        <v>60.32375603319997</v>
      </c>
      <c r="U14">
        <f t="shared" si="6"/>
        <v>179.04861525618327</v>
      </c>
      <c r="V14">
        <f t="shared" si="7"/>
        <v>2.2592572815245959</v>
      </c>
      <c r="W14">
        <f t="shared" si="8"/>
        <v>2.0432520000000003</v>
      </c>
      <c r="X14">
        <f t="shared" si="8"/>
        <v>2.6934697263923044</v>
      </c>
      <c r="Y14">
        <f t="shared" si="9"/>
        <v>85.067845837327695</v>
      </c>
      <c r="Z14">
        <f t="shared" si="10"/>
        <v>51.376573806606565</v>
      </c>
      <c r="AA14">
        <f t="shared" si="11"/>
        <v>33.691272030721137</v>
      </c>
    </row>
    <row r="15" spans="1:28" x14ac:dyDescent="0.25">
      <c r="A15" s="1" t="s">
        <v>8</v>
      </c>
      <c r="B15">
        <v>1</v>
      </c>
      <c r="C15">
        <v>6</v>
      </c>
      <c r="D15">
        <v>213.89</v>
      </c>
      <c r="E15">
        <v>2.5211000000000001</v>
      </c>
      <c r="F15" s="47">
        <v>-3.0599999999999996</v>
      </c>
      <c r="G15">
        <v>0.62209999999999999</v>
      </c>
      <c r="I15" s="19">
        <f t="shared" si="0"/>
        <v>211.3689</v>
      </c>
      <c r="J15">
        <f>SUM(G15:G21)</f>
        <v>44.237099999999998</v>
      </c>
      <c r="K15">
        <f t="shared" si="16"/>
        <v>22.3963</v>
      </c>
      <c r="L15">
        <f t="shared" si="12"/>
        <v>66.633399999999995</v>
      </c>
      <c r="M15">
        <f t="shared" si="17"/>
        <v>2.950099999999992</v>
      </c>
      <c r="N15">
        <f t="shared" si="13"/>
        <v>-0.25499999999999989</v>
      </c>
      <c r="O15">
        <f t="shared" ref="O15:O20" si="18">N15*$F$3*J15</f>
        <v>-1.7326787327999991</v>
      </c>
      <c r="P15">
        <f t="shared" si="15"/>
        <v>4.6827787327999912</v>
      </c>
      <c r="Q15">
        <f t="shared" si="2"/>
        <v>147.25659999999999</v>
      </c>
      <c r="R15">
        <f t="shared" si="3"/>
        <v>101.32507755</v>
      </c>
      <c r="S15">
        <f t="shared" ref="S15:S21" si="19">($F$4*J15)-(2.55*$F$2*J15)-($F$3*((ABS(F15)-2.55)*J15))</f>
        <v>88.654864316400008</v>
      </c>
      <c r="T15">
        <f t="shared" si="5"/>
        <v>58.601735683599983</v>
      </c>
      <c r="U15">
        <f t="shared" si="6"/>
        <v>176.96697578379644</v>
      </c>
      <c r="V15">
        <f t="shared" si="7"/>
        <v>2.2099517659311996</v>
      </c>
      <c r="W15">
        <f t="shared" si="8"/>
        <v>2.0040840000000002</v>
      </c>
      <c r="X15">
        <f t="shared" si="8"/>
        <v>2.6165811175774563</v>
      </c>
      <c r="Y15">
        <f t="shared" si="9"/>
        <v>83.211344573072139</v>
      </c>
      <c r="Z15">
        <f t="shared" si="10"/>
        <v>50.096840907035201</v>
      </c>
      <c r="AA15">
        <f t="shared" si="11"/>
        <v>33.114503666036946</v>
      </c>
    </row>
    <row r="16" spans="1:28" x14ac:dyDescent="0.25">
      <c r="A16" s="1" t="s">
        <v>8</v>
      </c>
      <c r="B16">
        <v>1</v>
      </c>
      <c r="C16">
        <v>7</v>
      </c>
      <c r="D16">
        <v>205.5</v>
      </c>
      <c r="E16">
        <v>2.5539000000000001</v>
      </c>
      <c r="F16" s="47">
        <v>-3.17</v>
      </c>
      <c r="G16">
        <v>0.87280000000000002</v>
      </c>
      <c r="I16" s="19">
        <f t="shared" si="0"/>
        <v>202.9461</v>
      </c>
      <c r="J16">
        <f>SUM(G16:G21)</f>
        <v>43.614999999999995</v>
      </c>
      <c r="K16">
        <f t="shared" si="16"/>
        <v>22.3963</v>
      </c>
      <c r="L16">
        <f t="shared" si="12"/>
        <v>66.011299999999991</v>
      </c>
      <c r="M16">
        <f t="shared" si="17"/>
        <v>5.8688999999999965</v>
      </c>
      <c r="N16">
        <f t="shared" si="13"/>
        <v>-0.11000000000000032</v>
      </c>
      <c r="O16">
        <f t="shared" si="18"/>
        <v>-0.73691904000000197</v>
      </c>
      <c r="P16">
        <f t="shared" si="15"/>
        <v>6.6058190399999983</v>
      </c>
      <c r="Q16">
        <f t="shared" si="2"/>
        <v>139.48869999999999</v>
      </c>
      <c r="R16">
        <f t="shared" si="3"/>
        <v>99.900157499999992</v>
      </c>
      <c r="S16">
        <f t="shared" si="19"/>
        <v>86.671204619999997</v>
      </c>
      <c r="T16">
        <f t="shared" si="5"/>
        <v>52.817495379999997</v>
      </c>
      <c r="U16">
        <f t="shared" si="6"/>
        <v>175.31478400557262</v>
      </c>
      <c r="V16">
        <f t="shared" si="7"/>
        <v>2.1131033626060995</v>
      </c>
      <c r="W16">
        <f t="shared" si="8"/>
        <v>1.9871880000000002</v>
      </c>
      <c r="X16">
        <f t="shared" si="8"/>
        <v>2.3583134437384743</v>
      </c>
      <c r="Y16">
        <f t="shared" si="9"/>
        <v>79.564710295947521</v>
      </c>
      <c r="Z16">
        <f t="shared" si="10"/>
        <v>49.437476201234141</v>
      </c>
      <c r="AA16">
        <f t="shared" si="11"/>
        <v>30.127234094713383</v>
      </c>
    </row>
    <row r="17" spans="1:27" x14ac:dyDescent="0.25">
      <c r="A17" s="1" t="s">
        <v>8</v>
      </c>
      <c r="B17">
        <v>1</v>
      </c>
      <c r="C17">
        <v>8</v>
      </c>
      <c r="D17">
        <v>196.33</v>
      </c>
      <c r="E17">
        <v>3.0724</v>
      </c>
      <c r="F17" s="47">
        <v>-3.375</v>
      </c>
      <c r="G17">
        <v>0.92400000000000004</v>
      </c>
      <c r="I17" s="19">
        <f t="shared" si="0"/>
        <v>193.25760000000002</v>
      </c>
      <c r="J17">
        <f>SUM(G17:G21)</f>
        <v>42.742199999999997</v>
      </c>
      <c r="K17">
        <f t="shared" si="16"/>
        <v>22.3963</v>
      </c>
      <c r="L17">
        <f t="shared" si="12"/>
        <v>65.138499999999993</v>
      </c>
      <c r="M17">
        <f t="shared" si="17"/>
        <v>6.6160999999999888</v>
      </c>
      <c r="N17">
        <f t="shared" si="13"/>
        <v>-0.20500000000000007</v>
      </c>
      <c r="O17">
        <f t="shared" si="18"/>
        <v>-1.3458663936000004</v>
      </c>
      <c r="P17">
        <f t="shared" si="15"/>
        <v>7.9619663935999894</v>
      </c>
      <c r="Q17">
        <f t="shared" si="2"/>
        <v>131.19150000000002</v>
      </c>
      <c r="R17">
        <f t="shared" si="3"/>
        <v>97.901009099999996</v>
      </c>
      <c r="S17">
        <f t="shared" si="19"/>
        <v>83.590920539999985</v>
      </c>
      <c r="T17">
        <f t="shared" si="5"/>
        <v>47.600579460000034</v>
      </c>
      <c r="U17">
        <f t="shared" si="6"/>
        <v>172.99677567245294</v>
      </c>
      <c r="V17">
        <f t="shared" si="7"/>
        <v>2.0140393162261954</v>
      </c>
      <c r="W17">
        <f t="shared" si="8"/>
        <v>1.9556999999999998</v>
      </c>
      <c r="X17">
        <f t="shared" si="8"/>
        <v>2.1253769354759506</v>
      </c>
      <c r="Y17">
        <f t="shared" si="9"/>
        <v>75.834650380070784</v>
      </c>
      <c r="Z17">
        <f t="shared" si="10"/>
        <v>48.319351742294089</v>
      </c>
      <c r="AA17">
        <f t="shared" si="11"/>
        <v>27.515298637776688</v>
      </c>
    </row>
    <row r="18" spans="1:27" x14ac:dyDescent="0.25">
      <c r="A18" s="1" t="s">
        <v>8</v>
      </c>
      <c r="B18">
        <v>1</v>
      </c>
      <c r="C18">
        <v>9</v>
      </c>
      <c r="D18">
        <v>184.96</v>
      </c>
      <c r="E18">
        <v>3.5764</v>
      </c>
      <c r="F18" s="47">
        <v>-3.71</v>
      </c>
      <c r="G18">
        <v>1.2462</v>
      </c>
      <c r="I18" s="19">
        <f t="shared" si="0"/>
        <v>181.3836</v>
      </c>
      <c r="J18">
        <f>SUM(G18:G21)</f>
        <v>41.818199999999997</v>
      </c>
      <c r="K18">
        <f t="shared" si="16"/>
        <v>22.3963</v>
      </c>
      <c r="L18">
        <f t="shared" si="12"/>
        <v>64.214500000000001</v>
      </c>
      <c r="M18">
        <f t="shared" si="17"/>
        <v>8.297600000000017</v>
      </c>
      <c r="N18">
        <f t="shared" si="13"/>
        <v>-0.33499999999999996</v>
      </c>
      <c r="O18">
        <f t="shared" si="18"/>
        <v>-2.1517972991999992</v>
      </c>
      <c r="P18">
        <f t="shared" si="15"/>
        <v>10.449397299200015</v>
      </c>
      <c r="Q18">
        <f t="shared" si="2"/>
        <v>120.74550000000001</v>
      </c>
      <c r="R18">
        <f t="shared" si="3"/>
        <v>95.784587099999996</v>
      </c>
      <c r="S18">
        <f t="shared" si="19"/>
        <v>79.6320564408</v>
      </c>
      <c r="T18">
        <f t="shared" si="5"/>
        <v>41.113443559200007</v>
      </c>
      <c r="U18">
        <f t="shared" si="6"/>
        <v>170.54278884866446</v>
      </c>
      <c r="V18">
        <f t="shared" si="7"/>
        <v>1.8803463392224498</v>
      </c>
      <c r="W18">
        <f t="shared" si="8"/>
        <v>1.904244</v>
      </c>
      <c r="X18">
        <f t="shared" si="8"/>
        <v>1.8357248098659156</v>
      </c>
      <c r="Y18">
        <f t="shared" si="9"/>
        <v>70.800706857882247</v>
      </c>
      <c r="Z18">
        <f t="shared" si="10"/>
        <v>46.693300243532171</v>
      </c>
      <c r="AA18">
        <f t="shared" si="11"/>
        <v>24.107406614350069</v>
      </c>
    </row>
    <row r="19" spans="1:27" x14ac:dyDescent="0.25">
      <c r="A19" s="1" t="s">
        <v>8</v>
      </c>
      <c r="B19">
        <v>1</v>
      </c>
      <c r="C19">
        <v>10</v>
      </c>
      <c r="D19">
        <v>170.92</v>
      </c>
      <c r="E19" s="14">
        <v>1.9444999999999999</v>
      </c>
      <c r="F19" s="47">
        <v>-4.0449999999999999</v>
      </c>
      <c r="G19">
        <v>0.65139999999999998</v>
      </c>
      <c r="I19" s="19">
        <f t="shared" si="0"/>
        <v>168.97549999999998</v>
      </c>
      <c r="J19">
        <f>SUM(G19:G21)</f>
        <v>40.571999999999996</v>
      </c>
      <c r="K19">
        <f t="shared" si="16"/>
        <v>22.3963</v>
      </c>
      <c r="L19">
        <f>SUM(J19:K19)</f>
        <v>62.968299999999999</v>
      </c>
      <c r="M19">
        <f t="shared" si="17"/>
        <v>10.463600000000014</v>
      </c>
      <c r="N19">
        <f t="shared" si="13"/>
        <v>-0.33499999999999996</v>
      </c>
      <c r="O19">
        <f t="shared" si="18"/>
        <v>-2.0876728319999991</v>
      </c>
      <c r="P19">
        <f t="shared" si="15"/>
        <v>12.551272832000013</v>
      </c>
      <c r="Q19">
        <f t="shared" si="2"/>
        <v>107.95169999999999</v>
      </c>
      <c r="R19">
        <f t="shared" si="3"/>
        <v>92.930166</v>
      </c>
      <c r="S19">
        <f t="shared" si="19"/>
        <v>75.171314735999999</v>
      </c>
      <c r="T19">
        <f t="shared" si="5"/>
        <v>32.780385263999989</v>
      </c>
      <c r="U19">
        <f t="shared" si="6"/>
        <v>167.23309363242504</v>
      </c>
      <c r="V19">
        <f>Q19/L19</f>
        <v>1.7143816809410448</v>
      </c>
      <c r="W19">
        <f t="shared" si="8"/>
        <v>1.8527880000000001</v>
      </c>
      <c r="X19">
        <f t="shared" si="8"/>
        <v>1.4636518203453244</v>
      </c>
      <c r="Y19">
        <f t="shared" si="9"/>
        <v>64.551637271792416</v>
      </c>
      <c r="Z19">
        <f t="shared" si="10"/>
        <v>44.950023409376755</v>
      </c>
      <c r="AA19">
        <f t="shared" si="11"/>
        <v>19.601613862415661</v>
      </c>
    </row>
    <row r="20" spans="1:27" x14ac:dyDescent="0.25">
      <c r="A20" s="1" t="s">
        <v>8</v>
      </c>
      <c r="B20">
        <v>1</v>
      </c>
      <c r="C20">
        <v>11</v>
      </c>
      <c r="D20" s="19">
        <v>159.9</v>
      </c>
      <c r="E20" s="50">
        <v>2.1103999999999998</v>
      </c>
      <c r="F20" s="47">
        <v>-4.4749999999999996</v>
      </c>
      <c r="G20">
        <v>0.76719999999999999</v>
      </c>
      <c r="I20" s="19">
        <f t="shared" si="0"/>
        <v>157.78960000000001</v>
      </c>
      <c r="J20">
        <f>SUM(G20:G21)</f>
        <v>39.9206</v>
      </c>
      <c r="K20">
        <f t="shared" si="16"/>
        <v>22.3963</v>
      </c>
      <c r="L20">
        <f t="shared" ref="L20" si="20">SUM(J20:K20)</f>
        <v>62.316900000000004</v>
      </c>
      <c r="M20">
        <f t="shared" si="17"/>
        <v>9.0754999999999768</v>
      </c>
      <c r="N20">
        <f t="shared" si="13"/>
        <v>-0.42999999999999972</v>
      </c>
      <c r="O20">
        <f t="shared" si="18"/>
        <v>-2.6366757887999981</v>
      </c>
      <c r="P20">
        <f t="shared" si="15"/>
        <v>11.712175788799975</v>
      </c>
      <c r="Q20">
        <f t="shared" si="2"/>
        <v>97.583100000000002</v>
      </c>
      <c r="R20">
        <f t="shared" si="3"/>
        <v>91.438134300000016</v>
      </c>
      <c r="S20">
        <f t="shared" si="19"/>
        <v>71.327732844000025</v>
      </c>
      <c r="T20">
        <f t="shared" si="5"/>
        <v>26.255367155999977</v>
      </c>
      <c r="U20">
        <f t="shared" si="6"/>
        <v>165.50308603825209</v>
      </c>
      <c r="V20">
        <f t="shared" ref="V20:V21" si="21">Q20/L20</f>
        <v>1.565917110767705</v>
      </c>
      <c r="W20">
        <f t="shared" si="8"/>
        <v>1.7867400000000007</v>
      </c>
      <c r="X20">
        <f t="shared" si="8"/>
        <v>1.1723082453798161</v>
      </c>
      <c r="Y20">
        <f t="shared" si="9"/>
        <v>58.961498746582883</v>
      </c>
      <c r="Z20">
        <f t="shared" si="10"/>
        <v>43.09752437336082</v>
      </c>
      <c r="AA20">
        <f t="shared" si="11"/>
        <v>15.863974373222064</v>
      </c>
    </row>
    <row r="21" spans="1:27" x14ac:dyDescent="0.25">
      <c r="A21" s="1" t="s">
        <v>8</v>
      </c>
      <c r="B21">
        <v>1</v>
      </c>
      <c r="C21" s="19">
        <v>12</v>
      </c>
      <c r="D21" s="50">
        <v>145.41</v>
      </c>
      <c r="E21" s="50">
        <v>98.68</v>
      </c>
      <c r="F21" s="47">
        <v>-5.35</v>
      </c>
      <c r="G21" s="19">
        <v>39.153399999999998</v>
      </c>
      <c r="H21">
        <v>22.3963</v>
      </c>
      <c r="I21" s="19">
        <f>D21</f>
        <v>145.41</v>
      </c>
      <c r="J21">
        <f t="shared" ref="J21" si="22">G21</f>
        <v>39.153399999999998</v>
      </c>
      <c r="K21">
        <f t="shared" si="16"/>
        <v>22.3963</v>
      </c>
      <c r="L21">
        <f>SUM(J21:K21)</f>
        <v>61.549700000000001</v>
      </c>
      <c r="M21">
        <f t="shared" si="17"/>
        <v>12.379600000000011</v>
      </c>
      <c r="N21">
        <f t="shared" si="13"/>
        <v>-0.875</v>
      </c>
      <c r="O21">
        <f>N21*$F$3*J21</f>
        <v>-5.2622169599999991</v>
      </c>
      <c r="P21">
        <f t="shared" si="15"/>
        <v>17.641816960000011</v>
      </c>
      <c r="Q21">
        <f t="shared" si="2"/>
        <v>83.860299999999995</v>
      </c>
      <c r="R21">
        <f t="shared" si="3"/>
        <v>89.680862700000006</v>
      </c>
      <c r="S21">
        <f t="shared" si="19"/>
        <v>64.694728956000006</v>
      </c>
      <c r="T21">
        <f t="shared" si="5"/>
        <v>19.165571043999989</v>
      </c>
      <c r="U21">
        <f t="shared" si="6"/>
        <v>163.46553334213678</v>
      </c>
      <c r="V21">
        <f t="shared" si="21"/>
        <v>1.3624810518978971</v>
      </c>
      <c r="W21">
        <f t="shared" si="8"/>
        <v>1.6523400000000001</v>
      </c>
      <c r="X21">
        <f t="shared" si="8"/>
        <v>0.85574720127878212</v>
      </c>
      <c r="Y21">
        <f t="shared" si="9"/>
        <v>51.301517993079706</v>
      </c>
      <c r="Z21">
        <f t="shared" si="10"/>
        <v>39.576984599311579</v>
      </c>
      <c r="AA21">
        <f t="shared" si="11"/>
        <v>11.724533393768121</v>
      </c>
    </row>
    <row r="22" spans="1:27" ht="15" customHeight="1" x14ac:dyDescent="0.25">
      <c r="C22" s="19"/>
      <c r="D22" s="19"/>
      <c r="E22" s="19" t="s">
        <v>130</v>
      </c>
      <c r="F22" s="19"/>
      <c r="G22" s="19"/>
      <c r="H22" s="19"/>
      <c r="I22" s="19"/>
    </row>
    <row r="27" spans="1:27" x14ac:dyDescent="0.25">
      <c r="I27" s="15" t="s">
        <v>91</v>
      </c>
      <c r="J27" s="16"/>
      <c r="K27" s="17" t="s">
        <v>102</v>
      </c>
      <c r="L27" s="17"/>
      <c r="M27" s="17"/>
      <c r="N27" s="17"/>
      <c r="O27" s="17"/>
      <c r="P27" s="17" t="s">
        <v>20</v>
      </c>
      <c r="Q27" s="18"/>
      <c r="R27" s="49"/>
    </row>
    <row r="28" spans="1:27" ht="27" customHeight="1" x14ac:dyDescent="0.25">
      <c r="I28" s="67" t="s">
        <v>99</v>
      </c>
      <c r="J28" s="68"/>
      <c r="K28" s="29" t="s">
        <v>87</v>
      </c>
      <c r="L28" s="29"/>
      <c r="M28" s="29"/>
      <c r="N28" s="29"/>
      <c r="O28" s="28">
        <f>SLOPE(Y9:Y13,F9:F13)</f>
        <v>4.3105197910142259</v>
      </c>
      <c r="P28" s="20" t="s">
        <v>100</v>
      </c>
      <c r="Q28" s="21"/>
      <c r="R28" s="19"/>
      <c r="U28" t="s">
        <v>109</v>
      </c>
    </row>
    <row r="29" spans="1:27" x14ac:dyDescent="0.25">
      <c r="I29" s="67"/>
      <c r="J29" s="68"/>
      <c r="K29" s="29" t="s">
        <v>88</v>
      </c>
      <c r="L29" s="29"/>
      <c r="M29" s="29"/>
      <c r="N29" s="29"/>
      <c r="O29" s="28">
        <f>SLOPE(Z9:Z13,F9:F13)</f>
        <v>2.5168937381384158</v>
      </c>
      <c r="P29" s="20" t="s">
        <v>100</v>
      </c>
      <c r="Q29" s="21"/>
      <c r="R29" s="19"/>
    </row>
    <row r="30" spans="1:27" x14ac:dyDescent="0.25">
      <c r="I30" s="67"/>
      <c r="J30" s="68"/>
      <c r="K30" s="29" t="s">
        <v>89</v>
      </c>
      <c r="L30" s="29"/>
      <c r="M30" s="29"/>
      <c r="N30" s="29"/>
      <c r="O30" s="28">
        <f>SLOPE(AA9:AA13,F9:F13)</f>
        <v>1.7936260528758126</v>
      </c>
      <c r="P30" s="20" t="s">
        <v>100</v>
      </c>
      <c r="Q30" s="21"/>
      <c r="R30" s="19"/>
    </row>
    <row r="31" spans="1:27" x14ac:dyDescent="0.25">
      <c r="I31" s="67"/>
      <c r="J31" s="68"/>
      <c r="K31" s="22"/>
      <c r="L31" s="22"/>
      <c r="M31" s="22"/>
      <c r="N31" s="22"/>
      <c r="O31" s="28"/>
      <c r="P31" s="19"/>
      <c r="Q31" s="21"/>
      <c r="R31" s="19"/>
    </row>
    <row r="32" spans="1:27" x14ac:dyDescent="0.25">
      <c r="I32" s="67"/>
      <c r="J32" s="68"/>
      <c r="K32" s="29" t="s">
        <v>87</v>
      </c>
      <c r="L32" s="29"/>
      <c r="M32" s="29"/>
      <c r="N32" s="29"/>
      <c r="O32" s="28">
        <f>SLOPE(V9:V13,F9:F13)</f>
        <v>0.11448007327736404</v>
      </c>
      <c r="P32" s="19" t="s">
        <v>101</v>
      </c>
      <c r="Q32" s="21"/>
      <c r="R32" s="19"/>
    </row>
    <row r="33" spans="9:23" x14ac:dyDescent="0.25">
      <c r="I33" s="67"/>
      <c r="J33" s="68"/>
      <c r="K33" s="29" t="s">
        <v>88</v>
      </c>
      <c r="L33" s="29"/>
      <c r="M33" s="29"/>
      <c r="N33" s="29"/>
      <c r="O33" s="28">
        <f>SLOPE(W9:W13,F9:F13)</f>
        <v>8.318097917369649E-2</v>
      </c>
      <c r="P33" s="19" t="s">
        <v>101</v>
      </c>
      <c r="Q33" s="21"/>
      <c r="R33" s="19"/>
    </row>
    <row r="34" spans="9:23" x14ac:dyDescent="0.25">
      <c r="I34" s="67"/>
      <c r="J34" s="68"/>
      <c r="K34" s="29" t="s">
        <v>89</v>
      </c>
      <c r="L34" s="29"/>
      <c r="M34" s="29"/>
      <c r="N34" s="29"/>
      <c r="O34" s="28">
        <f>SLOPE(X9:X13,F9:F13)</f>
        <v>0.1928946983791161</v>
      </c>
      <c r="P34" s="19" t="s">
        <v>101</v>
      </c>
      <c r="Q34" s="21"/>
      <c r="R34" s="19"/>
    </row>
    <row r="35" spans="9:23" x14ac:dyDescent="0.25">
      <c r="I35" s="67"/>
      <c r="J35" s="68"/>
      <c r="K35" s="19"/>
      <c r="L35" s="19"/>
      <c r="M35" s="19"/>
      <c r="N35" s="19"/>
      <c r="O35" s="28"/>
      <c r="P35" s="19"/>
      <c r="Q35" s="21"/>
      <c r="R35" s="19"/>
    </row>
    <row r="36" spans="9:23" x14ac:dyDescent="0.25">
      <c r="I36" s="67"/>
      <c r="J36" s="68"/>
      <c r="K36" s="29" t="s">
        <v>103</v>
      </c>
      <c r="L36" s="29"/>
      <c r="M36" s="29"/>
      <c r="N36" s="29"/>
      <c r="O36" s="28">
        <f>INTERCEPT(V9:V13,F9:F13)</f>
        <v>2.6267271804524479</v>
      </c>
      <c r="P36" s="19" t="s">
        <v>106</v>
      </c>
      <c r="Q36" s="21"/>
      <c r="R36" s="19"/>
    </row>
    <row r="37" spans="9:23" x14ac:dyDescent="0.25">
      <c r="I37" s="67"/>
      <c r="J37" s="68"/>
      <c r="K37" s="29" t="s">
        <v>90</v>
      </c>
      <c r="L37" s="29"/>
      <c r="M37" s="29"/>
      <c r="N37" s="29"/>
      <c r="O37" s="28">
        <f>INTERCEPT(W9:W13,F9:F13)</f>
        <v>2.292161679677577</v>
      </c>
      <c r="P37" s="19" t="s">
        <v>104</v>
      </c>
      <c r="Q37" s="21"/>
      <c r="R37" s="19"/>
    </row>
    <row r="38" spans="9:23" x14ac:dyDescent="0.25">
      <c r="I38" s="23"/>
      <c r="J38" s="19"/>
      <c r="K38" s="29" t="s">
        <v>92</v>
      </c>
      <c r="L38" s="29"/>
      <c r="M38" s="29"/>
      <c r="N38" s="29"/>
      <c r="O38" s="28">
        <f>INTERCEPT(X9:X13,F9:F13)</f>
        <v>3.3464155125021469</v>
      </c>
      <c r="P38" s="19" t="s">
        <v>105</v>
      </c>
      <c r="Q38" s="21"/>
      <c r="R38" s="19"/>
    </row>
    <row r="39" spans="9:23" x14ac:dyDescent="0.25">
      <c r="I39" s="23"/>
      <c r="J39" s="19"/>
      <c r="K39" s="22"/>
      <c r="L39" s="22"/>
      <c r="M39" s="22"/>
      <c r="N39" s="22"/>
      <c r="O39" s="28"/>
      <c r="P39" s="19"/>
      <c r="Q39" s="21"/>
      <c r="R39" s="19"/>
    </row>
    <row r="40" spans="9:23" x14ac:dyDescent="0.25">
      <c r="I40" s="23"/>
      <c r="J40" s="19"/>
      <c r="K40" s="22" t="s">
        <v>93</v>
      </c>
      <c r="L40" s="22"/>
      <c r="M40" s="22"/>
      <c r="N40" s="22"/>
      <c r="O40" s="28">
        <f>INTERCEPT(Y9:Y13,F9:F13)</f>
        <v>98.904195051507529</v>
      </c>
      <c r="P40" s="19"/>
      <c r="Q40" s="21"/>
      <c r="R40" s="19"/>
      <c r="V40" t="s">
        <v>128</v>
      </c>
      <c r="W40" t="s">
        <v>131</v>
      </c>
    </row>
    <row r="41" spans="9:23" x14ac:dyDescent="0.25">
      <c r="I41" s="23"/>
      <c r="J41" s="19"/>
      <c r="K41" s="22" t="s">
        <v>96</v>
      </c>
      <c r="L41" s="22"/>
      <c r="M41" s="22"/>
      <c r="N41" s="22"/>
      <c r="O41" s="28">
        <f>INTERCEPT(Z9:Z13,F9:F13)</f>
        <v>58.983340977780351</v>
      </c>
      <c r="P41" s="19"/>
      <c r="Q41" s="21"/>
      <c r="R41" s="19"/>
      <c r="U41" t="s">
        <v>132</v>
      </c>
      <c r="V41">
        <v>-1.59</v>
      </c>
      <c r="W41">
        <f>(0.1929*V41)+3.3464</f>
        <v>3.0396890000000001</v>
      </c>
    </row>
    <row r="42" spans="9:23" x14ac:dyDescent="0.25">
      <c r="I42" s="23"/>
      <c r="J42" s="19"/>
      <c r="K42" s="22" t="s">
        <v>97</v>
      </c>
      <c r="L42" s="22"/>
      <c r="M42" s="22"/>
      <c r="N42" s="22"/>
      <c r="O42" s="28">
        <f>INTERCEPT(AA9:AA13,F9:F13)</f>
        <v>39.920854073727163</v>
      </c>
      <c r="P42" s="19"/>
      <c r="Q42" s="21"/>
      <c r="R42" s="19"/>
      <c r="U42" t="s">
        <v>133</v>
      </c>
      <c r="V42">
        <v>-1.54</v>
      </c>
      <c r="W42">
        <f>(0.0832*V42)+2.2988</f>
        <v>2.1706720000000002</v>
      </c>
    </row>
    <row r="43" spans="9:23" x14ac:dyDescent="0.25">
      <c r="I43" s="23"/>
      <c r="J43" s="19"/>
      <c r="K43" s="22"/>
      <c r="L43" s="22"/>
      <c r="M43" s="22"/>
      <c r="N43" s="22"/>
      <c r="O43" s="28"/>
      <c r="P43" s="19"/>
      <c r="Q43" s="21"/>
      <c r="R43" s="19"/>
    </row>
    <row r="44" spans="9:23" x14ac:dyDescent="0.25">
      <c r="I44" s="23"/>
      <c r="J44" s="19"/>
      <c r="K44" s="22" t="s">
        <v>94</v>
      </c>
      <c r="L44" s="22"/>
      <c r="M44" s="22"/>
      <c r="N44" s="22"/>
      <c r="O44" s="28">
        <f>AVERAGE(Y14)</f>
        <v>85.067845837327695</v>
      </c>
      <c r="P44" s="19"/>
      <c r="Q44" s="21"/>
      <c r="R44" s="19"/>
    </row>
    <row r="45" spans="9:23" x14ac:dyDescent="0.25">
      <c r="I45" s="23"/>
      <c r="J45" s="19"/>
      <c r="K45" s="22" t="s">
        <v>95</v>
      </c>
      <c r="L45" s="22"/>
      <c r="M45" s="22"/>
      <c r="N45" s="22"/>
      <c r="O45" s="28">
        <f>AVERAGE(Z13)</f>
        <v>52.364917586112334</v>
      </c>
      <c r="P45" s="19"/>
      <c r="Q45" s="21"/>
      <c r="R45" s="19"/>
    </row>
    <row r="46" spans="9:23" x14ac:dyDescent="0.25">
      <c r="I46" s="24"/>
      <c r="J46" s="25"/>
      <c r="K46" s="26" t="s">
        <v>98</v>
      </c>
      <c r="L46" s="26"/>
      <c r="M46" s="26"/>
      <c r="N46" s="26"/>
      <c r="O46" s="28">
        <f>AVERAGE(AA13)</f>
        <v>34.871815087586597</v>
      </c>
      <c r="P46" s="25"/>
      <c r="Q46" s="27"/>
      <c r="R46" s="19"/>
    </row>
  </sheetData>
  <mergeCells count="7">
    <mergeCell ref="W7:AB7"/>
    <mergeCell ref="I28:J37"/>
    <mergeCell ref="E1:F1"/>
    <mergeCell ref="K1:M3"/>
    <mergeCell ref="C2:D2"/>
    <mergeCell ref="G7:H7"/>
    <mergeCell ref="I7:T7"/>
  </mergeCell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6"/>
  <sheetViews>
    <sheetView zoomScale="95" zoomScaleNormal="95" workbookViewId="0">
      <selection activeCell="F9" sqref="F9:F21"/>
    </sheetView>
  </sheetViews>
  <sheetFormatPr defaultRowHeight="15" x14ac:dyDescent="0.25"/>
  <cols>
    <col min="1" max="1" width="11.7109375" customWidth="1"/>
    <col min="4" max="4" width="9.28515625" customWidth="1"/>
    <col min="5" max="5" width="30.5703125" customWidth="1"/>
    <col min="6" max="6" width="12.5703125" customWidth="1"/>
    <col min="7" max="7" width="16.140625" customWidth="1"/>
    <col min="8" max="8" width="16.85546875" customWidth="1"/>
    <col min="9" max="9" width="16.28515625" customWidth="1"/>
    <col min="10" max="10" width="18" customWidth="1"/>
    <col min="11" max="11" width="11.7109375" customWidth="1"/>
    <col min="12" max="12" width="12.7109375" customWidth="1"/>
    <col min="13" max="13" width="12.5703125" customWidth="1"/>
    <col min="14" max="14" width="14.7109375" customWidth="1"/>
    <col min="16" max="16" width="19.140625" bestFit="1" customWidth="1"/>
    <col min="17" max="18" width="17.7109375" customWidth="1"/>
    <col min="19" max="19" width="13.28515625" customWidth="1"/>
    <col min="20" max="20" width="13.5703125" customWidth="1"/>
    <col min="21" max="21" width="19.5703125" customWidth="1"/>
    <col min="22" max="22" width="15.42578125" customWidth="1"/>
    <col min="23" max="23" width="13.42578125" customWidth="1"/>
    <col min="24" max="24" width="12" customWidth="1"/>
    <col min="25" max="25" width="12.140625" customWidth="1"/>
  </cols>
  <sheetData>
    <row r="1" spans="1:28" x14ac:dyDescent="0.25">
      <c r="E1" s="69" t="s">
        <v>42</v>
      </c>
      <c r="F1" s="69"/>
      <c r="G1" t="s">
        <v>20</v>
      </c>
      <c r="K1" s="70" t="s">
        <v>19</v>
      </c>
      <c r="L1" s="70"/>
      <c r="M1" s="70"/>
    </row>
    <row r="2" spans="1:28" x14ac:dyDescent="0.25">
      <c r="C2" s="63"/>
      <c r="D2" s="63"/>
      <c r="E2" t="s">
        <v>17</v>
      </c>
      <c r="F2">
        <v>8.1600000000000006E-2</v>
      </c>
      <c r="G2" t="s">
        <v>21</v>
      </c>
      <c r="K2" s="70"/>
      <c r="L2" s="70"/>
      <c r="M2" s="70"/>
    </row>
    <row r="3" spans="1:28" x14ac:dyDescent="0.25">
      <c r="E3" t="s">
        <v>18</v>
      </c>
      <c r="F3">
        <v>0.15359999999999999</v>
      </c>
      <c r="G3" t="s">
        <v>21</v>
      </c>
      <c r="K3" s="70"/>
      <c r="L3" s="70"/>
      <c r="M3" s="70"/>
    </row>
    <row r="4" spans="1:28" x14ac:dyDescent="0.25">
      <c r="E4" t="s">
        <v>29</v>
      </c>
      <c r="F4">
        <v>2.2905000000000002</v>
      </c>
    </row>
    <row r="5" spans="1:28" x14ac:dyDescent="0.25">
      <c r="E5" t="s">
        <v>108</v>
      </c>
      <c r="F5">
        <f>(INTERCEPT(Q9:Q13,F9:F13)/L9)</f>
        <v>2.2927131763157358</v>
      </c>
    </row>
    <row r="7" spans="1:28" x14ac:dyDescent="0.25">
      <c r="D7" s="30" t="s">
        <v>25</v>
      </c>
      <c r="E7" s="30"/>
      <c r="F7" s="30"/>
      <c r="G7" s="64" t="s">
        <v>26</v>
      </c>
      <c r="H7" s="64"/>
      <c r="I7" s="65" t="s">
        <v>13</v>
      </c>
      <c r="J7" s="65"/>
      <c r="K7" s="65"/>
      <c r="L7" s="65"/>
      <c r="M7" s="65"/>
      <c r="N7" s="65"/>
      <c r="O7" s="65"/>
      <c r="P7" s="65"/>
      <c r="Q7" s="65"/>
      <c r="R7" s="65"/>
      <c r="S7" s="65"/>
      <c r="T7" s="65"/>
      <c r="U7" s="5"/>
      <c r="V7" s="5"/>
      <c r="W7" s="66" t="s">
        <v>32</v>
      </c>
      <c r="X7" s="66"/>
      <c r="Y7" s="66"/>
      <c r="Z7" s="66"/>
      <c r="AA7" s="66"/>
      <c r="AB7" s="66"/>
    </row>
    <row r="8" spans="1:28" ht="63" customHeight="1" x14ac:dyDescent="0.25">
      <c r="A8" s="3" t="s">
        <v>3</v>
      </c>
      <c r="B8" s="3" t="s">
        <v>4</v>
      </c>
      <c r="C8" s="3" t="s">
        <v>5</v>
      </c>
      <c r="D8" s="3" t="s">
        <v>6</v>
      </c>
      <c r="E8" s="3" t="s">
        <v>7</v>
      </c>
      <c r="F8" s="4" t="s">
        <v>9</v>
      </c>
      <c r="G8" s="4" t="s">
        <v>14</v>
      </c>
      <c r="H8" s="4" t="s">
        <v>11</v>
      </c>
      <c r="I8" s="4" t="s">
        <v>23</v>
      </c>
      <c r="J8" s="4" t="s">
        <v>10</v>
      </c>
      <c r="K8" s="4" t="s">
        <v>12</v>
      </c>
      <c r="L8" s="4" t="s">
        <v>15</v>
      </c>
      <c r="M8" s="4" t="s">
        <v>24</v>
      </c>
      <c r="N8" s="4" t="s">
        <v>44</v>
      </c>
      <c r="O8" s="4" t="s">
        <v>16</v>
      </c>
      <c r="P8" s="4" t="s">
        <v>22</v>
      </c>
      <c r="Q8" s="4" t="s">
        <v>28</v>
      </c>
      <c r="R8" s="4" t="s">
        <v>134</v>
      </c>
      <c r="S8" s="4" t="s">
        <v>27</v>
      </c>
      <c r="T8" s="4" t="s">
        <v>30</v>
      </c>
      <c r="U8" s="4" t="s">
        <v>107</v>
      </c>
      <c r="V8" s="4" t="s">
        <v>33</v>
      </c>
      <c r="W8" s="4" t="s">
        <v>34</v>
      </c>
      <c r="X8" s="4" t="s">
        <v>31</v>
      </c>
      <c r="Y8" s="4" t="s">
        <v>35</v>
      </c>
      <c r="Z8" s="4" t="s">
        <v>36</v>
      </c>
      <c r="AA8" s="4" t="s">
        <v>37</v>
      </c>
    </row>
    <row r="9" spans="1:28" x14ac:dyDescent="0.25">
      <c r="A9" s="1" t="s">
        <v>8</v>
      </c>
      <c r="B9">
        <v>2</v>
      </c>
      <c r="C9">
        <v>0</v>
      </c>
      <c r="D9">
        <v>269.7</v>
      </c>
      <c r="E9">
        <v>0</v>
      </c>
      <c r="F9" s="44">
        <v>-0.12</v>
      </c>
      <c r="I9" s="19">
        <f>D9-E9</f>
        <v>269.7</v>
      </c>
      <c r="J9">
        <f>SUM(G9:G21)</f>
        <v>51.309699999999999</v>
      </c>
      <c r="K9">
        <f>SUM(H9:H$21)</f>
        <v>31.331499999999998</v>
      </c>
      <c r="L9">
        <f>SUM(J9:K9)</f>
        <v>82.641199999999998</v>
      </c>
      <c r="N9">
        <v>0</v>
      </c>
      <c r="Q9">
        <f>D9-L9</f>
        <v>187.05879999999999</v>
      </c>
      <c r="R9">
        <f>J9*$F$4</f>
        <v>117.52486785000001</v>
      </c>
      <c r="S9">
        <f>($F$4*J9)+($F$2*J9*F9)</f>
        <v>117.02244326760001</v>
      </c>
      <c r="T9">
        <f>Q9-S9</f>
        <v>70.03635673239998</v>
      </c>
      <c r="U9">
        <f>L9*$F$5</f>
        <v>189.47256814654398</v>
      </c>
      <c r="V9">
        <f>Q9/L9</f>
        <v>2.2635053702027559</v>
      </c>
      <c r="W9">
        <f>S9/J9</f>
        <v>2.2807080000000002</v>
      </c>
      <c r="X9">
        <f>T9/K9</f>
        <v>2.2353336652378593</v>
      </c>
      <c r="Y9">
        <f>(Q9/U9)*100</f>
        <v>98.726059307605368</v>
      </c>
      <c r="Z9">
        <f>S9/(U9)*100</f>
        <v>61.762208858166325</v>
      </c>
      <c r="AA9">
        <f>T9/(U9)*100</f>
        <v>36.963850449439036</v>
      </c>
    </row>
    <row r="10" spans="1:28" x14ac:dyDescent="0.25">
      <c r="A10" s="1" t="s">
        <v>8</v>
      </c>
      <c r="B10">
        <v>2</v>
      </c>
      <c r="C10">
        <v>1</v>
      </c>
      <c r="D10">
        <v>265</v>
      </c>
      <c r="E10">
        <v>4.57</v>
      </c>
      <c r="F10" s="44">
        <v>-0.82000000000000006</v>
      </c>
      <c r="G10">
        <v>1.3432999999999999</v>
      </c>
      <c r="H10">
        <v>9.2200000000000004E-2</v>
      </c>
      <c r="I10" s="19">
        <f t="shared" ref="I10:I21" si="0">D10-E10</f>
        <v>260.43</v>
      </c>
      <c r="J10">
        <f>SUM(G10:G21)</f>
        <v>51.309699999999999</v>
      </c>
      <c r="K10">
        <f>SUM(H10:H$21)</f>
        <v>31.331499999999998</v>
      </c>
      <c r="L10">
        <f t="shared" ref="L10:L21" si="1">SUM(J10:K10)</f>
        <v>82.641199999999998</v>
      </c>
      <c r="M10">
        <f>I9-D10</f>
        <v>4.6999999999999886</v>
      </c>
      <c r="N10">
        <f>F10-F9</f>
        <v>-0.70000000000000007</v>
      </c>
      <c r="O10">
        <f>N10*$F$2*J10</f>
        <v>-2.9308100640000005</v>
      </c>
      <c r="P10">
        <f>M10+O10</f>
        <v>1.7691899359999881</v>
      </c>
      <c r="Q10">
        <f t="shared" ref="Q10:Q21" si="2">D10-L10</f>
        <v>182.3588</v>
      </c>
      <c r="R10">
        <f t="shared" ref="R10:R21" si="3">J10*$F$4</f>
        <v>117.52486785000001</v>
      </c>
      <c r="S10">
        <f t="shared" ref="S10:S13" si="4">($F$4*J10)+($F$2*J10*F10)</f>
        <v>114.09163320360001</v>
      </c>
      <c r="T10">
        <f>Q10-S10</f>
        <v>68.267166796399991</v>
      </c>
      <c r="U10">
        <f t="shared" ref="U10:U21" si="5">L10*$F$5</f>
        <v>189.47256814654398</v>
      </c>
      <c r="V10">
        <f t="shared" ref="V10:V21" si="6">Q10/L10</f>
        <v>2.2066330111373023</v>
      </c>
      <c r="W10">
        <f t="shared" ref="W10:X21" si="7">S10/J10</f>
        <v>2.2235880000000003</v>
      </c>
      <c r="X10">
        <f t="shared" si="7"/>
        <v>2.1788668527328725</v>
      </c>
      <c r="Y10">
        <f t="shared" ref="Y10:Y21" si="8">(Q10/U10)*100</f>
        <v>96.245489140653874</v>
      </c>
      <c r="Z10">
        <f t="shared" ref="Z10:Z21" si="9">S10/(U10)*100</f>
        <v>60.215383324174923</v>
      </c>
      <c r="AA10">
        <f t="shared" ref="AA10:AA21" si="10">T10/(U10)*100</f>
        <v>36.030105816478951</v>
      </c>
    </row>
    <row r="11" spans="1:28" x14ac:dyDescent="0.25">
      <c r="A11" s="1" t="s">
        <v>8</v>
      </c>
      <c r="B11">
        <v>2</v>
      </c>
      <c r="C11">
        <v>2</v>
      </c>
      <c r="D11">
        <v>254.56</v>
      </c>
      <c r="E11">
        <v>1.1766000000000001</v>
      </c>
      <c r="F11" s="44">
        <v>-1.5049999999999999</v>
      </c>
      <c r="G11">
        <v>0.38819999999999999</v>
      </c>
      <c r="I11" s="19">
        <f t="shared" si="0"/>
        <v>253.38339999999999</v>
      </c>
      <c r="J11">
        <f>SUM(G11:G21)</f>
        <v>49.9664</v>
      </c>
      <c r="K11">
        <f>SUM(H11:H$21)</f>
        <v>31.2393</v>
      </c>
      <c r="L11">
        <f t="shared" si="1"/>
        <v>81.205700000000007</v>
      </c>
      <c r="M11">
        <f t="shared" ref="M11:M20" si="11">I10-D11</f>
        <v>5.8700000000000045</v>
      </c>
      <c r="N11">
        <f t="shared" ref="N11:N21" si="12">F11-F10</f>
        <v>-0.68499999999999983</v>
      </c>
      <c r="O11">
        <f t="shared" ref="O11:O12" si="13">N11*$F$2*J11</f>
        <v>-2.7929218943999992</v>
      </c>
      <c r="P11">
        <f t="shared" ref="P11:P21" si="14">M11+O11</f>
        <v>3.0770781056000054</v>
      </c>
      <c r="Q11">
        <f t="shared" si="2"/>
        <v>173.35429999999999</v>
      </c>
      <c r="R11">
        <f t="shared" si="3"/>
        <v>114.44803920000001</v>
      </c>
      <c r="S11">
        <f t="shared" si="4"/>
        <v>108.31176554880001</v>
      </c>
      <c r="T11">
        <f t="shared" ref="T11:T21" si="15">Q11-S11</f>
        <v>65.042534451199984</v>
      </c>
      <c r="U11">
        <f t="shared" si="5"/>
        <v>186.18137838194275</v>
      </c>
      <c r="V11">
        <f t="shared" si="6"/>
        <v>2.1347553189000279</v>
      </c>
      <c r="W11">
        <f t="shared" si="7"/>
        <v>2.1676920000000002</v>
      </c>
      <c r="X11">
        <f t="shared" si="7"/>
        <v>2.0820740045775668</v>
      </c>
      <c r="Y11">
        <f t="shared" si="8"/>
        <v>93.110439672635479</v>
      </c>
      <c r="Z11">
        <f t="shared" si="9"/>
        <v>58.175402121367512</v>
      </c>
      <c r="AA11">
        <f t="shared" si="10"/>
        <v>34.935037551267953</v>
      </c>
    </row>
    <row r="12" spans="1:28" x14ac:dyDescent="0.25">
      <c r="A12" s="1" t="s">
        <v>8</v>
      </c>
      <c r="B12">
        <v>2</v>
      </c>
      <c r="C12">
        <v>3</v>
      </c>
      <c r="D12">
        <v>249.26</v>
      </c>
      <c r="E12">
        <v>1.4599</v>
      </c>
      <c r="F12" s="44">
        <v>-2.0149999999999997</v>
      </c>
      <c r="G12">
        <v>0.55349999999999999</v>
      </c>
      <c r="I12" s="19">
        <f t="shared" si="0"/>
        <v>247.80009999999999</v>
      </c>
      <c r="J12">
        <f>SUM(G12:G21)</f>
        <v>49.578200000000002</v>
      </c>
      <c r="K12">
        <f>SUM(H12:H$21)</f>
        <v>31.2393</v>
      </c>
      <c r="L12">
        <f t="shared" si="1"/>
        <v>80.817499999999995</v>
      </c>
      <c r="M12">
        <f t="shared" si="11"/>
        <v>4.1234000000000037</v>
      </c>
      <c r="N12">
        <f t="shared" si="12"/>
        <v>-0.50999999999999979</v>
      </c>
      <c r="O12">
        <f t="shared" si="13"/>
        <v>-2.0632463711999995</v>
      </c>
      <c r="P12">
        <f t="shared" si="14"/>
        <v>2.0601536288000042</v>
      </c>
      <c r="Q12">
        <f t="shared" si="2"/>
        <v>168.4425</v>
      </c>
      <c r="R12">
        <f t="shared" si="3"/>
        <v>113.55886710000001</v>
      </c>
      <c r="S12">
        <f t="shared" si="4"/>
        <v>105.40702114320001</v>
      </c>
      <c r="T12">
        <f t="shared" si="15"/>
        <v>63.035478856799983</v>
      </c>
      <c r="U12">
        <f t="shared" si="5"/>
        <v>185.29134712689697</v>
      </c>
      <c r="V12">
        <f t="shared" si="6"/>
        <v>2.0842329940916264</v>
      </c>
      <c r="W12">
        <f t="shared" si="7"/>
        <v>2.1260760000000003</v>
      </c>
      <c r="X12">
        <f t="shared" si="7"/>
        <v>2.0178262271177645</v>
      </c>
      <c r="Y12">
        <f t="shared" si="8"/>
        <v>90.906835430713329</v>
      </c>
      <c r="Z12">
        <f t="shared" si="9"/>
        <v>56.887179448812532</v>
      </c>
      <c r="AA12">
        <f t="shared" si="10"/>
        <v>34.019655981900804</v>
      </c>
    </row>
    <row r="13" spans="1:28" x14ac:dyDescent="0.25">
      <c r="A13" s="1" t="s">
        <v>8</v>
      </c>
      <c r="B13">
        <v>2</v>
      </c>
      <c r="C13">
        <v>4</v>
      </c>
      <c r="D13">
        <v>244.27</v>
      </c>
      <c r="E13">
        <v>1.9111</v>
      </c>
      <c r="F13" s="44">
        <v>-2.31</v>
      </c>
      <c r="G13">
        <v>0.67210000000000003</v>
      </c>
      <c r="I13" s="19">
        <f t="shared" si="0"/>
        <v>242.35890000000001</v>
      </c>
      <c r="J13">
        <f>SUM(G13:G21)</f>
        <v>49.024700000000003</v>
      </c>
      <c r="K13">
        <f>SUM(H13:H$21)</f>
        <v>31.2393</v>
      </c>
      <c r="L13">
        <f t="shared" si="1"/>
        <v>80.26400000000001</v>
      </c>
      <c r="M13">
        <f t="shared" si="11"/>
        <v>3.530099999999976</v>
      </c>
      <c r="N13">
        <f t="shared" si="12"/>
        <v>-0.29500000000000037</v>
      </c>
      <c r="O13">
        <f>N13*$F$2*J13</f>
        <v>-1.1801225784000016</v>
      </c>
      <c r="P13">
        <f t="shared" si="14"/>
        <v>2.3499774215999745</v>
      </c>
      <c r="Q13">
        <f t="shared" si="2"/>
        <v>164.006</v>
      </c>
      <c r="R13">
        <f t="shared" si="3"/>
        <v>112.29107535000001</v>
      </c>
      <c r="S13">
        <f t="shared" si="4"/>
        <v>103.05011549880001</v>
      </c>
      <c r="T13">
        <f t="shared" si="15"/>
        <v>60.955884501199989</v>
      </c>
      <c r="U13">
        <f t="shared" si="5"/>
        <v>184.02233038380623</v>
      </c>
      <c r="V13">
        <f t="shared" si="6"/>
        <v>2.0433320043855274</v>
      </c>
      <c r="W13">
        <f t="shared" si="7"/>
        <v>2.102004</v>
      </c>
      <c r="X13">
        <f t="shared" si="7"/>
        <v>1.9512564142346336</v>
      </c>
      <c r="Y13">
        <f t="shared" si="8"/>
        <v>89.122879629847546</v>
      </c>
      <c r="Z13">
        <f t="shared" si="9"/>
        <v>55.998701507514603</v>
      </c>
      <c r="AA13">
        <f t="shared" si="10"/>
        <v>33.124178122332943</v>
      </c>
    </row>
    <row r="14" spans="1:28" x14ac:dyDescent="0.25">
      <c r="A14" s="1" t="s">
        <v>8</v>
      </c>
      <c r="B14">
        <v>2</v>
      </c>
      <c r="C14">
        <v>5</v>
      </c>
      <c r="D14">
        <v>238.11</v>
      </c>
      <c r="E14">
        <v>2.6438999999999999</v>
      </c>
      <c r="F14" s="47">
        <v>-2.625</v>
      </c>
      <c r="G14">
        <v>0.90539999999999998</v>
      </c>
      <c r="I14" s="19">
        <f t="shared" si="0"/>
        <v>235.46610000000001</v>
      </c>
      <c r="J14">
        <f>SUM(G14:G21)</f>
        <v>48.352600000000002</v>
      </c>
      <c r="K14">
        <f>SUM(H14:H$21)</f>
        <v>31.2393</v>
      </c>
      <c r="L14">
        <f t="shared" si="1"/>
        <v>79.59190000000001</v>
      </c>
      <c r="M14">
        <f t="shared" si="11"/>
        <v>4.2488999999999919</v>
      </c>
      <c r="N14">
        <f t="shared" si="12"/>
        <v>-0.31499999999999995</v>
      </c>
      <c r="O14">
        <f>N14*$F$3*J14</f>
        <v>-2.3394921983999994</v>
      </c>
      <c r="P14">
        <f t="shared" si="14"/>
        <v>1.9094078015999925</v>
      </c>
      <c r="Q14">
        <f t="shared" si="2"/>
        <v>158.5181</v>
      </c>
      <c r="R14">
        <f t="shared" si="3"/>
        <v>110.75163030000002</v>
      </c>
      <c r="S14">
        <f>($F$4*J14)-(2.55*$F$2*J14)-($F$3*((ABS(F14)-2.55)*J14))</f>
        <v>100.13339934000001</v>
      </c>
      <c r="T14">
        <f t="shared" si="15"/>
        <v>58.384700659999993</v>
      </c>
      <c r="U14">
        <f t="shared" si="5"/>
        <v>182.48139785800444</v>
      </c>
      <c r="V14">
        <f t="shared" si="6"/>
        <v>1.991636083571318</v>
      </c>
      <c r="W14">
        <f t="shared" si="7"/>
        <v>2.0709</v>
      </c>
      <c r="X14">
        <f t="shared" si="7"/>
        <v>1.8689503497197437</v>
      </c>
      <c r="Y14">
        <f t="shared" si="8"/>
        <v>86.868087301341717</v>
      </c>
      <c r="Z14">
        <f t="shared" si="9"/>
        <v>54.873209277976663</v>
      </c>
      <c r="AA14">
        <f t="shared" si="10"/>
        <v>31.994878023365043</v>
      </c>
    </row>
    <row r="15" spans="1:28" x14ac:dyDescent="0.25">
      <c r="A15" s="1" t="s">
        <v>8</v>
      </c>
      <c r="B15">
        <v>2</v>
      </c>
      <c r="C15">
        <v>6</v>
      </c>
      <c r="D15">
        <v>231.23</v>
      </c>
      <c r="E15">
        <v>2.9626000000000001</v>
      </c>
      <c r="F15" s="47">
        <v>-2.83</v>
      </c>
      <c r="G15">
        <v>1.0725</v>
      </c>
      <c r="I15" s="19">
        <f t="shared" si="0"/>
        <v>228.26739999999998</v>
      </c>
      <c r="J15">
        <f>SUM(G15:G21)</f>
        <v>47.447200000000002</v>
      </c>
      <c r="K15">
        <f>SUM(H15:H$21)</f>
        <v>31.2393</v>
      </c>
      <c r="L15">
        <f t="shared" si="1"/>
        <v>78.686499999999995</v>
      </c>
      <c r="M15">
        <f t="shared" si="11"/>
        <v>4.2361000000000217</v>
      </c>
      <c r="N15">
        <f t="shared" si="12"/>
        <v>-0.20500000000000007</v>
      </c>
      <c r="O15">
        <f t="shared" ref="O15:O21" si="16">N15*$F$3*J15</f>
        <v>-1.4940174336000005</v>
      </c>
      <c r="P15">
        <f t="shared" si="14"/>
        <v>2.742082566400021</v>
      </c>
      <c r="Q15">
        <f t="shared" si="2"/>
        <v>152.54349999999999</v>
      </c>
      <c r="R15">
        <f t="shared" si="3"/>
        <v>108.67781160000001</v>
      </c>
      <c r="S15">
        <f t="shared" ref="S15:S21" si="17">($F$4*J15)-(2.55*$F$2*J15)-($F$3*((ABS(F15)-2.55)*J15))</f>
        <v>96.764389046400012</v>
      </c>
      <c r="T15">
        <f t="shared" si="15"/>
        <v>55.779110953599982</v>
      </c>
      <c r="U15">
        <f t="shared" si="5"/>
        <v>180.40557534816813</v>
      </c>
      <c r="V15">
        <f t="shared" si="6"/>
        <v>1.9386235250011121</v>
      </c>
      <c r="W15">
        <f t="shared" si="7"/>
        <v>2.039412</v>
      </c>
      <c r="X15">
        <f t="shared" si="7"/>
        <v>1.7855429204111481</v>
      </c>
      <c r="Y15">
        <f t="shared" si="8"/>
        <v>84.555867913507328</v>
      </c>
      <c r="Z15">
        <f t="shared" si="9"/>
        <v>53.637138907515791</v>
      </c>
      <c r="AA15">
        <f t="shared" si="10"/>
        <v>30.918729005991541</v>
      </c>
    </row>
    <row r="16" spans="1:28" x14ac:dyDescent="0.25">
      <c r="A16" s="1" t="s">
        <v>8</v>
      </c>
      <c r="B16">
        <v>2</v>
      </c>
      <c r="C16">
        <v>7</v>
      </c>
      <c r="D16">
        <v>221.44</v>
      </c>
      <c r="E16">
        <v>2.3363999999999998</v>
      </c>
      <c r="F16" s="47">
        <v>-2.99</v>
      </c>
      <c r="G16">
        <v>0.87</v>
      </c>
      <c r="I16" s="19">
        <f t="shared" si="0"/>
        <v>219.1036</v>
      </c>
      <c r="J16">
        <f>SUM(G16:G21)</f>
        <v>46.374700000000004</v>
      </c>
      <c r="K16">
        <f>SUM(H16:H$21)</f>
        <v>31.2393</v>
      </c>
      <c r="L16">
        <f t="shared" si="1"/>
        <v>77.614000000000004</v>
      </c>
      <c r="M16">
        <f t="shared" si="11"/>
        <v>6.827399999999983</v>
      </c>
      <c r="N16">
        <f t="shared" si="12"/>
        <v>-0.16000000000000014</v>
      </c>
      <c r="O16">
        <f t="shared" si="16"/>
        <v>-1.1397046272000009</v>
      </c>
      <c r="P16">
        <f t="shared" si="14"/>
        <v>5.6876953727999826</v>
      </c>
      <c r="Q16">
        <f t="shared" si="2"/>
        <v>143.82599999999999</v>
      </c>
      <c r="R16">
        <f t="shared" si="3"/>
        <v>106.22125035000002</v>
      </c>
      <c r="S16">
        <f t="shared" si="17"/>
        <v>93.437415049200013</v>
      </c>
      <c r="T16">
        <f t="shared" si="15"/>
        <v>50.388584950799981</v>
      </c>
      <c r="U16">
        <f t="shared" si="5"/>
        <v>177.94664046656953</v>
      </c>
      <c r="V16">
        <f t="shared" si="6"/>
        <v>1.8530935140567422</v>
      </c>
      <c r="W16">
        <f t="shared" si="7"/>
        <v>2.0148360000000003</v>
      </c>
      <c r="X16">
        <f t="shared" si="7"/>
        <v>1.6129870051761717</v>
      </c>
      <c r="Y16">
        <f t="shared" si="8"/>
        <v>80.825352826495362</v>
      </c>
      <c r="Z16">
        <f t="shared" si="9"/>
        <v>52.508670466725619</v>
      </c>
      <c r="AA16">
        <f t="shared" si="10"/>
        <v>28.316682359769739</v>
      </c>
    </row>
    <row r="17" spans="1:27" x14ac:dyDescent="0.25">
      <c r="A17" s="1" t="s">
        <v>8</v>
      </c>
      <c r="B17">
        <v>2</v>
      </c>
      <c r="C17">
        <v>8</v>
      </c>
      <c r="D17">
        <v>210.91</v>
      </c>
      <c r="E17">
        <v>2.3331</v>
      </c>
      <c r="F17" s="47">
        <v>-3.2749999999999999</v>
      </c>
      <c r="G17">
        <v>0.87050000000000005</v>
      </c>
      <c r="I17" s="19">
        <f t="shared" si="0"/>
        <v>208.57689999999999</v>
      </c>
      <c r="J17">
        <f>SUM(G17:G21)</f>
        <v>45.5047</v>
      </c>
      <c r="K17">
        <f>SUM(H17:H$21)</f>
        <v>31.2393</v>
      </c>
      <c r="L17">
        <f t="shared" si="1"/>
        <v>76.744</v>
      </c>
      <c r="M17">
        <f t="shared" si="11"/>
        <v>8.1936000000000035</v>
      </c>
      <c r="N17">
        <f t="shared" si="12"/>
        <v>-0.2849999999999997</v>
      </c>
      <c r="O17">
        <f t="shared" si="16"/>
        <v>-1.9920137471999975</v>
      </c>
      <c r="P17">
        <f t="shared" si="14"/>
        <v>6.2015862528000056</v>
      </c>
      <c r="Q17">
        <f t="shared" si="2"/>
        <v>134.166</v>
      </c>
      <c r="R17">
        <f t="shared" si="3"/>
        <v>104.22851535000001</v>
      </c>
      <c r="S17">
        <f t="shared" si="17"/>
        <v>89.692493982000002</v>
      </c>
      <c r="T17">
        <f t="shared" si="15"/>
        <v>44.473506017999995</v>
      </c>
      <c r="U17">
        <f t="shared" si="5"/>
        <v>175.95198000317484</v>
      </c>
      <c r="V17">
        <f t="shared" si="6"/>
        <v>1.7482278744918169</v>
      </c>
      <c r="W17">
        <f t="shared" si="7"/>
        <v>1.97106</v>
      </c>
      <c r="X17">
        <f t="shared" si="7"/>
        <v>1.423639646791061</v>
      </c>
      <c r="Y17">
        <f t="shared" si="8"/>
        <v>76.251486341659316</v>
      </c>
      <c r="Z17">
        <f t="shared" si="9"/>
        <v>50.975552523126829</v>
      </c>
      <c r="AA17">
        <f t="shared" si="10"/>
        <v>25.275933818532494</v>
      </c>
    </row>
    <row r="18" spans="1:27" x14ac:dyDescent="0.25">
      <c r="A18" s="1" t="s">
        <v>8</v>
      </c>
      <c r="B18">
        <v>2</v>
      </c>
      <c r="C18">
        <v>9</v>
      </c>
      <c r="D18">
        <v>186.86</v>
      </c>
      <c r="E18">
        <v>3.2860999999999998</v>
      </c>
      <c r="F18" s="47">
        <v>-3.8049999999999997</v>
      </c>
      <c r="G18">
        <v>1.1976</v>
      </c>
      <c r="H18">
        <v>0.35799999999999998</v>
      </c>
      <c r="I18" s="19">
        <f t="shared" si="0"/>
        <v>183.57390000000001</v>
      </c>
      <c r="J18">
        <f>SUM(G18:G21)</f>
        <v>44.6342</v>
      </c>
      <c r="K18">
        <f>SUM(H18:H$21)</f>
        <v>31.2393</v>
      </c>
      <c r="L18">
        <f t="shared" si="1"/>
        <v>75.873500000000007</v>
      </c>
      <c r="M18">
        <f t="shared" si="11"/>
        <v>21.716899999999981</v>
      </c>
      <c r="N18">
        <f t="shared" si="12"/>
        <v>-0.5299999999999998</v>
      </c>
      <c r="O18">
        <f t="shared" si="16"/>
        <v>-3.6335809535999983</v>
      </c>
      <c r="P18">
        <f t="shared" si="14"/>
        <v>18.083319046399982</v>
      </c>
      <c r="Q18">
        <f t="shared" si="2"/>
        <v>110.98650000000001</v>
      </c>
      <c r="R18">
        <f t="shared" si="3"/>
        <v>102.23463510000001</v>
      </c>
      <c r="S18">
        <f t="shared" si="17"/>
        <v>84.343105298400019</v>
      </c>
      <c r="T18">
        <f t="shared" si="15"/>
        <v>26.643394701599988</v>
      </c>
      <c r="U18">
        <f t="shared" si="5"/>
        <v>173.95617318319199</v>
      </c>
      <c r="V18">
        <f t="shared" si="6"/>
        <v>1.4627834487666971</v>
      </c>
      <c r="W18">
        <f t="shared" si="7"/>
        <v>1.8896520000000003</v>
      </c>
      <c r="X18">
        <f t="shared" si="7"/>
        <v>0.85288065678808389</v>
      </c>
      <c r="Y18">
        <f t="shared" si="8"/>
        <v>63.801415016827789</v>
      </c>
      <c r="Z18">
        <f t="shared" si="9"/>
        <v>48.485261405226993</v>
      </c>
      <c r="AA18">
        <f t="shared" si="10"/>
        <v>15.316153611600791</v>
      </c>
    </row>
    <row r="19" spans="1:27" x14ac:dyDescent="0.25">
      <c r="A19" s="1" t="s">
        <v>8</v>
      </c>
      <c r="B19">
        <v>2</v>
      </c>
      <c r="C19">
        <v>10</v>
      </c>
      <c r="D19" s="19">
        <v>171.12</v>
      </c>
      <c r="E19" s="50">
        <v>3.234</v>
      </c>
      <c r="F19" s="47">
        <v>-4.6549999999999994</v>
      </c>
      <c r="G19">
        <v>1.5152000000000001</v>
      </c>
      <c r="I19" s="19">
        <f t="shared" si="0"/>
        <v>167.886</v>
      </c>
      <c r="J19">
        <f>SUM(G19:G21)</f>
        <v>43.436599999999999</v>
      </c>
      <c r="K19">
        <f>SUM(H19:H$21)</f>
        <v>30.8813</v>
      </c>
      <c r="L19">
        <f t="shared" si="1"/>
        <v>74.317899999999995</v>
      </c>
      <c r="M19">
        <f t="shared" si="11"/>
        <v>12.453900000000004</v>
      </c>
      <c r="N19">
        <f t="shared" si="12"/>
        <v>-0.84999999999999964</v>
      </c>
      <c r="O19">
        <f t="shared" si="16"/>
        <v>-5.6710824959999968</v>
      </c>
      <c r="P19">
        <f t="shared" si="14"/>
        <v>6.7828175040000076</v>
      </c>
      <c r="Q19">
        <f t="shared" si="2"/>
        <v>96.80210000000001</v>
      </c>
      <c r="R19">
        <f t="shared" si="3"/>
        <v>99.491532300000003</v>
      </c>
      <c r="S19">
        <f t="shared" si="17"/>
        <v>76.408975567200002</v>
      </c>
      <c r="T19">
        <f t="shared" si="15"/>
        <v>20.393124432800008</v>
      </c>
      <c r="U19">
        <f t="shared" si="5"/>
        <v>170.38962856611522</v>
      </c>
      <c r="V19">
        <f t="shared" si="6"/>
        <v>1.3025408414392767</v>
      </c>
      <c r="W19">
        <f t="shared" si="7"/>
        <v>1.7590920000000001</v>
      </c>
      <c r="X19">
        <f>T19/J19</f>
        <v>0.46949172892905999</v>
      </c>
      <c r="Y19">
        <f t="shared" si="8"/>
        <v>56.81220201876225</v>
      </c>
      <c r="Z19">
        <f t="shared" si="9"/>
        <v>44.843677523219384</v>
      </c>
      <c r="AA19">
        <f t="shared" si="10"/>
        <v>11.968524495542868</v>
      </c>
    </row>
    <row r="20" spans="1:27" x14ac:dyDescent="0.25">
      <c r="A20" s="1" t="s">
        <v>8</v>
      </c>
      <c r="B20">
        <v>2</v>
      </c>
      <c r="C20">
        <v>11</v>
      </c>
      <c r="D20" s="50">
        <v>154.41</v>
      </c>
      <c r="E20" s="50">
        <v>3.0882000000000001</v>
      </c>
      <c r="F20" s="51">
        <v>-5.5449999999999999</v>
      </c>
      <c r="G20">
        <v>1.4844999999999999</v>
      </c>
      <c r="I20" s="19">
        <f t="shared" si="0"/>
        <v>151.3218</v>
      </c>
      <c r="J20">
        <f>SUM(G20:G21)</f>
        <v>41.921399999999998</v>
      </c>
      <c r="K20">
        <f>SUM(H20:H$21)</f>
        <v>30.8813</v>
      </c>
      <c r="L20">
        <f t="shared" si="1"/>
        <v>72.802700000000002</v>
      </c>
      <c r="M20">
        <f t="shared" si="11"/>
        <v>13.475999999999999</v>
      </c>
      <c r="N20">
        <f t="shared" si="12"/>
        <v>-0.89000000000000057</v>
      </c>
      <c r="O20">
        <f t="shared" si="16"/>
        <v>-5.7308230656000028</v>
      </c>
      <c r="P20">
        <f t="shared" si="14"/>
        <v>7.7451769343999963</v>
      </c>
      <c r="Q20">
        <f t="shared" si="2"/>
        <v>81.607299999999995</v>
      </c>
      <c r="R20">
        <f t="shared" si="3"/>
        <v>96.020966700000002</v>
      </c>
      <c r="S20">
        <f t="shared" si="17"/>
        <v>68.012776303200013</v>
      </c>
      <c r="T20">
        <f t="shared" si="15"/>
        <v>13.594523696799982</v>
      </c>
      <c r="U20">
        <f t="shared" si="5"/>
        <v>166.91570956136161</v>
      </c>
      <c r="V20">
        <f t="shared" si="6"/>
        <v>1.1209378223609838</v>
      </c>
      <c r="W20">
        <f t="shared" si="7"/>
        <v>1.6223880000000004</v>
      </c>
      <c r="X20">
        <f t="shared" ref="X20:X21" si="18">T20/J20</f>
        <v>0.32428601374954041</v>
      </c>
      <c r="Y20">
        <f t="shared" si="8"/>
        <v>48.891323779203354</v>
      </c>
      <c r="Z20">
        <f t="shared" si="9"/>
        <v>40.746779606264163</v>
      </c>
      <c r="AA20">
        <f t="shared" si="10"/>
        <v>8.1445441729391916</v>
      </c>
    </row>
    <row r="21" spans="1:27" x14ac:dyDescent="0.25">
      <c r="A21" s="1" t="s">
        <v>8</v>
      </c>
      <c r="B21">
        <v>2</v>
      </c>
      <c r="C21" s="19">
        <v>12</v>
      </c>
      <c r="D21" s="50">
        <v>122.82</v>
      </c>
      <c r="E21" s="19"/>
      <c r="F21" s="51">
        <v>-7.77</v>
      </c>
      <c r="G21" s="19">
        <v>40.436900000000001</v>
      </c>
      <c r="H21">
        <v>30.8813</v>
      </c>
      <c r="I21" s="19">
        <f t="shared" si="0"/>
        <v>122.82</v>
      </c>
      <c r="J21">
        <f>SUM(G21)</f>
        <v>40.436900000000001</v>
      </c>
      <c r="K21">
        <f>SUM(H21:H$21)</f>
        <v>30.8813</v>
      </c>
      <c r="L21">
        <f t="shared" si="1"/>
        <v>71.318200000000004</v>
      </c>
      <c r="M21">
        <f>I20-D21</f>
        <v>28.501800000000003</v>
      </c>
      <c r="N21">
        <f t="shared" si="12"/>
        <v>-2.2249999999999996</v>
      </c>
      <c r="O21">
        <f t="shared" si="16"/>
        <v>-13.819714943999996</v>
      </c>
      <c r="P21">
        <f t="shared" si="14"/>
        <v>14.682085056000007</v>
      </c>
      <c r="Q21">
        <f t="shared" si="2"/>
        <v>51.501799999999989</v>
      </c>
      <c r="R21">
        <f t="shared" si="3"/>
        <v>92.62071945000001</v>
      </c>
      <c r="S21">
        <f t="shared" si="17"/>
        <v>51.78462637320002</v>
      </c>
      <c r="T21">
        <f t="shared" si="15"/>
        <v>-0.2828263732000309</v>
      </c>
      <c r="U21">
        <f t="shared" si="5"/>
        <v>163.51217685112093</v>
      </c>
      <c r="V21">
        <f t="shared" si="6"/>
        <v>0.72214105235409731</v>
      </c>
      <c r="W21">
        <f t="shared" si="7"/>
        <v>1.2806280000000005</v>
      </c>
      <c r="X21">
        <f t="shared" si="18"/>
        <v>-6.9942644762588354E-3</v>
      </c>
      <c r="Y21">
        <f t="shared" si="8"/>
        <v>31.497226073195005</v>
      </c>
      <c r="Z21">
        <f t="shared" si="9"/>
        <v>31.67019568233766</v>
      </c>
      <c r="AA21">
        <f t="shared" si="10"/>
        <v>-0.17296960914265513</v>
      </c>
    </row>
    <row r="22" spans="1:27" ht="15" customHeight="1" x14ac:dyDescent="0.25">
      <c r="C22" s="19"/>
      <c r="D22" s="19"/>
      <c r="E22" s="19"/>
      <c r="F22" s="19"/>
      <c r="G22" s="19"/>
      <c r="H22" s="19"/>
      <c r="I22" s="19"/>
    </row>
    <row r="27" spans="1:27" x14ac:dyDescent="0.25">
      <c r="I27" s="15" t="s">
        <v>91</v>
      </c>
      <c r="J27" s="16"/>
      <c r="K27" s="17" t="s">
        <v>102</v>
      </c>
      <c r="L27" s="17"/>
      <c r="M27" s="17"/>
      <c r="N27" s="17"/>
      <c r="O27" s="17"/>
      <c r="P27" s="17" t="s">
        <v>20</v>
      </c>
      <c r="Q27" s="18"/>
      <c r="R27" s="49"/>
    </row>
    <row r="28" spans="1:27" ht="27" customHeight="1" x14ac:dyDescent="0.25">
      <c r="I28" s="67" t="s">
        <v>99</v>
      </c>
      <c r="J28" s="68"/>
      <c r="K28" s="29" t="s">
        <v>87</v>
      </c>
      <c r="L28" s="29"/>
      <c r="M28" s="29"/>
      <c r="N28" s="29"/>
      <c r="O28" s="28">
        <f>SLOPE(Y9:Y13,F9:F13)</f>
        <v>4.3602626534354014</v>
      </c>
      <c r="P28" s="20" t="s">
        <v>100</v>
      </c>
      <c r="Q28" s="21"/>
      <c r="R28" s="19"/>
      <c r="U28" t="s">
        <v>109</v>
      </c>
    </row>
    <row r="29" spans="1:27" x14ac:dyDescent="0.25">
      <c r="I29" s="67"/>
      <c r="J29" s="68"/>
      <c r="K29" s="29" t="s">
        <v>88</v>
      </c>
      <c r="L29" s="29"/>
      <c r="M29" s="29"/>
      <c r="N29" s="29"/>
      <c r="O29" s="28">
        <f>SLOPE(Z9:Z13,F9:F13)</f>
        <v>2.6552646803028428</v>
      </c>
      <c r="P29" s="20" t="s">
        <v>100</v>
      </c>
      <c r="Q29" s="21"/>
      <c r="R29" s="19"/>
    </row>
    <row r="30" spans="1:27" x14ac:dyDescent="0.25">
      <c r="I30" s="67"/>
      <c r="J30" s="68"/>
      <c r="K30" s="29" t="s">
        <v>89</v>
      </c>
      <c r="L30" s="29"/>
      <c r="M30" s="29"/>
      <c r="N30" s="29"/>
      <c r="O30" s="28">
        <f>SLOPE(AA9:AA13,F9:F13)</f>
        <v>1.7049979731325557</v>
      </c>
      <c r="P30" s="20" t="s">
        <v>100</v>
      </c>
      <c r="Q30" s="21"/>
      <c r="R30" s="19"/>
    </row>
    <row r="31" spans="1:27" x14ac:dyDescent="0.25">
      <c r="I31" s="67"/>
      <c r="J31" s="68"/>
      <c r="K31" s="22"/>
      <c r="L31" s="22"/>
      <c r="M31" s="22"/>
      <c r="N31" s="22"/>
      <c r="O31" s="28"/>
      <c r="P31" s="19"/>
      <c r="Q31" s="21"/>
      <c r="R31" s="19"/>
    </row>
    <row r="32" spans="1:27" x14ac:dyDescent="0.25">
      <c r="I32" s="67"/>
      <c r="J32" s="68"/>
      <c r="K32" s="29" t="s">
        <v>87</v>
      </c>
      <c r="L32" s="29"/>
      <c r="M32" s="29"/>
      <c r="N32" s="29"/>
      <c r="O32" s="28">
        <f>SLOPE(V9:V13,F9:F13)</f>
        <v>9.9968316377287522E-2</v>
      </c>
      <c r="P32" s="19" t="s">
        <v>101</v>
      </c>
      <c r="Q32" s="21"/>
      <c r="R32" s="19"/>
    </row>
    <row r="33" spans="9:24" x14ac:dyDescent="0.25">
      <c r="I33" s="67"/>
      <c r="J33" s="68"/>
      <c r="K33" s="29" t="s">
        <v>88</v>
      </c>
      <c r="L33" s="29"/>
      <c r="M33" s="29"/>
      <c r="N33" s="29"/>
      <c r="O33" s="28">
        <f>SLOPE(W9:W13,F9:F13)</f>
        <v>8.1600000000000061E-2</v>
      </c>
      <c r="P33" s="19" t="s">
        <v>101</v>
      </c>
      <c r="Q33" s="21"/>
      <c r="R33" s="19"/>
    </row>
    <row r="34" spans="9:24" x14ac:dyDescent="0.25">
      <c r="I34" s="67"/>
      <c r="J34" s="68"/>
      <c r="K34" s="29" t="s">
        <v>89</v>
      </c>
      <c r="L34" s="29"/>
      <c r="M34" s="29"/>
      <c r="N34" s="29"/>
      <c r="O34" s="28">
        <f>SLOPE(X9:X13,F9:F13)</f>
        <v>0.12834518789104363</v>
      </c>
      <c r="P34" s="19" t="s">
        <v>101</v>
      </c>
      <c r="Q34" s="21"/>
      <c r="R34" s="19"/>
    </row>
    <row r="35" spans="9:24" x14ac:dyDescent="0.25">
      <c r="I35" s="67"/>
      <c r="J35" s="68"/>
      <c r="K35" s="19"/>
      <c r="L35" s="19"/>
      <c r="M35" s="19"/>
      <c r="N35" s="19"/>
      <c r="O35" s="28"/>
      <c r="P35" s="19"/>
      <c r="Q35" s="21"/>
      <c r="R35" s="19"/>
    </row>
    <row r="36" spans="9:24" x14ac:dyDescent="0.25">
      <c r="I36" s="67"/>
      <c r="J36" s="68"/>
      <c r="K36" s="29" t="s">
        <v>103</v>
      </c>
      <c r="L36" s="29"/>
      <c r="M36" s="29"/>
      <c r="N36" s="29"/>
      <c r="O36" s="28">
        <f>INTERCEPT(V9:V13,F9:F13)</f>
        <v>2.2818488401182959</v>
      </c>
      <c r="P36" s="19" t="s">
        <v>106</v>
      </c>
      <c r="Q36" s="21"/>
      <c r="R36" s="19"/>
    </row>
    <row r="37" spans="9:24" x14ac:dyDescent="0.25">
      <c r="I37" s="67"/>
      <c r="J37" s="68"/>
      <c r="K37" s="29" t="s">
        <v>90</v>
      </c>
      <c r="L37" s="29"/>
      <c r="M37" s="29"/>
      <c r="N37" s="29"/>
      <c r="O37" s="28">
        <f>INTERCEPT(W9:W13,F9:F13)</f>
        <v>2.2905000000000002</v>
      </c>
      <c r="P37" s="19" t="s">
        <v>104</v>
      </c>
      <c r="Q37" s="21"/>
      <c r="R37" s="19"/>
    </row>
    <row r="38" spans="9:24" x14ac:dyDescent="0.25">
      <c r="I38" s="23"/>
      <c r="J38" s="19"/>
      <c r="K38" s="29" t="s">
        <v>92</v>
      </c>
      <c r="L38" s="29"/>
      <c r="M38" s="29"/>
      <c r="N38" s="29"/>
      <c r="O38" s="28">
        <f>INTERCEPT(X9:X13,F9:F13)</f>
        <v>2.2668508171846122</v>
      </c>
      <c r="P38" s="19" t="s">
        <v>105</v>
      </c>
      <c r="Q38" s="21"/>
      <c r="R38" s="19"/>
      <c r="V38" t="s">
        <v>125</v>
      </c>
      <c r="W38">
        <v>-1.61</v>
      </c>
      <c r="X38">
        <f>(0.0816*W38)+2.2905</f>
        <v>2.1591240000000003</v>
      </c>
    </row>
    <row r="39" spans="9:24" x14ac:dyDescent="0.25">
      <c r="I39" s="23"/>
      <c r="J39" s="19"/>
      <c r="K39" s="22"/>
      <c r="L39" s="22"/>
      <c r="M39" s="22"/>
      <c r="N39" s="22"/>
      <c r="O39" s="28"/>
      <c r="P39" s="19"/>
      <c r="Q39" s="21"/>
      <c r="R39" s="19"/>
      <c r="V39" t="s">
        <v>126</v>
      </c>
      <c r="W39">
        <v>-1.59</v>
      </c>
      <c r="X39">
        <f>(0.1283*W39)+2.2669</f>
        <v>2.0629029999999999</v>
      </c>
    </row>
    <row r="40" spans="9:24" x14ac:dyDescent="0.25">
      <c r="I40" s="23"/>
      <c r="J40" s="19"/>
      <c r="K40" s="22" t="s">
        <v>93</v>
      </c>
      <c r="L40" s="22"/>
      <c r="M40" s="22"/>
      <c r="N40" s="22"/>
      <c r="O40" s="28">
        <f>INTERCEPT(Y9:Y13,F9:F13)</f>
        <v>99.526136269042652</v>
      </c>
      <c r="P40" s="19"/>
      <c r="Q40" s="21"/>
      <c r="R40" s="19"/>
    </row>
    <row r="41" spans="9:24" x14ac:dyDescent="0.25">
      <c r="I41" s="23"/>
      <c r="J41" s="19"/>
      <c r="K41" s="22" t="s">
        <v>96</v>
      </c>
      <c r="L41" s="22"/>
      <c r="M41" s="22"/>
      <c r="N41" s="22"/>
      <c r="O41" s="28">
        <f>INTERCEPT(Z9:Z13,F9:F13)</f>
        <v>62.203003429137233</v>
      </c>
      <c r="P41" s="19"/>
      <c r="Q41" s="21"/>
      <c r="R41" s="19"/>
    </row>
    <row r="42" spans="9:24" x14ac:dyDescent="0.25">
      <c r="I42" s="23"/>
      <c r="J42" s="19"/>
      <c r="K42" s="22" t="s">
        <v>97</v>
      </c>
      <c r="L42" s="22"/>
      <c r="M42" s="22"/>
      <c r="N42" s="22"/>
      <c r="O42" s="28">
        <f>INTERCEPT(AA9:AA13,F9:F13)</f>
        <v>37.323132839905426</v>
      </c>
      <c r="P42" s="19"/>
      <c r="Q42" s="21"/>
      <c r="R42" s="19"/>
    </row>
    <row r="43" spans="9:24" x14ac:dyDescent="0.25">
      <c r="I43" s="23"/>
      <c r="J43" s="19"/>
      <c r="K43" s="22"/>
      <c r="L43" s="22"/>
      <c r="M43" s="22"/>
      <c r="N43" s="22"/>
      <c r="O43" s="28"/>
      <c r="P43" s="19"/>
      <c r="Q43" s="21"/>
      <c r="R43" s="19"/>
    </row>
    <row r="44" spans="9:24" x14ac:dyDescent="0.25">
      <c r="I44" s="23"/>
      <c r="J44" s="19"/>
      <c r="K44" s="22" t="s">
        <v>94</v>
      </c>
      <c r="L44" s="22"/>
      <c r="M44" s="22"/>
      <c r="N44" s="22"/>
      <c r="O44" s="28">
        <f>AVERAGE(Y14)</f>
        <v>86.868087301341717</v>
      </c>
      <c r="P44" s="19"/>
      <c r="Q44" s="21"/>
      <c r="R44" s="19"/>
    </row>
    <row r="45" spans="9:24" x14ac:dyDescent="0.25">
      <c r="I45" s="23"/>
      <c r="J45" s="19"/>
      <c r="K45" s="22" t="s">
        <v>95</v>
      </c>
      <c r="L45" s="22"/>
      <c r="M45" s="22"/>
      <c r="N45" s="22"/>
      <c r="O45" s="28">
        <f>AVERAGE(Z15)</f>
        <v>53.637138907515791</v>
      </c>
      <c r="P45" s="19"/>
      <c r="Q45" s="21"/>
      <c r="R45" s="19"/>
    </row>
    <row r="46" spans="9:24" x14ac:dyDescent="0.25">
      <c r="I46" s="24"/>
      <c r="J46" s="25"/>
      <c r="K46" s="26" t="s">
        <v>98</v>
      </c>
      <c r="L46" s="26"/>
      <c r="M46" s="26"/>
      <c r="N46" s="26"/>
      <c r="O46" s="28">
        <f>AVERAGE(AA14)</f>
        <v>31.994878023365043</v>
      </c>
      <c r="P46" s="25"/>
      <c r="Q46" s="27"/>
      <c r="R46" s="19"/>
    </row>
  </sheetData>
  <mergeCells count="7">
    <mergeCell ref="W7:AB7"/>
    <mergeCell ref="I28:J37"/>
    <mergeCell ref="E1:F1"/>
    <mergeCell ref="K1:M3"/>
    <mergeCell ref="C2:D2"/>
    <mergeCell ref="G7:H7"/>
    <mergeCell ref="I7:T7"/>
  </mergeCell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6"/>
  <sheetViews>
    <sheetView topLeftCell="Q7" zoomScale="106" zoomScaleNormal="106" workbookViewId="0">
      <selection activeCell="V9" sqref="V9:AA21"/>
    </sheetView>
  </sheetViews>
  <sheetFormatPr defaultRowHeight="15" x14ac:dyDescent="0.25"/>
  <cols>
    <col min="1" max="1" width="11.7109375" customWidth="1"/>
    <col min="4" max="4" width="9.28515625" customWidth="1"/>
    <col min="5" max="5" width="30.5703125" customWidth="1"/>
    <col min="6" max="6" width="12.5703125" customWidth="1"/>
    <col min="7" max="7" width="16.140625" customWidth="1"/>
    <col min="8" max="8" width="16.85546875" customWidth="1"/>
    <col min="9" max="9" width="16.28515625" customWidth="1"/>
    <col min="10" max="10" width="18" customWidth="1"/>
    <col min="11" max="11" width="11.7109375" customWidth="1"/>
    <col min="12" max="12" width="12.7109375" customWidth="1"/>
    <col min="13" max="13" width="12.5703125" customWidth="1"/>
    <col min="14" max="14" width="14.7109375" customWidth="1"/>
    <col min="16" max="16" width="19.140625" bestFit="1" customWidth="1"/>
    <col min="17" max="18" width="17.7109375" customWidth="1"/>
    <col min="19" max="19" width="13.28515625" customWidth="1"/>
    <col min="20" max="20" width="13.5703125" customWidth="1"/>
    <col min="21" max="21" width="19.5703125" customWidth="1"/>
    <col min="22" max="22" width="15.42578125" customWidth="1"/>
    <col min="23" max="23" width="13.42578125" customWidth="1"/>
    <col min="24" max="24" width="12" customWidth="1"/>
    <col min="25" max="25" width="12.140625" customWidth="1"/>
  </cols>
  <sheetData>
    <row r="1" spans="1:28" x14ac:dyDescent="0.25">
      <c r="E1" s="69" t="s">
        <v>42</v>
      </c>
      <c r="F1" s="69"/>
      <c r="G1" t="s">
        <v>20</v>
      </c>
      <c r="K1" s="70" t="s">
        <v>19</v>
      </c>
      <c r="L1" s="70"/>
      <c r="M1" s="70"/>
    </row>
    <row r="2" spans="1:28" x14ac:dyDescent="0.25">
      <c r="C2" s="63"/>
      <c r="D2" s="63"/>
      <c r="E2" t="s">
        <v>17</v>
      </c>
      <c r="F2">
        <v>8.1600000000000006E-2</v>
      </c>
      <c r="G2" t="s">
        <v>21</v>
      </c>
      <c r="K2" s="70"/>
      <c r="L2" s="70"/>
      <c r="M2" s="70"/>
    </row>
    <row r="3" spans="1:28" x14ac:dyDescent="0.25">
      <c r="E3" t="s">
        <v>18</v>
      </c>
      <c r="F3">
        <v>0.15359999999999999</v>
      </c>
      <c r="G3" t="s">
        <v>21</v>
      </c>
      <c r="K3" s="70"/>
      <c r="L3" s="70"/>
      <c r="M3" s="70"/>
    </row>
    <row r="4" spans="1:28" x14ac:dyDescent="0.25">
      <c r="E4" t="s">
        <v>29</v>
      </c>
      <c r="F4">
        <v>2.2905000000000002</v>
      </c>
    </row>
    <row r="5" spans="1:28" x14ac:dyDescent="0.25">
      <c r="E5" t="s">
        <v>108</v>
      </c>
      <c r="F5">
        <f>(INTERCEPT(Q9:Q15,F9:F15)/L9)</f>
        <v>2.5184247633297083</v>
      </c>
    </row>
    <row r="7" spans="1:28" x14ac:dyDescent="0.25">
      <c r="D7" s="30" t="s">
        <v>25</v>
      </c>
      <c r="E7" s="30"/>
      <c r="F7" s="30"/>
      <c r="G7" s="64" t="s">
        <v>26</v>
      </c>
      <c r="H7" s="64"/>
      <c r="I7" s="65" t="s">
        <v>13</v>
      </c>
      <c r="J7" s="65"/>
      <c r="K7" s="65"/>
      <c r="L7" s="65"/>
      <c r="M7" s="65"/>
      <c r="N7" s="65"/>
      <c r="O7" s="65"/>
      <c r="P7" s="65"/>
      <c r="Q7" s="65"/>
      <c r="R7" s="65"/>
      <c r="S7" s="65"/>
      <c r="T7" s="65"/>
      <c r="U7" s="5"/>
      <c r="V7" s="5"/>
      <c r="W7" s="66" t="s">
        <v>32</v>
      </c>
      <c r="X7" s="66"/>
      <c r="Y7" s="66"/>
      <c r="Z7" s="66"/>
      <c r="AA7" s="66"/>
      <c r="AB7" s="66"/>
    </row>
    <row r="8" spans="1:28" ht="63" customHeight="1" x14ac:dyDescent="0.25">
      <c r="A8" s="3" t="s">
        <v>3</v>
      </c>
      <c r="B8" s="3" t="s">
        <v>4</v>
      </c>
      <c r="C8" s="3" t="s">
        <v>5</v>
      </c>
      <c r="D8" s="3" t="s">
        <v>6</v>
      </c>
      <c r="E8" s="3" t="s">
        <v>7</v>
      </c>
      <c r="F8" s="4" t="s">
        <v>9</v>
      </c>
      <c r="G8" s="4" t="s">
        <v>14</v>
      </c>
      <c r="H8" s="4" t="s">
        <v>11</v>
      </c>
      <c r="I8" s="4" t="s">
        <v>23</v>
      </c>
      <c r="J8" s="4" t="s">
        <v>10</v>
      </c>
      <c r="K8" s="4" t="s">
        <v>12</v>
      </c>
      <c r="L8" s="4" t="s">
        <v>15</v>
      </c>
      <c r="M8" s="4" t="s">
        <v>24</v>
      </c>
      <c r="N8" s="4" t="s">
        <v>44</v>
      </c>
      <c r="O8" s="4" t="s">
        <v>16</v>
      </c>
      <c r="P8" s="4" t="s">
        <v>22</v>
      </c>
      <c r="Q8" s="4" t="s">
        <v>28</v>
      </c>
      <c r="R8" s="4" t="s">
        <v>135</v>
      </c>
      <c r="S8" s="4" t="s">
        <v>27</v>
      </c>
      <c r="T8" s="4" t="s">
        <v>30</v>
      </c>
      <c r="U8" s="4" t="s">
        <v>136</v>
      </c>
      <c r="V8" s="4" t="s">
        <v>33</v>
      </c>
      <c r="W8" s="4" t="s">
        <v>34</v>
      </c>
      <c r="X8" s="4" t="s">
        <v>31</v>
      </c>
      <c r="Y8" s="4" t="s">
        <v>35</v>
      </c>
      <c r="Z8" s="4" t="s">
        <v>36</v>
      </c>
      <c r="AA8" s="4" t="s">
        <v>37</v>
      </c>
    </row>
    <row r="9" spans="1:28" x14ac:dyDescent="0.25">
      <c r="A9" s="1" t="s">
        <v>8</v>
      </c>
      <c r="B9">
        <v>3</v>
      </c>
      <c r="C9">
        <v>0</v>
      </c>
      <c r="D9">
        <v>128.80000000000001</v>
      </c>
      <c r="E9">
        <v>0</v>
      </c>
      <c r="F9" s="52">
        <v>-0.3</v>
      </c>
      <c r="I9" s="19">
        <f>D9-E9</f>
        <v>128.80000000000001</v>
      </c>
      <c r="J9">
        <f>SUM(G9:G$21)</f>
        <v>26.110700000000001</v>
      </c>
      <c r="K9">
        <f>SUM(H9:H$21)</f>
        <v>11.6958</v>
      </c>
      <c r="L9">
        <f>SUM(J9:K9)</f>
        <v>37.8065</v>
      </c>
      <c r="N9">
        <v>0</v>
      </c>
      <c r="Q9">
        <f t="shared" ref="Q9:Q21" si="0">D9-L9</f>
        <v>90.993500000000012</v>
      </c>
      <c r="R9">
        <f>J9*$F$4</f>
        <v>59.80655835000001</v>
      </c>
      <c r="S9">
        <f>($F$4*J9)+($F$2*J9*F9)</f>
        <v>59.167368414000009</v>
      </c>
      <c r="T9">
        <f>Q9-S9</f>
        <v>31.826131586000002</v>
      </c>
      <c r="U9">
        <f t="shared" ref="U9:U21" si="1">L9*$F$5</f>
        <v>95.212825814824612</v>
      </c>
      <c r="V9">
        <f>Q9/L9</f>
        <v>2.4068215783000282</v>
      </c>
      <c r="W9">
        <f>S9/J9</f>
        <v>2.2660200000000001</v>
      </c>
      <c r="X9">
        <f>T9/K9</f>
        <v>2.7211590131500198</v>
      </c>
      <c r="Y9">
        <f>(Q9/U9)*100</f>
        <v>95.56853209773378</v>
      </c>
      <c r="Z9">
        <f>S9/(U9)*100</f>
        <v>62.142224965649184</v>
      </c>
      <c r="AA9">
        <f>T9/(U9)*100</f>
        <v>33.426307132084595</v>
      </c>
    </row>
    <row r="10" spans="1:28" x14ac:dyDescent="0.25">
      <c r="A10" s="1" t="s">
        <v>8</v>
      </c>
      <c r="B10">
        <v>3</v>
      </c>
      <c r="C10">
        <v>1</v>
      </c>
      <c r="D10">
        <v>125.43</v>
      </c>
      <c r="E10">
        <v>2.5105</v>
      </c>
      <c r="F10" s="52">
        <v>-0.76</v>
      </c>
      <c r="G10">
        <v>0.79690000000000005</v>
      </c>
      <c r="I10" s="19">
        <f t="shared" ref="I10:I21" si="2">D10-E10</f>
        <v>122.91950000000001</v>
      </c>
      <c r="J10">
        <f>SUM(G10:G$21)</f>
        <v>26.110700000000001</v>
      </c>
      <c r="K10">
        <f>SUM(H10:H$21)</f>
        <v>11.6958</v>
      </c>
      <c r="L10">
        <f t="shared" ref="L10:L21" si="3">SUM(J10:K10)</f>
        <v>37.8065</v>
      </c>
      <c r="M10">
        <f>I9-D10</f>
        <v>3.3700000000000045</v>
      </c>
      <c r="N10">
        <f>F10-F9</f>
        <v>-0.46</v>
      </c>
      <c r="O10">
        <f>N10*$F$2*J10</f>
        <v>-0.98009123520000019</v>
      </c>
      <c r="P10">
        <f>M10-O10</f>
        <v>4.3500912352000043</v>
      </c>
      <c r="Q10">
        <f t="shared" si="0"/>
        <v>87.623500000000007</v>
      </c>
      <c r="R10">
        <f t="shared" ref="R10:R21" si="4">J10*$F$4</f>
        <v>59.80655835000001</v>
      </c>
      <c r="S10">
        <f t="shared" ref="S10:S14" si="5">($F$4*J10)+($F$2*J10*F10)</f>
        <v>58.187277178800009</v>
      </c>
      <c r="T10">
        <f t="shared" ref="T10:T21" si="6">Q10-S10</f>
        <v>29.436222821199998</v>
      </c>
      <c r="U10">
        <f t="shared" si="1"/>
        <v>95.212825814824612</v>
      </c>
      <c r="V10">
        <f t="shared" ref="V10:V21" si="7">Q10/L10</f>
        <v>2.3176834671286684</v>
      </c>
      <c r="W10">
        <f t="shared" ref="W10:X21" si="8">S10/J10</f>
        <v>2.2284840000000004</v>
      </c>
      <c r="X10">
        <f t="shared" si="8"/>
        <v>2.5168199542741836</v>
      </c>
      <c r="Y10">
        <f t="shared" ref="Y10:Y21" si="9">(Q10/U10)*100</f>
        <v>92.029092982089651</v>
      </c>
      <c r="Z10">
        <f t="shared" ref="Z10:Z21" si="10">S10/(U10)*100</f>
        <v>61.11285604732074</v>
      </c>
      <c r="AA10">
        <f t="shared" ref="AA10:AA21" si="11">T10/(U10)*100</f>
        <v>30.916236934768914</v>
      </c>
    </row>
    <row r="11" spans="1:28" x14ac:dyDescent="0.25">
      <c r="A11" s="1" t="s">
        <v>8</v>
      </c>
      <c r="B11">
        <v>3</v>
      </c>
      <c r="C11">
        <v>2</v>
      </c>
      <c r="D11">
        <v>120.35</v>
      </c>
      <c r="E11">
        <v>2.7814000000000001</v>
      </c>
      <c r="F11" s="52">
        <v>-1.2949999999999999</v>
      </c>
      <c r="G11">
        <v>0.94399999999999995</v>
      </c>
      <c r="I11" s="19">
        <f t="shared" si="2"/>
        <v>117.56859999999999</v>
      </c>
      <c r="J11">
        <f>SUM(G11:G$21)</f>
        <v>25.313800000000001</v>
      </c>
      <c r="K11">
        <f>SUM(H11:H$21)</f>
        <v>11.6958</v>
      </c>
      <c r="L11">
        <f t="shared" si="3"/>
        <v>37.009599999999999</v>
      </c>
      <c r="M11">
        <f t="shared" ref="M11:M21" si="12">I10-D11</f>
        <v>2.5695000000000192</v>
      </c>
      <c r="N11">
        <f t="shared" ref="N11:N18" si="13">F11-F10</f>
        <v>-0.53499999999999992</v>
      </c>
      <c r="O11">
        <f t="shared" ref="O11:O21" si="14">N11*$F$2*J11</f>
        <v>-1.1050992527999999</v>
      </c>
      <c r="P11">
        <f t="shared" ref="P11:P18" si="15">M11-O11</f>
        <v>3.6745992528000189</v>
      </c>
      <c r="Q11">
        <f t="shared" si="0"/>
        <v>83.340399999999988</v>
      </c>
      <c r="R11">
        <f t="shared" si="4"/>
        <v>57.981258900000007</v>
      </c>
      <c r="S11">
        <f t="shared" si="5"/>
        <v>55.306299026400005</v>
      </c>
      <c r="T11">
        <f t="shared" si="6"/>
        <v>28.034100973599983</v>
      </c>
      <c r="U11">
        <f t="shared" si="1"/>
        <v>93.205893120927172</v>
      </c>
      <c r="V11">
        <f t="shared" si="7"/>
        <v>2.251858977130258</v>
      </c>
      <c r="W11">
        <f t="shared" si="8"/>
        <v>2.184828</v>
      </c>
      <c r="X11">
        <f t="shared" si="8"/>
        <v>2.3969374453735512</v>
      </c>
      <c r="Y11">
        <f t="shared" si="9"/>
        <v>89.415376227201108</v>
      </c>
      <c r="Z11">
        <f t="shared" si="10"/>
        <v>59.337770579210606</v>
      </c>
      <c r="AA11">
        <f t="shared" si="11"/>
        <v>30.077605647990502</v>
      </c>
    </row>
    <row r="12" spans="1:28" x14ac:dyDescent="0.25">
      <c r="A12" s="1" t="s">
        <v>8</v>
      </c>
      <c r="B12">
        <v>3</v>
      </c>
      <c r="C12">
        <v>3</v>
      </c>
      <c r="D12">
        <v>114.22</v>
      </c>
      <c r="E12">
        <v>2.7507000000000001</v>
      </c>
      <c r="F12" s="52">
        <v>-1.9350000000000001</v>
      </c>
      <c r="G12">
        <v>0.93879999999999997</v>
      </c>
      <c r="I12" s="19">
        <f t="shared" si="2"/>
        <v>111.4693</v>
      </c>
      <c r="J12">
        <f>SUM(G12:G$21)</f>
        <v>24.369799999999998</v>
      </c>
      <c r="K12">
        <f>SUM(H12:H$21)</f>
        <v>11.6958</v>
      </c>
      <c r="L12">
        <f t="shared" si="3"/>
        <v>36.065599999999996</v>
      </c>
      <c r="M12">
        <f t="shared" si="12"/>
        <v>3.3485999999999905</v>
      </c>
      <c r="N12">
        <f t="shared" si="13"/>
        <v>-0.64000000000000012</v>
      </c>
      <c r="O12">
        <f t="shared" si="14"/>
        <v>-1.2726884352000003</v>
      </c>
      <c r="P12">
        <f t="shared" si="15"/>
        <v>4.6212884351999906</v>
      </c>
      <c r="Q12">
        <f t="shared" si="0"/>
        <v>78.15440000000001</v>
      </c>
      <c r="R12">
        <f t="shared" si="4"/>
        <v>55.819026899999997</v>
      </c>
      <c r="S12">
        <f t="shared" si="5"/>
        <v>51.971132959199998</v>
      </c>
      <c r="T12">
        <f t="shared" si="6"/>
        <v>26.183267040800011</v>
      </c>
      <c r="U12">
        <f t="shared" si="1"/>
        <v>90.82850014434392</v>
      </c>
      <c r="V12">
        <f t="shared" si="7"/>
        <v>2.1670067876314278</v>
      </c>
      <c r="W12">
        <f t="shared" si="8"/>
        <v>2.1326040000000002</v>
      </c>
      <c r="X12">
        <f t="shared" si="8"/>
        <v>2.2386897040647078</v>
      </c>
      <c r="Y12">
        <f t="shared" si="9"/>
        <v>86.046119748534508</v>
      </c>
      <c r="Z12">
        <f t="shared" si="10"/>
        <v>57.218970781866808</v>
      </c>
      <c r="AA12">
        <f t="shared" si="11"/>
        <v>28.827148966667703</v>
      </c>
    </row>
    <row r="13" spans="1:28" x14ac:dyDescent="0.25">
      <c r="A13" s="1" t="s">
        <v>8</v>
      </c>
      <c r="B13">
        <v>3</v>
      </c>
      <c r="C13">
        <v>4</v>
      </c>
      <c r="D13">
        <v>109.2</v>
      </c>
      <c r="E13">
        <v>2.1541000000000001</v>
      </c>
      <c r="F13" s="52">
        <v>-2.1749999999999998</v>
      </c>
      <c r="G13">
        <v>0.81710000000000005</v>
      </c>
      <c r="I13" s="19">
        <f t="shared" si="2"/>
        <v>107.0459</v>
      </c>
      <c r="J13">
        <f>SUM(G13:G$21)</f>
        <v>23.431000000000001</v>
      </c>
      <c r="K13">
        <f>SUM(H13:H$21)</f>
        <v>11.6958</v>
      </c>
      <c r="L13">
        <f t="shared" si="3"/>
        <v>35.126800000000003</v>
      </c>
      <c r="M13">
        <f t="shared" si="12"/>
        <v>2.2693000000000012</v>
      </c>
      <c r="N13">
        <f t="shared" si="13"/>
        <v>-0.23999999999999977</v>
      </c>
      <c r="O13">
        <f t="shared" si="14"/>
        <v>-0.45887270399999963</v>
      </c>
      <c r="P13">
        <f t="shared" si="15"/>
        <v>2.7281727040000008</v>
      </c>
      <c r="Q13">
        <f t="shared" si="0"/>
        <v>74.0732</v>
      </c>
      <c r="R13">
        <f t="shared" si="4"/>
        <v>53.668705500000009</v>
      </c>
      <c r="S13">
        <f t="shared" si="5"/>
        <v>49.510171620000008</v>
      </c>
      <c r="T13">
        <f t="shared" si="6"/>
        <v>24.563028379999992</v>
      </c>
      <c r="U13">
        <f t="shared" si="1"/>
        <v>88.464202976530004</v>
      </c>
      <c r="V13">
        <f t="shared" si="7"/>
        <v>2.1087374881856586</v>
      </c>
      <c r="W13">
        <f t="shared" si="8"/>
        <v>2.1130200000000001</v>
      </c>
      <c r="X13">
        <f t="shared" si="8"/>
        <v>2.1001580379281446</v>
      </c>
      <c r="Y13">
        <f t="shared" si="9"/>
        <v>83.732399668656939</v>
      </c>
      <c r="Z13">
        <f t="shared" si="10"/>
        <v>55.966334352365443</v>
      </c>
      <c r="AA13">
        <f t="shared" si="11"/>
        <v>27.766065316291478</v>
      </c>
    </row>
    <row r="14" spans="1:28" x14ac:dyDescent="0.25">
      <c r="A14" s="1" t="s">
        <v>8</v>
      </c>
      <c r="B14">
        <v>3</v>
      </c>
      <c r="C14">
        <v>5</v>
      </c>
      <c r="D14">
        <v>104.85</v>
      </c>
      <c r="E14">
        <v>2.5949</v>
      </c>
      <c r="F14" s="52">
        <v>-2.4649999999999999</v>
      </c>
      <c r="G14">
        <v>0.83579999999999999</v>
      </c>
      <c r="I14" s="19">
        <f t="shared" si="2"/>
        <v>102.2551</v>
      </c>
      <c r="J14">
        <f>SUM(G14:G$21)</f>
        <v>22.613900000000001</v>
      </c>
      <c r="K14">
        <f>SUM(H14:H$21)</f>
        <v>11.6958</v>
      </c>
      <c r="L14">
        <f t="shared" si="3"/>
        <v>34.309699999999999</v>
      </c>
      <c r="M14">
        <f t="shared" si="12"/>
        <v>2.1959000000000088</v>
      </c>
      <c r="N14">
        <f t="shared" si="13"/>
        <v>-0.29000000000000004</v>
      </c>
      <c r="O14">
        <f t="shared" si="14"/>
        <v>-0.5351353296000001</v>
      </c>
      <c r="P14">
        <f t="shared" si="15"/>
        <v>2.7310353296000089</v>
      </c>
      <c r="Q14">
        <f t="shared" si="0"/>
        <v>70.540300000000002</v>
      </c>
      <c r="R14">
        <f t="shared" si="4"/>
        <v>51.797137950000007</v>
      </c>
      <c r="S14">
        <f t="shared" si="5"/>
        <v>47.248487648400008</v>
      </c>
      <c r="T14">
        <f t="shared" si="6"/>
        <v>23.291812351599994</v>
      </c>
      <c r="U14">
        <f t="shared" si="1"/>
        <v>86.406398102413291</v>
      </c>
      <c r="V14">
        <f t="shared" si="7"/>
        <v>2.0559870823702919</v>
      </c>
      <c r="W14">
        <f t="shared" si="8"/>
        <v>2.0893560000000004</v>
      </c>
      <c r="X14">
        <f t="shared" si="8"/>
        <v>1.991468078421313</v>
      </c>
      <c r="Y14">
        <f t="shared" si="9"/>
        <v>81.637820287789367</v>
      </c>
      <c r="Z14">
        <f t="shared" si="10"/>
        <v>54.681700297700964</v>
      </c>
      <c r="AA14">
        <f t="shared" si="11"/>
        <v>26.9561199900884</v>
      </c>
    </row>
    <row r="15" spans="1:28" x14ac:dyDescent="0.25">
      <c r="A15" s="1" t="s">
        <v>8</v>
      </c>
      <c r="B15">
        <v>3</v>
      </c>
      <c r="C15">
        <v>6</v>
      </c>
      <c r="D15">
        <v>100.73</v>
      </c>
      <c r="E15">
        <v>2.0367000000000002</v>
      </c>
      <c r="F15" s="52">
        <v>-2.59</v>
      </c>
      <c r="G15">
        <v>0.70220000000000005</v>
      </c>
      <c r="I15" s="19">
        <f t="shared" si="2"/>
        <v>98.693300000000008</v>
      </c>
      <c r="J15">
        <f>SUM(G15:G$21)</f>
        <v>21.778100000000002</v>
      </c>
      <c r="K15">
        <f>SUM(H15:H$21)</f>
        <v>11.6958</v>
      </c>
      <c r="L15">
        <f t="shared" si="3"/>
        <v>33.4739</v>
      </c>
      <c r="M15">
        <f t="shared" si="12"/>
        <v>1.5250999999999948</v>
      </c>
      <c r="N15">
        <f t="shared" si="13"/>
        <v>-0.125</v>
      </c>
      <c r="O15">
        <f>N15*$F$2*J15</f>
        <v>-0.22213662000000003</v>
      </c>
      <c r="P15">
        <f t="shared" si="15"/>
        <v>1.7472366199999949</v>
      </c>
      <c r="Q15">
        <f t="shared" si="0"/>
        <v>67.256100000000004</v>
      </c>
      <c r="R15">
        <f t="shared" si="4"/>
        <v>49.882738050000007</v>
      </c>
      <c r="S15">
        <f t="shared" ref="S15:S16" si="16">($F$4*J15)-(2.55*$F$2*J15)-($F$3*((ABS(F15)-2.55)*J15))</f>
        <v>45.217346355600007</v>
      </c>
      <c r="T15">
        <f t="shared" si="6"/>
        <v>22.038753644399996</v>
      </c>
      <c r="U15">
        <f t="shared" si="1"/>
        <v>84.301498685222327</v>
      </c>
      <c r="V15">
        <f t="shared" si="7"/>
        <v>2.0092101607521085</v>
      </c>
      <c r="W15">
        <f t="shared" si="8"/>
        <v>2.076276</v>
      </c>
      <c r="X15">
        <f t="shared" si="8"/>
        <v>1.8843305840045141</v>
      </c>
      <c r="Y15">
        <f t="shared" si="9"/>
        <v>79.780432197452384</v>
      </c>
      <c r="Z15">
        <f t="shared" si="10"/>
        <v>53.637654206409039</v>
      </c>
      <c r="AA15">
        <f t="shared" si="11"/>
        <v>26.142777991043342</v>
      </c>
    </row>
    <row r="16" spans="1:28" x14ac:dyDescent="0.25">
      <c r="A16" s="1" t="s">
        <v>8</v>
      </c>
      <c r="B16">
        <v>3</v>
      </c>
      <c r="C16">
        <v>7</v>
      </c>
      <c r="D16">
        <v>94.16</v>
      </c>
      <c r="E16">
        <v>2.4563999999999999</v>
      </c>
      <c r="F16" s="47">
        <v>-2.8250000000000002</v>
      </c>
      <c r="G16">
        <v>0.78710000000000002</v>
      </c>
      <c r="I16" s="19">
        <f t="shared" si="2"/>
        <v>91.703599999999994</v>
      </c>
      <c r="J16">
        <f>SUM(G16:G$21)</f>
        <v>21.075900000000001</v>
      </c>
      <c r="K16">
        <f>SUM(H16:H$21)</f>
        <v>11.6958</v>
      </c>
      <c r="L16">
        <f t="shared" si="3"/>
        <v>32.771700000000003</v>
      </c>
      <c r="M16">
        <f t="shared" si="12"/>
        <v>4.5333000000000112</v>
      </c>
      <c r="N16">
        <f t="shared" si="13"/>
        <v>-0.23500000000000032</v>
      </c>
      <c r="O16">
        <f t="shared" si="14"/>
        <v>-0.40415145840000055</v>
      </c>
      <c r="P16">
        <f>M16-O16</f>
        <v>4.9374514584000115</v>
      </c>
      <c r="Q16">
        <f>D16-L16</f>
        <v>61.388299999999994</v>
      </c>
      <c r="R16">
        <f t="shared" si="4"/>
        <v>48.274348950000004</v>
      </c>
      <c r="S16">
        <f t="shared" si="16"/>
        <v>42.998629662000006</v>
      </c>
      <c r="T16">
        <f t="shared" si="6"/>
        <v>18.389670337999988</v>
      </c>
      <c r="U16">
        <f t="shared" si="1"/>
        <v>82.533060816412203</v>
      </c>
      <c r="V16">
        <f t="shared" si="7"/>
        <v>1.8732107275484637</v>
      </c>
      <c r="W16">
        <f t="shared" si="8"/>
        <v>2.0401800000000003</v>
      </c>
      <c r="X16">
        <f t="shared" si="8"/>
        <v>1.57233112211221</v>
      </c>
      <c r="Y16">
        <f t="shared" si="9"/>
        <v>74.380253673801178</v>
      </c>
      <c r="Z16">
        <f t="shared" si="10"/>
        <v>52.098673230654583</v>
      </c>
      <c r="AA16">
        <f t="shared" si="11"/>
        <v>22.281580443146595</v>
      </c>
    </row>
    <row r="17" spans="1:27" x14ac:dyDescent="0.25">
      <c r="A17" s="1" t="s">
        <v>8</v>
      </c>
      <c r="B17">
        <v>3</v>
      </c>
      <c r="C17">
        <v>8</v>
      </c>
      <c r="D17">
        <v>88.44</v>
      </c>
      <c r="E17">
        <v>3.2953000000000001</v>
      </c>
      <c r="F17" s="47">
        <v>-3.1399999999999997</v>
      </c>
      <c r="G17">
        <v>1.1709000000000001</v>
      </c>
      <c r="I17" s="19">
        <f t="shared" si="2"/>
        <v>85.1447</v>
      </c>
      <c r="J17">
        <f>SUM(G17:G$21)</f>
        <v>20.288800000000002</v>
      </c>
      <c r="K17">
        <f>SUM(H17:H$21)</f>
        <v>11.6958</v>
      </c>
      <c r="L17">
        <f t="shared" si="3"/>
        <v>31.9846</v>
      </c>
      <c r="M17">
        <f t="shared" si="12"/>
        <v>3.2635999999999967</v>
      </c>
      <c r="N17">
        <f t="shared" si="13"/>
        <v>-0.3149999999999995</v>
      </c>
      <c r="O17">
        <f t="shared" si="14"/>
        <v>-0.52150331519999926</v>
      </c>
      <c r="P17">
        <f t="shared" si="15"/>
        <v>3.7851033151999962</v>
      </c>
      <c r="Q17">
        <f t="shared" si="0"/>
        <v>56.455399999999997</v>
      </c>
      <c r="R17">
        <f t="shared" si="4"/>
        <v>46.471496400000007</v>
      </c>
      <c r="S17">
        <f>($F$4*J17)-(2.55*$F$2*J17)-($F$3*((ABS(F17)-2.55)*J17))</f>
        <v>40.411150684800006</v>
      </c>
      <c r="T17">
        <f t="shared" si="6"/>
        <v>16.044249315199991</v>
      </c>
      <c r="U17">
        <f t="shared" si="1"/>
        <v>80.550808685195392</v>
      </c>
      <c r="V17">
        <f t="shared" si="7"/>
        <v>1.7650806950845093</v>
      </c>
      <c r="W17">
        <f t="shared" si="8"/>
        <v>1.9917960000000001</v>
      </c>
      <c r="X17">
        <f t="shared" si="8"/>
        <v>1.3717957997913772</v>
      </c>
      <c r="Y17">
        <f t="shared" si="9"/>
        <v>70.086695492575558</v>
      </c>
      <c r="Z17">
        <f t="shared" si="10"/>
        <v>50.168522631141833</v>
      </c>
      <c r="AA17">
        <f t="shared" si="11"/>
        <v>19.918172861433728</v>
      </c>
    </row>
    <row r="18" spans="1:27" x14ac:dyDescent="0.25">
      <c r="A18" s="1" t="s">
        <v>8</v>
      </c>
      <c r="B18">
        <v>3</v>
      </c>
      <c r="C18">
        <v>9</v>
      </c>
      <c r="D18">
        <v>79.17</v>
      </c>
      <c r="E18">
        <v>2.8963000000000001</v>
      </c>
      <c r="F18" s="47">
        <v>-3.39</v>
      </c>
      <c r="G18">
        <v>1.0921000000000001</v>
      </c>
      <c r="I18" s="19">
        <f t="shared" si="2"/>
        <v>76.273700000000005</v>
      </c>
      <c r="J18">
        <f>SUM(G18:G$21)</f>
        <v>19.117899999999999</v>
      </c>
      <c r="K18">
        <f>SUM(H18:H$21)</f>
        <v>11.6958</v>
      </c>
      <c r="L18">
        <f t="shared" si="3"/>
        <v>30.813699999999997</v>
      </c>
      <c r="M18">
        <f t="shared" si="12"/>
        <v>5.9746999999999986</v>
      </c>
      <c r="N18">
        <f t="shared" si="13"/>
        <v>-0.25000000000000044</v>
      </c>
      <c r="O18">
        <f t="shared" si="14"/>
        <v>-0.39000516000000068</v>
      </c>
      <c r="P18">
        <f t="shared" si="15"/>
        <v>6.3647051599999989</v>
      </c>
      <c r="Q18">
        <f t="shared" si="0"/>
        <v>48.356300000000005</v>
      </c>
      <c r="R18">
        <f t="shared" si="4"/>
        <v>43.789549950000001</v>
      </c>
      <c r="S18">
        <f>($F$4*J18)-(2.55*$F$2*J18)-($F$3*((ABS(F18)-2.55)*J18))</f>
        <v>37.344829388400001</v>
      </c>
      <c r="T18">
        <f t="shared" si="6"/>
        <v>11.011470611600004</v>
      </c>
      <c r="U18">
        <f t="shared" si="1"/>
        <v>77.601985129812633</v>
      </c>
      <c r="V18">
        <f t="shared" si="7"/>
        <v>1.5693117022623058</v>
      </c>
      <c r="W18">
        <f t="shared" si="8"/>
        <v>1.9533960000000001</v>
      </c>
      <c r="X18">
        <f t="shared" si="8"/>
        <v>0.94148930484447435</v>
      </c>
      <c r="Y18">
        <f t="shared" si="9"/>
        <v>62.313225517503923</v>
      </c>
      <c r="Z18">
        <f t="shared" si="10"/>
        <v>48.123549063763711</v>
      </c>
      <c r="AA18">
        <f t="shared" si="11"/>
        <v>14.18967645374021</v>
      </c>
    </row>
    <row r="19" spans="1:27" x14ac:dyDescent="0.25">
      <c r="A19" s="1" t="s">
        <v>8</v>
      </c>
      <c r="B19">
        <v>3</v>
      </c>
      <c r="C19">
        <v>10</v>
      </c>
      <c r="D19">
        <v>69.44</v>
      </c>
      <c r="E19">
        <v>2.7191999999999998</v>
      </c>
      <c r="F19" s="47">
        <v>-4.1000000000000005</v>
      </c>
      <c r="G19">
        <v>1.1940999999999999</v>
      </c>
      <c r="I19" s="19">
        <f t="shared" si="2"/>
        <v>66.720799999999997</v>
      </c>
      <c r="J19">
        <f>SUM(G19:G$21)</f>
        <v>18.0258</v>
      </c>
      <c r="K19">
        <f>SUM(H19:H$21)</f>
        <v>11.6958</v>
      </c>
      <c r="L19">
        <f t="shared" si="3"/>
        <v>29.721600000000002</v>
      </c>
      <c r="M19">
        <f t="shared" si="12"/>
        <v>6.8337000000000074</v>
      </c>
      <c r="N19">
        <f>F19-F18</f>
        <v>-0.71000000000000041</v>
      </c>
      <c r="O19">
        <f t="shared" si="14"/>
        <v>-1.0443427488000008</v>
      </c>
      <c r="P19">
        <f>M19-O19</f>
        <v>7.8780427488000084</v>
      </c>
      <c r="Q19">
        <f t="shared" si="0"/>
        <v>39.718399999999995</v>
      </c>
      <c r="R19">
        <f t="shared" si="4"/>
        <v>41.288094900000004</v>
      </c>
      <c r="S19">
        <f>($F$4*J19)-(2.55*$F$2*J19)-($F$3*((ABS(F19)-2.55)*J19))</f>
        <v>33.245703972000001</v>
      </c>
      <c r="T19">
        <f t="shared" si="6"/>
        <v>6.4726960279999943</v>
      </c>
      <c r="U19">
        <f t="shared" si="1"/>
        <v>74.851613445780259</v>
      </c>
      <c r="V19">
        <f t="shared" si="7"/>
        <v>1.3363479758828594</v>
      </c>
      <c r="W19">
        <f t="shared" si="8"/>
        <v>1.8443400000000001</v>
      </c>
      <c r="X19">
        <f t="shared" si="8"/>
        <v>0.55342054652097283</v>
      </c>
      <c r="Y19">
        <f t="shared" si="9"/>
        <v>53.062850847925326</v>
      </c>
      <c r="Z19">
        <f t="shared" si="10"/>
        <v>44.415480764595621</v>
      </c>
      <c r="AA19">
        <f t="shared" si="11"/>
        <v>8.6473700833297009</v>
      </c>
    </row>
    <row r="20" spans="1:27" x14ac:dyDescent="0.25">
      <c r="A20" s="1" t="s">
        <v>8</v>
      </c>
      <c r="B20">
        <v>3</v>
      </c>
      <c r="C20">
        <v>11</v>
      </c>
      <c r="D20" s="19">
        <v>61.48</v>
      </c>
      <c r="E20" s="50">
        <v>2.3262</v>
      </c>
      <c r="F20" s="51">
        <v>-5.1300000000000008</v>
      </c>
      <c r="G20">
        <v>1.1008</v>
      </c>
      <c r="H20" s="19"/>
      <c r="I20" s="19">
        <f t="shared" si="2"/>
        <v>59.153799999999997</v>
      </c>
      <c r="J20">
        <f>SUM(G20:G$21)</f>
        <v>16.831700000000001</v>
      </c>
      <c r="K20">
        <f>SUM(H20:H$21)</f>
        <v>11.6958</v>
      </c>
      <c r="L20">
        <f t="shared" si="3"/>
        <v>28.527500000000003</v>
      </c>
      <c r="M20">
        <f t="shared" si="12"/>
        <v>5.2408000000000001</v>
      </c>
      <c r="N20">
        <f>F20-F19</f>
        <v>-1.0300000000000002</v>
      </c>
      <c r="O20">
        <f t="shared" si="14"/>
        <v>-1.4146707216000005</v>
      </c>
      <c r="P20">
        <f t="shared" ref="P20:P21" si="17">M20-O20</f>
        <v>6.6554707216000004</v>
      </c>
      <c r="Q20">
        <f>D20-L20</f>
        <v>32.952499999999993</v>
      </c>
      <c r="R20">
        <f t="shared" si="4"/>
        <v>38.553008850000005</v>
      </c>
      <c r="S20">
        <f>($F$4*J20)-(2.55*$F$2*J20)-($F$3*((ABS(F20)-2.55)*J20))</f>
        <v>28.380467984400003</v>
      </c>
      <c r="T20">
        <f t="shared" si="6"/>
        <v>4.5720320155999907</v>
      </c>
      <c r="U20">
        <f t="shared" si="1"/>
        <v>71.844362435888257</v>
      </c>
      <c r="V20">
        <f t="shared" si="7"/>
        <v>1.1551134869862409</v>
      </c>
      <c r="W20">
        <f t="shared" si="8"/>
        <v>1.686132</v>
      </c>
      <c r="X20">
        <f t="shared" si="8"/>
        <v>0.39091229463568039</v>
      </c>
      <c r="Y20">
        <f t="shared" si="9"/>
        <v>45.866507660090669</v>
      </c>
      <c r="Z20">
        <f t="shared" si="10"/>
        <v>39.502706993504013</v>
      </c>
      <c r="AA20">
        <f t="shared" si="11"/>
        <v>6.3638006665866564</v>
      </c>
    </row>
    <row r="21" spans="1:27" x14ac:dyDescent="0.25">
      <c r="A21" s="1" t="s">
        <v>8</v>
      </c>
      <c r="B21">
        <v>3</v>
      </c>
      <c r="C21" s="19">
        <v>12</v>
      </c>
      <c r="D21" s="50">
        <v>53.3</v>
      </c>
      <c r="E21" s="19"/>
      <c r="F21" s="51">
        <v>-5.625</v>
      </c>
      <c r="G21">
        <v>15.7309</v>
      </c>
      <c r="H21">
        <v>11.6958</v>
      </c>
      <c r="I21" s="19">
        <f t="shared" si="2"/>
        <v>53.3</v>
      </c>
      <c r="J21">
        <f>SUM(G21:G$21)</f>
        <v>15.7309</v>
      </c>
      <c r="K21">
        <f>SUM(H21:H$21)</f>
        <v>11.6958</v>
      </c>
      <c r="L21">
        <f t="shared" si="3"/>
        <v>27.4267</v>
      </c>
      <c r="M21">
        <f t="shared" si="12"/>
        <v>5.8537999999999997</v>
      </c>
      <c r="N21">
        <f>F21-F20</f>
        <v>-0.49499999999999922</v>
      </c>
      <c r="O21">
        <f t="shared" si="14"/>
        <v>-0.63540251279999904</v>
      </c>
      <c r="P21">
        <f t="shared" si="17"/>
        <v>6.4892025127999986</v>
      </c>
      <c r="Q21">
        <f t="shared" si="0"/>
        <v>25.873299999999997</v>
      </c>
      <c r="R21">
        <f t="shared" si="4"/>
        <v>36.031626450000005</v>
      </c>
      <c r="S21">
        <f>($F$4*J21)-(2.55*$F$2*J21)-($F$3*((ABS(F21)-2.55)*J21))</f>
        <v>25.328322090000004</v>
      </c>
      <c r="T21">
        <f t="shared" si="6"/>
        <v>0.54497790999999296</v>
      </c>
      <c r="U21">
        <f t="shared" si="1"/>
        <v>69.072080456414909</v>
      </c>
      <c r="V21">
        <f t="shared" si="7"/>
        <v>0.94336176062012556</v>
      </c>
      <c r="W21">
        <f t="shared" si="8"/>
        <v>1.6101000000000003</v>
      </c>
      <c r="X21">
        <f t="shared" si="8"/>
        <v>4.6596035328920891E-2</v>
      </c>
      <c r="Y21">
        <f t="shared" si="9"/>
        <v>37.45840552222294</v>
      </c>
      <c r="Z21">
        <f t="shared" si="10"/>
        <v>36.669406687384196</v>
      </c>
      <c r="AA21">
        <f t="shared" si="11"/>
        <v>0.78899883483874322</v>
      </c>
    </row>
    <row r="22" spans="1:27" ht="15" customHeight="1" x14ac:dyDescent="0.25">
      <c r="C22" s="19"/>
      <c r="D22" s="19"/>
      <c r="E22" s="19"/>
      <c r="F22" s="19"/>
      <c r="G22" s="19"/>
      <c r="H22" s="19"/>
      <c r="I22" s="19"/>
    </row>
    <row r="27" spans="1:27" x14ac:dyDescent="0.25">
      <c r="I27" s="15" t="s">
        <v>91</v>
      </c>
      <c r="J27" s="16"/>
      <c r="K27" s="17" t="s">
        <v>102</v>
      </c>
      <c r="L27" s="17"/>
      <c r="M27" s="17"/>
      <c r="N27" s="17"/>
      <c r="O27" s="17"/>
      <c r="P27" s="17" t="s">
        <v>20</v>
      </c>
      <c r="Q27" s="18"/>
      <c r="R27" s="49"/>
    </row>
    <row r="28" spans="1:27" ht="27" customHeight="1" x14ac:dyDescent="0.25">
      <c r="I28" s="67" t="s">
        <v>99</v>
      </c>
      <c r="J28" s="68"/>
      <c r="K28" s="29" t="s">
        <v>87</v>
      </c>
      <c r="L28" s="29"/>
      <c r="M28" s="29"/>
      <c r="N28" s="29"/>
      <c r="O28" s="28">
        <f>SLOPE(Y9:Y15,F9:F15)</f>
        <v>6.4686897007829369</v>
      </c>
      <c r="P28" s="20" t="s">
        <v>100</v>
      </c>
      <c r="Q28" s="21"/>
      <c r="R28" s="19"/>
      <c r="U28" t="s">
        <v>109</v>
      </c>
    </row>
    <row r="29" spans="1:27" x14ac:dyDescent="0.25">
      <c r="I29" s="67"/>
      <c r="J29" s="68"/>
      <c r="K29" s="29" t="s">
        <v>88</v>
      </c>
      <c r="L29" s="29"/>
      <c r="M29" s="29"/>
      <c r="N29" s="29"/>
      <c r="O29" s="28">
        <f>SLOPE(Z9:Z15,F9:F15)</f>
        <v>3.646968690108098</v>
      </c>
      <c r="P29" s="20" t="s">
        <v>100</v>
      </c>
      <c r="Q29" s="21"/>
      <c r="R29" s="19"/>
    </row>
    <row r="30" spans="1:27" x14ac:dyDescent="0.25">
      <c r="I30" s="67"/>
      <c r="J30" s="68"/>
      <c r="K30" s="29" t="s">
        <v>89</v>
      </c>
      <c r="L30" s="29"/>
      <c r="M30" s="29"/>
      <c r="N30" s="29"/>
      <c r="O30" s="28">
        <f>SLOPE(AA9:AA15,F9:F15)</f>
        <v>2.8217210106748438</v>
      </c>
      <c r="P30" s="20" t="s">
        <v>100</v>
      </c>
      <c r="Q30" s="21"/>
      <c r="R30" s="19"/>
    </row>
    <row r="31" spans="1:27" x14ac:dyDescent="0.25">
      <c r="I31" s="67"/>
      <c r="J31" s="68"/>
      <c r="K31" s="22"/>
      <c r="L31" s="22"/>
      <c r="M31" s="22"/>
      <c r="N31" s="22"/>
      <c r="O31" s="28"/>
      <c r="P31" s="19"/>
      <c r="Q31" s="21"/>
      <c r="R31" s="19"/>
    </row>
    <row r="32" spans="1:27" x14ac:dyDescent="0.25">
      <c r="I32" s="67"/>
      <c r="J32" s="68"/>
      <c r="K32" s="29" t="s">
        <v>87</v>
      </c>
      <c r="L32" s="29"/>
      <c r="M32" s="29"/>
      <c r="N32" s="29"/>
      <c r="O32" s="28">
        <f>SLOPE(V9:V15,F9:F15)</f>
        <v>0.16290908328747594</v>
      </c>
      <c r="P32" s="19" t="s">
        <v>101</v>
      </c>
      <c r="Q32" s="21"/>
      <c r="R32" s="19"/>
    </row>
    <row r="33" spans="9:22" x14ac:dyDescent="0.25">
      <c r="I33" s="67"/>
      <c r="J33" s="68"/>
      <c r="K33" s="29" t="s">
        <v>88</v>
      </c>
      <c r="L33" s="29"/>
      <c r="M33" s="29"/>
      <c r="N33" s="29"/>
      <c r="O33" s="28">
        <f>SLOPE(W9:W15,F9:F15)</f>
        <v>8.2185455865076501E-2</v>
      </c>
      <c r="P33" s="19" t="s">
        <v>101</v>
      </c>
      <c r="Q33" s="21"/>
      <c r="R33" s="19"/>
    </row>
    <row r="34" spans="9:22" x14ac:dyDescent="0.25">
      <c r="I34" s="67"/>
      <c r="J34" s="68"/>
      <c r="K34" s="29" t="s">
        <v>89</v>
      </c>
      <c r="L34" s="29"/>
      <c r="M34" s="29"/>
      <c r="N34" s="29"/>
      <c r="O34" s="28">
        <f>SLOPE(X9:X15,F9:F15)</f>
        <v>0.33617569942042169</v>
      </c>
      <c r="P34" s="19" t="s">
        <v>101</v>
      </c>
      <c r="Q34" s="21"/>
      <c r="R34" s="19"/>
    </row>
    <row r="35" spans="9:22" x14ac:dyDescent="0.25">
      <c r="I35" s="67"/>
      <c r="J35" s="68"/>
      <c r="K35" s="19"/>
      <c r="L35" s="19"/>
      <c r="M35" s="19"/>
      <c r="N35" s="19"/>
      <c r="O35" s="28"/>
      <c r="P35" s="19"/>
      <c r="Q35" s="21"/>
      <c r="R35" s="19"/>
    </row>
    <row r="36" spans="9:22" x14ac:dyDescent="0.25">
      <c r="I36" s="67"/>
      <c r="J36" s="68"/>
      <c r="K36" s="29" t="s">
        <v>103</v>
      </c>
      <c r="L36" s="29"/>
      <c r="M36" s="29"/>
      <c r="N36" s="29"/>
      <c r="O36" s="28">
        <f>INTERCEPT(V9:V15,F9:F15)</f>
        <v>2.4562883115671661</v>
      </c>
      <c r="P36" s="19" t="s">
        <v>106</v>
      </c>
      <c r="Q36" s="21"/>
      <c r="R36" s="19"/>
    </row>
    <row r="37" spans="9:22" x14ac:dyDescent="0.25">
      <c r="I37" s="67"/>
      <c r="J37" s="68"/>
      <c r="K37" s="29" t="s">
        <v>90</v>
      </c>
      <c r="L37" s="29"/>
      <c r="M37" s="29"/>
      <c r="N37" s="29"/>
      <c r="O37" s="28">
        <f>INTERCEPT(W9:W15,F9:F15)</f>
        <v>2.2910520645093833</v>
      </c>
      <c r="P37" s="19" t="s">
        <v>104</v>
      </c>
      <c r="Q37" s="21"/>
      <c r="R37" s="19"/>
    </row>
    <row r="38" spans="9:22" x14ac:dyDescent="0.25">
      <c r="I38" s="23"/>
      <c r="J38" s="19"/>
      <c r="K38" s="29" t="s">
        <v>92</v>
      </c>
      <c r="L38" s="29"/>
      <c r="M38" s="29"/>
      <c r="N38" s="29"/>
      <c r="O38" s="28">
        <f>INTERCEPT(X9:X15,F9:F15)</f>
        <v>2.8174724106485272</v>
      </c>
      <c r="P38" s="19" t="s">
        <v>105</v>
      </c>
      <c r="Q38" s="21"/>
      <c r="R38" s="19"/>
      <c r="T38" t="s">
        <v>125</v>
      </c>
      <c r="U38">
        <v>-1.61</v>
      </c>
      <c r="V38">
        <f>(0.0822*U38)+2.2911</f>
        <v>2.1587580000000002</v>
      </c>
    </row>
    <row r="39" spans="9:22" x14ac:dyDescent="0.25">
      <c r="I39" s="23"/>
      <c r="J39" s="19"/>
      <c r="K39" s="22"/>
      <c r="L39" s="22"/>
      <c r="M39" s="22"/>
      <c r="N39" s="22"/>
      <c r="O39" s="28"/>
      <c r="P39" s="19"/>
      <c r="Q39" s="21"/>
      <c r="R39" s="19"/>
      <c r="T39" t="s">
        <v>126</v>
      </c>
      <c r="U39">
        <v>-1.59</v>
      </c>
      <c r="V39">
        <f>(0.3362*U39)+2.8175</f>
        <v>2.2829419999999998</v>
      </c>
    </row>
    <row r="40" spans="9:22" x14ac:dyDescent="0.25">
      <c r="I40" s="23"/>
      <c r="J40" s="19"/>
      <c r="K40" s="22" t="s">
        <v>93</v>
      </c>
      <c r="L40" s="22"/>
      <c r="M40" s="22"/>
      <c r="N40" s="22"/>
      <c r="O40" s="28">
        <f>INTERCEPT(Y9:Y15,F9:F15)</f>
        <v>97.532725508925296</v>
      </c>
      <c r="P40" s="19"/>
      <c r="Q40" s="21"/>
      <c r="R40" s="19"/>
    </row>
    <row r="41" spans="9:22" x14ac:dyDescent="0.25">
      <c r="I41" s="23"/>
      <c r="J41" s="19"/>
      <c r="K41" s="22" t="s">
        <v>96</v>
      </c>
      <c r="L41" s="22"/>
      <c r="M41" s="22"/>
      <c r="N41" s="22"/>
      <c r="O41" s="28">
        <f>INTERCEPT(Z9:Z15,F9:F15)</f>
        <v>63.730084362938292</v>
      </c>
      <c r="P41" s="19"/>
      <c r="Q41" s="21"/>
      <c r="R41" s="19"/>
    </row>
    <row r="42" spans="9:22" x14ac:dyDescent="0.25">
      <c r="I42" s="23"/>
      <c r="J42" s="19"/>
      <c r="K42" s="22" t="s">
        <v>97</v>
      </c>
      <c r="L42" s="22"/>
      <c r="M42" s="22"/>
      <c r="N42" s="22"/>
      <c r="O42" s="28">
        <f>INTERCEPT(AA9:AA15,F9:F15)</f>
        <v>33.802641145987025</v>
      </c>
      <c r="P42" s="19"/>
      <c r="Q42" s="21"/>
      <c r="R42" s="19"/>
    </row>
    <row r="43" spans="9:22" x14ac:dyDescent="0.25">
      <c r="I43" s="23"/>
      <c r="J43" s="19"/>
      <c r="K43" s="22"/>
      <c r="L43" s="22"/>
      <c r="M43" s="22"/>
      <c r="N43" s="22"/>
      <c r="O43" s="28"/>
      <c r="P43" s="19"/>
      <c r="Q43" s="21"/>
      <c r="R43" s="19"/>
    </row>
    <row r="44" spans="9:22" x14ac:dyDescent="0.25">
      <c r="I44" s="23"/>
      <c r="J44" s="19"/>
      <c r="K44" s="22" t="s">
        <v>94</v>
      </c>
      <c r="L44" s="22"/>
      <c r="M44" s="22"/>
      <c r="N44" s="22"/>
      <c r="O44" s="28">
        <f>AVERAGE(Y15)</f>
        <v>79.780432197452384</v>
      </c>
      <c r="P44" s="19"/>
      <c r="Q44" s="21"/>
      <c r="R44" s="19"/>
    </row>
    <row r="45" spans="9:22" x14ac:dyDescent="0.25">
      <c r="I45" s="23"/>
      <c r="J45" s="19"/>
      <c r="K45" s="22" t="s">
        <v>95</v>
      </c>
      <c r="L45" s="22"/>
      <c r="M45" s="22"/>
      <c r="N45" s="22"/>
      <c r="O45" s="28">
        <f>AVERAGE(Z15)</f>
        <v>53.637654206409039</v>
      </c>
      <c r="P45" s="19"/>
      <c r="Q45" s="21"/>
      <c r="R45" s="19"/>
    </row>
    <row r="46" spans="9:22" x14ac:dyDescent="0.25">
      <c r="I46" s="24"/>
      <c r="J46" s="25"/>
      <c r="K46" s="26" t="s">
        <v>98</v>
      </c>
      <c r="L46" s="26"/>
      <c r="M46" s="26"/>
      <c r="N46" s="26"/>
      <c r="O46" s="28">
        <f>AVERAGE(AA15)</f>
        <v>26.142777991043342</v>
      </c>
      <c r="P46" s="25"/>
      <c r="Q46" s="27"/>
      <c r="R46" s="19"/>
    </row>
  </sheetData>
  <mergeCells count="7">
    <mergeCell ref="W7:AB7"/>
    <mergeCell ref="I28:J37"/>
    <mergeCell ref="E1:F1"/>
    <mergeCell ref="K1:M3"/>
    <mergeCell ref="C2:D2"/>
    <mergeCell ref="G7:H7"/>
    <mergeCell ref="I7:T7"/>
  </mergeCells>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6"/>
  <sheetViews>
    <sheetView topLeftCell="J1" zoomScale="62" zoomScaleNormal="62" workbookViewId="0">
      <selection activeCell="X60" sqref="X60"/>
    </sheetView>
  </sheetViews>
  <sheetFormatPr defaultRowHeight="15" x14ac:dyDescent="0.25"/>
  <cols>
    <col min="1" max="1" width="11.7109375" customWidth="1"/>
    <col min="4" max="4" width="9.28515625" customWidth="1"/>
    <col min="5" max="5" width="30.5703125" customWidth="1"/>
    <col min="6" max="6" width="12.5703125" customWidth="1"/>
    <col min="7" max="7" width="16.140625" customWidth="1"/>
    <col min="8" max="8" width="16.85546875" customWidth="1"/>
    <col min="9" max="9" width="16.28515625" customWidth="1"/>
    <col min="10" max="10" width="18" customWidth="1"/>
    <col min="11" max="11" width="11.7109375" customWidth="1"/>
    <col min="12" max="12" width="12.7109375" customWidth="1"/>
    <col min="13" max="13" width="12.5703125" customWidth="1"/>
    <col min="14" max="14" width="14.7109375" customWidth="1"/>
    <col min="16" max="16" width="19.140625" bestFit="1" customWidth="1"/>
    <col min="17" max="18" width="17.7109375" customWidth="1"/>
    <col min="19" max="19" width="13.28515625" customWidth="1"/>
    <col min="20" max="20" width="13.5703125" customWidth="1"/>
    <col min="21" max="21" width="19.5703125" customWidth="1"/>
    <col min="22" max="22" width="15.42578125" customWidth="1"/>
    <col min="23" max="23" width="13.42578125" customWidth="1"/>
    <col min="24" max="24" width="12" customWidth="1"/>
    <col min="25" max="25" width="12.140625" customWidth="1"/>
  </cols>
  <sheetData>
    <row r="1" spans="1:28" x14ac:dyDescent="0.25">
      <c r="E1" s="69" t="s">
        <v>42</v>
      </c>
      <c r="F1" s="69"/>
      <c r="G1" t="s">
        <v>20</v>
      </c>
      <c r="K1" s="70" t="s">
        <v>19</v>
      </c>
      <c r="L1" s="70"/>
      <c r="M1" s="70"/>
    </row>
    <row r="2" spans="1:28" x14ac:dyDescent="0.25">
      <c r="A2" t="s">
        <v>137</v>
      </c>
      <c r="C2" s="63"/>
      <c r="D2" s="63"/>
      <c r="E2" t="s">
        <v>17</v>
      </c>
      <c r="F2">
        <v>8.1600000000000006E-2</v>
      </c>
      <c r="G2" t="s">
        <v>21</v>
      </c>
      <c r="K2" s="70"/>
      <c r="L2" s="70"/>
      <c r="M2" s="70"/>
    </row>
    <row r="3" spans="1:28" x14ac:dyDescent="0.25">
      <c r="E3" t="s">
        <v>18</v>
      </c>
      <c r="F3">
        <v>0.15359999999999999</v>
      </c>
      <c r="G3" t="s">
        <v>21</v>
      </c>
      <c r="K3" s="70"/>
      <c r="L3" s="70"/>
      <c r="M3" s="70"/>
    </row>
    <row r="4" spans="1:28" x14ac:dyDescent="0.25">
      <c r="E4" t="s">
        <v>29</v>
      </c>
      <c r="F4">
        <v>2.2905000000000002</v>
      </c>
    </row>
    <row r="5" spans="1:28" x14ac:dyDescent="0.25">
      <c r="E5" t="s">
        <v>108</v>
      </c>
      <c r="F5">
        <f>(INTERCEPT(Q9:Q14,F9:F14)/L9)</f>
        <v>1.9511477082465523</v>
      </c>
    </row>
    <row r="7" spans="1:28" x14ac:dyDescent="0.25">
      <c r="D7" s="30" t="s">
        <v>25</v>
      </c>
      <c r="E7" s="30"/>
      <c r="F7" s="30"/>
      <c r="G7" s="64" t="s">
        <v>26</v>
      </c>
      <c r="H7" s="64"/>
      <c r="I7" s="65" t="s">
        <v>13</v>
      </c>
      <c r="J7" s="65"/>
      <c r="K7" s="65"/>
      <c r="L7" s="65"/>
      <c r="M7" s="65"/>
      <c r="N7" s="65"/>
      <c r="O7" s="65"/>
      <c r="P7" s="65"/>
      <c r="Q7" s="65"/>
      <c r="R7" s="65"/>
      <c r="S7" s="65"/>
      <c r="T7" s="65"/>
      <c r="U7" s="5"/>
      <c r="V7" s="5"/>
      <c r="W7" s="66" t="s">
        <v>32</v>
      </c>
      <c r="X7" s="66"/>
      <c r="Y7" s="66"/>
      <c r="Z7" s="66"/>
      <c r="AA7" s="66"/>
      <c r="AB7" s="66"/>
    </row>
    <row r="8" spans="1:28" ht="63" customHeight="1" x14ac:dyDescent="0.25">
      <c r="A8" s="3" t="s">
        <v>3</v>
      </c>
      <c r="B8" s="3" t="s">
        <v>4</v>
      </c>
      <c r="C8" s="3" t="s">
        <v>5</v>
      </c>
      <c r="D8" s="3" t="s">
        <v>6</v>
      </c>
      <c r="E8" s="3" t="s">
        <v>7</v>
      </c>
      <c r="F8" s="4" t="s">
        <v>9</v>
      </c>
      <c r="G8" s="4" t="s">
        <v>14</v>
      </c>
      <c r="H8" s="4" t="s">
        <v>11</v>
      </c>
      <c r="I8" s="4" t="s">
        <v>23</v>
      </c>
      <c r="J8" s="4" t="s">
        <v>10</v>
      </c>
      <c r="K8" s="4" t="s">
        <v>12</v>
      </c>
      <c r="L8" s="4" t="s">
        <v>15</v>
      </c>
      <c r="M8" s="4" t="s">
        <v>24</v>
      </c>
      <c r="N8" s="4" t="s">
        <v>44</v>
      </c>
      <c r="O8" s="4" t="s">
        <v>16</v>
      </c>
      <c r="P8" s="4" t="s">
        <v>22</v>
      </c>
      <c r="Q8" s="4" t="s">
        <v>28</v>
      </c>
      <c r="R8" s="4" t="s">
        <v>138</v>
      </c>
      <c r="S8" s="4" t="s">
        <v>27</v>
      </c>
      <c r="T8" s="4" t="s">
        <v>30</v>
      </c>
      <c r="U8" s="4" t="s">
        <v>136</v>
      </c>
      <c r="V8" s="4" t="s">
        <v>33</v>
      </c>
      <c r="W8" s="4" t="s">
        <v>34</v>
      </c>
      <c r="X8" s="4" t="s">
        <v>31</v>
      </c>
      <c r="Y8" s="4" t="s">
        <v>35</v>
      </c>
      <c r="Z8" s="4" t="s">
        <v>36</v>
      </c>
      <c r="AA8" s="4" t="s">
        <v>37</v>
      </c>
    </row>
    <row r="9" spans="1:28" x14ac:dyDescent="0.25">
      <c r="A9" s="1" t="s">
        <v>8</v>
      </c>
      <c r="B9">
        <v>4</v>
      </c>
      <c r="C9">
        <v>0</v>
      </c>
      <c r="D9">
        <v>154.30000000000001</v>
      </c>
      <c r="E9">
        <v>0</v>
      </c>
      <c r="F9" s="44">
        <v>-0.14000000000000001</v>
      </c>
      <c r="I9" s="19">
        <f>D9-E9</f>
        <v>154.30000000000001</v>
      </c>
      <c r="J9">
        <f>SUM(G9:G$21)</f>
        <v>32.384900000000002</v>
      </c>
      <c r="K9">
        <f>H$21</f>
        <v>20.92</v>
      </c>
      <c r="L9">
        <f>SUM(J9:K9)</f>
        <v>53.304900000000004</v>
      </c>
      <c r="N9">
        <v>0</v>
      </c>
      <c r="Q9">
        <f t="shared" ref="Q9:Q21" si="0">D9-L9</f>
        <v>100.99510000000001</v>
      </c>
      <c r="R9">
        <f>J9*$F$4</f>
        <v>74.17761345000001</v>
      </c>
      <c r="S9">
        <f>($F$4*J9)+($F$2*J9*F9)</f>
        <v>73.807648352400008</v>
      </c>
      <c r="T9">
        <f>Q9-S9</f>
        <v>27.1874516476</v>
      </c>
      <c r="U9">
        <f>L9*$F$5</f>
        <v>104.00573347331165</v>
      </c>
      <c r="V9">
        <f t="shared" ref="V9:V21" si="1">Q9/L9</f>
        <v>1.8946682199947849</v>
      </c>
      <c r="W9">
        <f>S9/J9</f>
        <v>2.2790760000000003</v>
      </c>
      <c r="X9">
        <f>T9/K9</f>
        <v>1.2995913789483746</v>
      </c>
      <c r="Y9">
        <f>(Q9/U9)*100</f>
        <v>97.105319704240927</v>
      </c>
      <c r="Z9">
        <f>S9/(U9)*100</f>
        <v>70.964980379028233</v>
      </c>
      <c r="AA9">
        <f>T9/(U9)*100</f>
        <v>26.140339325212707</v>
      </c>
    </row>
    <row r="10" spans="1:28" x14ac:dyDescent="0.25">
      <c r="A10" s="1" t="s">
        <v>8</v>
      </c>
      <c r="B10">
        <v>4</v>
      </c>
      <c r="C10">
        <v>1</v>
      </c>
      <c r="D10">
        <v>151.22</v>
      </c>
      <c r="E10">
        <v>2.6621000000000001</v>
      </c>
      <c r="F10" s="44">
        <v>-0.76</v>
      </c>
      <c r="G10">
        <v>0.80079999999999996</v>
      </c>
      <c r="I10" s="19">
        <f t="shared" ref="I10:I21" si="2">D10-E10</f>
        <v>148.55789999999999</v>
      </c>
      <c r="J10">
        <f>SUM(G10:G$21)</f>
        <v>32.384900000000002</v>
      </c>
      <c r="K10">
        <f t="shared" ref="K10:K20" si="3">H$21</f>
        <v>20.92</v>
      </c>
      <c r="L10">
        <f>SUM(J10:K10)</f>
        <v>53.304900000000004</v>
      </c>
      <c r="M10">
        <f t="shared" ref="M10:M17" si="4">I9-D10</f>
        <v>3.0800000000000125</v>
      </c>
      <c r="N10">
        <f>F10-F9</f>
        <v>-0.62</v>
      </c>
      <c r="O10">
        <f>N10*$F$2*J10</f>
        <v>-1.6384168608000003</v>
      </c>
      <c r="P10">
        <f>M10-O10</f>
        <v>4.718416860800013</v>
      </c>
      <c r="Q10">
        <f t="shared" si="0"/>
        <v>97.915099999999995</v>
      </c>
      <c r="R10">
        <f t="shared" ref="R10:R21" si="5">J10*$F$4</f>
        <v>74.17761345000001</v>
      </c>
      <c r="S10">
        <f t="shared" ref="S10:S14" si="6">($F$4*J10)+($F$2*J10*F10)</f>
        <v>72.169231491600016</v>
      </c>
      <c r="T10">
        <f t="shared" ref="T10:T21" si="7">Q10-S10</f>
        <v>25.74586850839998</v>
      </c>
      <c r="U10">
        <f t="shared" ref="U10:U21" si="8">L10*$F$5</f>
        <v>104.00573347331165</v>
      </c>
      <c r="V10">
        <f t="shared" si="1"/>
        <v>1.8368874156034434</v>
      </c>
      <c r="W10">
        <f t="shared" ref="W10:X21" si="9">S10/J10</f>
        <v>2.2284840000000004</v>
      </c>
      <c r="X10">
        <f t="shared" si="9"/>
        <v>1.2306820510707446</v>
      </c>
      <c r="Y10">
        <f t="shared" ref="Y10:Y21" si="10">(Q10/U10)*100</f>
        <v>94.143944501987917</v>
      </c>
      <c r="Z10">
        <f t="shared" ref="Z10:Z21" si="11">S10/(U10)*100</f>
        <v>69.389666397688515</v>
      </c>
      <c r="AA10">
        <f t="shared" ref="AA10:AA21" si="12">T10/(U10)*100</f>
        <v>24.754278104299402</v>
      </c>
    </row>
    <row r="11" spans="1:28" x14ac:dyDescent="0.25">
      <c r="A11" s="1" t="s">
        <v>8</v>
      </c>
      <c r="B11">
        <v>4</v>
      </c>
      <c r="C11">
        <v>2</v>
      </c>
      <c r="D11">
        <v>146.19999999999999</v>
      </c>
      <c r="E11">
        <v>2.9870000000000001</v>
      </c>
      <c r="F11" s="44">
        <v>-1.34</v>
      </c>
      <c r="G11">
        <v>0.99360000000000004</v>
      </c>
      <c r="I11" s="19">
        <f t="shared" si="2"/>
        <v>143.21299999999999</v>
      </c>
      <c r="J11">
        <f>SUM(G11:G$21)</f>
        <v>31.584099999999999</v>
      </c>
      <c r="K11">
        <f t="shared" si="3"/>
        <v>20.92</v>
      </c>
      <c r="L11">
        <f t="shared" ref="L11:L17" si="13">SUM(J11:K11)</f>
        <v>52.504100000000001</v>
      </c>
      <c r="M11">
        <f t="shared" si="4"/>
        <v>2.3579000000000008</v>
      </c>
      <c r="N11">
        <f t="shared" ref="N11:N17" si="14">F11-F10</f>
        <v>-0.58000000000000007</v>
      </c>
      <c r="O11">
        <f t="shared" ref="O11" si="15">N11*$F$2*J11</f>
        <v>-1.4948122848000003</v>
      </c>
      <c r="P11">
        <f t="shared" ref="P11:P21" si="16">M11-O11</f>
        <v>3.8527122848000008</v>
      </c>
      <c r="Q11">
        <f t="shared" si="0"/>
        <v>93.695899999999995</v>
      </c>
      <c r="R11">
        <f t="shared" si="5"/>
        <v>72.343381050000005</v>
      </c>
      <c r="S11">
        <f t="shared" si="6"/>
        <v>68.889849219600009</v>
      </c>
      <c r="T11">
        <f t="shared" si="7"/>
        <v>24.806050780399985</v>
      </c>
      <c r="U11">
        <f t="shared" si="8"/>
        <v>102.4432543885478</v>
      </c>
      <c r="V11">
        <f t="shared" si="1"/>
        <v>1.7845444451004777</v>
      </c>
      <c r="W11">
        <f t="shared" si="9"/>
        <v>2.1811560000000005</v>
      </c>
      <c r="X11">
        <f t="shared" si="9"/>
        <v>1.1857576854875709</v>
      </c>
      <c r="Y11">
        <f t="shared" si="10"/>
        <v>91.461268542513537</v>
      </c>
      <c r="Z11">
        <f t="shared" si="11"/>
        <v>67.246837901414082</v>
      </c>
      <c r="AA11">
        <f t="shared" si="12"/>
        <v>24.214430641099462</v>
      </c>
    </row>
    <row r="12" spans="1:28" x14ac:dyDescent="0.25">
      <c r="A12" s="1" t="s">
        <v>8</v>
      </c>
      <c r="B12">
        <v>4</v>
      </c>
      <c r="C12">
        <v>3</v>
      </c>
      <c r="D12">
        <v>140.19999999999999</v>
      </c>
      <c r="E12">
        <v>2.8386</v>
      </c>
      <c r="F12" s="44">
        <v>-1.8250000000000002</v>
      </c>
      <c r="G12">
        <v>0.86409999999999998</v>
      </c>
      <c r="I12" s="19">
        <f t="shared" si="2"/>
        <v>137.36139999999997</v>
      </c>
      <c r="J12">
        <f>SUM(G12:G$21)</f>
        <v>30.590499999999999</v>
      </c>
      <c r="K12">
        <f t="shared" si="3"/>
        <v>20.92</v>
      </c>
      <c r="L12">
        <f t="shared" si="13"/>
        <v>51.5105</v>
      </c>
      <c r="M12">
        <f t="shared" si="4"/>
        <v>3.0130000000000052</v>
      </c>
      <c r="N12">
        <f t="shared" si="14"/>
        <v>-0.4850000000000001</v>
      </c>
      <c r="O12">
        <f>N12*$F$2*J12</f>
        <v>-1.2106496280000003</v>
      </c>
      <c r="P12">
        <f t="shared" si="16"/>
        <v>4.2236496280000058</v>
      </c>
      <c r="Q12">
        <f t="shared" si="0"/>
        <v>88.689499999999981</v>
      </c>
      <c r="R12">
        <f t="shared" si="5"/>
        <v>70.067540250000008</v>
      </c>
      <c r="S12">
        <f t="shared" si="6"/>
        <v>65.512002990000013</v>
      </c>
      <c r="T12">
        <f t="shared" si="7"/>
        <v>23.177497009999968</v>
      </c>
      <c r="U12">
        <f t="shared" si="8"/>
        <v>100.50459402563403</v>
      </c>
      <c r="V12">
        <f t="shared" si="1"/>
        <v>1.7217751720522996</v>
      </c>
      <c r="W12">
        <f t="shared" si="9"/>
        <v>2.1415800000000007</v>
      </c>
      <c r="X12">
        <f t="shared" si="9"/>
        <v>1.1079109469407249</v>
      </c>
      <c r="Y12">
        <f t="shared" si="10"/>
        <v>88.2442249131213</v>
      </c>
      <c r="Z12">
        <f t="shared" si="11"/>
        <v>65.183092997013603</v>
      </c>
      <c r="AA12">
        <f t="shared" si="12"/>
        <v>23.061131916107705</v>
      </c>
    </row>
    <row r="13" spans="1:28" x14ac:dyDescent="0.25">
      <c r="A13" s="1" t="s">
        <v>8</v>
      </c>
      <c r="B13">
        <v>4</v>
      </c>
      <c r="C13">
        <v>4</v>
      </c>
      <c r="D13">
        <v>134.27000000000001</v>
      </c>
      <c r="E13">
        <v>2.7208999999999999</v>
      </c>
      <c r="F13" s="44">
        <v>-2.2799999999999998</v>
      </c>
      <c r="G13">
        <v>0.94889999999999997</v>
      </c>
      <c r="I13" s="19">
        <f t="shared" si="2"/>
        <v>131.54910000000001</v>
      </c>
      <c r="J13">
        <f>SUM(G13:G$21)</f>
        <v>29.726399999999998</v>
      </c>
      <c r="K13">
        <f t="shared" si="3"/>
        <v>20.92</v>
      </c>
      <c r="L13">
        <f t="shared" si="13"/>
        <v>50.6464</v>
      </c>
      <c r="M13">
        <f t="shared" si="4"/>
        <v>3.0913999999999646</v>
      </c>
      <c r="N13">
        <f t="shared" si="14"/>
        <v>-0.45499999999999963</v>
      </c>
      <c r="O13">
        <f t="shared" ref="O13:O17" si="17">N13*$F$2*J13</f>
        <v>-1.1036817791999991</v>
      </c>
      <c r="P13">
        <f t="shared" si="16"/>
        <v>4.1950817791999633</v>
      </c>
      <c r="Q13">
        <f t="shared" si="0"/>
        <v>83.62360000000001</v>
      </c>
      <c r="R13">
        <f t="shared" si="5"/>
        <v>68.088319200000001</v>
      </c>
      <c r="S13">
        <f t="shared" si="6"/>
        <v>62.557781932799998</v>
      </c>
      <c r="T13">
        <f t="shared" si="7"/>
        <v>21.065818067200013</v>
      </c>
      <c r="U13">
        <f t="shared" si="8"/>
        <v>98.818607290938189</v>
      </c>
      <c r="V13">
        <f t="shared" si="1"/>
        <v>1.6511262399696722</v>
      </c>
      <c r="W13">
        <f t="shared" si="9"/>
        <v>2.1044520000000002</v>
      </c>
      <c r="X13">
        <f t="shared" si="9"/>
        <v>1.0069702708986621</v>
      </c>
      <c r="Y13">
        <f t="shared" si="10"/>
        <v>84.623333896822089</v>
      </c>
      <c r="Z13">
        <f t="shared" si="11"/>
        <v>63.305670508611421</v>
      </c>
      <c r="AA13">
        <f t="shared" si="12"/>
        <v>21.317663388210672</v>
      </c>
    </row>
    <row r="14" spans="1:28" x14ac:dyDescent="0.25">
      <c r="A14" s="1" t="s">
        <v>8</v>
      </c>
      <c r="B14">
        <v>4</v>
      </c>
      <c r="C14">
        <v>5</v>
      </c>
      <c r="D14">
        <v>129.12</v>
      </c>
      <c r="E14">
        <v>3.0305</v>
      </c>
      <c r="F14" s="44">
        <v>-2.5099999999999998</v>
      </c>
      <c r="G14">
        <v>1.1005</v>
      </c>
      <c r="I14" s="19">
        <f t="shared" si="2"/>
        <v>126.0895</v>
      </c>
      <c r="J14">
        <f>SUM(G14:G$21)</f>
        <v>28.7775</v>
      </c>
      <c r="K14">
        <f t="shared" si="3"/>
        <v>20.92</v>
      </c>
      <c r="L14">
        <f t="shared" si="13"/>
        <v>49.697500000000005</v>
      </c>
      <c r="M14">
        <f t="shared" si="4"/>
        <v>2.4291000000000054</v>
      </c>
      <c r="N14">
        <f t="shared" si="14"/>
        <v>-0.22999999999999998</v>
      </c>
      <c r="O14">
        <f t="shared" si="17"/>
        <v>-0.54009611999999996</v>
      </c>
      <c r="P14">
        <f t="shared" si="16"/>
        <v>2.9691961200000052</v>
      </c>
      <c r="Q14">
        <f t="shared" si="0"/>
        <v>79.422499999999999</v>
      </c>
      <c r="R14">
        <f t="shared" si="5"/>
        <v>65.914863750000009</v>
      </c>
      <c r="S14">
        <f t="shared" si="6"/>
        <v>60.020771310000008</v>
      </c>
      <c r="T14">
        <f t="shared" si="7"/>
        <v>19.401728689999992</v>
      </c>
      <c r="U14">
        <f t="shared" si="8"/>
        <v>96.96716323058304</v>
      </c>
      <c r="V14">
        <f t="shared" si="1"/>
        <v>1.5981186176367019</v>
      </c>
      <c r="W14">
        <f t="shared" si="9"/>
        <v>2.0856840000000001</v>
      </c>
      <c r="X14">
        <f t="shared" si="9"/>
        <v>0.92742488957934943</v>
      </c>
      <c r="Y14">
        <f t="shared" si="10"/>
        <v>81.906593277496725</v>
      </c>
      <c r="Z14">
        <f t="shared" si="11"/>
        <v>61.898037758693249</v>
      </c>
      <c r="AA14">
        <f t="shared" si="12"/>
        <v>20.008555518803469</v>
      </c>
    </row>
    <row r="15" spans="1:28" x14ac:dyDescent="0.25">
      <c r="A15" s="1" t="s">
        <v>8</v>
      </c>
      <c r="B15">
        <v>4</v>
      </c>
      <c r="C15">
        <v>6</v>
      </c>
      <c r="D15">
        <v>124.93</v>
      </c>
      <c r="E15">
        <v>1.4079999999999999</v>
      </c>
      <c r="F15" s="47">
        <v>-2.74</v>
      </c>
      <c r="G15">
        <v>0.49130000000000001</v>
      </c>
      <c r="I15" s="19">
        <f t="shared" si="2"/>
        <v>123.52200000000001</v>
      </c>
      <c r="J15">
        <f>SUM(G15:G$21)</f>
        <v>27.677</v>
      </c>
      <c r="K15">
        <f t="shared" si="3"/>
        <v>20.92</v>
      </c>
      <c r="L15">
        <f t="shared" si="13"/>
        <v>48.597000000000001</v>
      </c>
      <c r="M15">
        <f t="shared" si="4"/>
        <v>1.1594999999999942</v>
      </c>
      <c r="N15">
        <f t="shared" si="14"/>
        <v>-0.23000000000000043</v>
      </c>
      <c r="O15">
        <f t="shared" si="17"/>
        <v>-0.51944193600000099</v>
      </c>
      <c r="P15">
        <f t="shared" si="16"/>
        <v>1.6789419359999953</v>
      </c>
      <c r="Q15">
        <f t="shared" si="0"/>
        <v>76.332999999999998</v>
      </c>
      <c r="R15">
        <f t="shared" si="5"/>
        <v>63.394168500000006</v>
      </c>
      <c r="S15">
        <f t="shared" ref="S15:S21" si="18">($F$4*J15)-(2.55*$F$2*J15)-($F$3*((ABS(F15)-2.55)*J15))</f>
        <v>56.827412772000002</v>
      </c>
      <c r="T15">
        <f t="shared" si="7"/>
        <v>19.505587227999996</v>
      </c>
      <c r="U15">
        <f t="shared" si="8"/>
        <v>94.819925177657709</v>
      </c>
      <c r="V15">
        <f t="shared" si="1"/>
        <v>1.5707348190217503</v>
      </c>
      <c r="W15">
        <f t="shared" si="9"/>
        <v>2.0532360000000001</v>
      </c>
      <c r="X15">
        <f t="shared" si="9"/>
        <v>0.93238944684512404</v>
      </c>
      <c r="Y15">
        <f t="shared" si="10"/>
        <v>80.503121951404196</v>
      </c>
      <c r="Z15">
        <f t="shared" si="11"/>
        <v>59.931931675253182</v>
      </c>
      <c r="AA15">
        <f t="shared" si="12"/>
        <v>20.571190276151022</v>
      </c>
    </row>
    <row r="16" spans="1:28" x14ac:dyDescent="0.25">
      <c r="A16" s="1" t="s">
        <v>8</v>
      </c>
      <c r="B16">
        <v>4</v>
      </c>
      <c r="C16">
        <v>7</v>
      </c>
      <c r="D16">
        <v>119.06</v>
      </c>
      <c r="E16">
        <v>1.8962000000000001</v>
      </c>
      <c r="F16" s="47">
        <v>-2.8250000000000002</v>
      </c>
      <c r="G16">
        <v>0.68440000000000001</v>
      </c>
      <c r="I16" s="19">
        <f t="shared" si="2"/>
        <v>117.16380000000001</v>
      </c>
      <c r="J16">
        <f>SUM(G16:G$21)</f>
        <v>27.185700000000001</v>
      </c>
      <c r="K16">
        <f t="shared" si="3"/>
        <v>20.92</v>
      </c>
      <c r="L16">
        <f t="shared" si="13"/>
        <v>48.105699999999999</v>
      </c>
      <c r="M16">
        <f t="shared" si="4"/>
        <v>4.4620000000000033</v>
      </c>
      <c r="N16">
        <f t="shared" si="14"/>
        <v>-8.4999999999999964E-2</v>
      </c>
      <c r="O16">
        <f t="shared" si="17"/>
        <v>-0.18856001519999993</v>
      </c>
      <c r="P16">
        <f t="shared" si="16"/>
        <v>4.6505600152000035</v>
      </c>
      <c r="Q16">
        <f t="shared" si="0"/>
        <v>70.954300000000003</v>
      </c>
      <c r="R16">
        <f t="shared" si="5"/>
        <v>62.268845850000005</v>
      </c>
      <c r="S16">
        <f t="shared" si="18"/>
        <v>55.463721426000006</v>
      </c>
      <c r="T16">
        <f t="shared" si="7"/>
        <v>15.490578573999997</v>
      </c>
      <c r="U16">
        <f t="shared" si="8"/>
        <v>93.861326308596162</v>
      </c>
      <c r="V16">
        <f t="shared" si="1"/>
        <v>1.4749665840014803</v>
      </c>
      <c r="W16">
        <f t="shared" si="9"/>
        <v>2.0401800000000003</v>
      </c>
      <c r="X16">
        <f t="shared" si="9"/>
        <v>0.7404674270554491</v>
      </c>
      <c r="Y16">
        <f t="shared" si="10"/>
        <v>75.594819283415291</v>
      </c>
      <c r="Z16">
        <f t="shared" si="11"/>
        <v>59.09113327852095</v>
      </c>
      <c r="AA16">
        <f t="shared" si="12"/>
        <v>16.503686004894345</v>
      </c>
    </row>
    <row r="17" spans="1:27" x14ac:dyDescent="0.25">
      <c r="A17" s="1" t="s">
        <v>8</v>
      </c>
      <c r="B17">
        <v>4</v>
      </c>
      <c r="C17">
        <v>8</v>
      </c>
      <c r="D17">
        <v>113.43</v>
      </c>
      <c r="E17">
        <v>2.3780999999999999</v>
      </c>
      <c r="F17" s="47">
        <v>-3.0449999999999999</v>
      </c>
      <c r="G17">
        <v>0.87660000000000005</v>
      </c>
      <c r="I17" s="19">
        <f t="shared" si="2"/>
        <v>111.0519</v>
      </c>
      <c r="J17">
        <f>SUM(G17:G$21)</f>
        <v>26.501300000000001</v>
      </c>
      <c r="K17">
        <f t="shared" si="3"/>
        <v>20.92</v>
      </c>
      <c r="L17">
        <f t="shared" si="13"/>
        <v>47.421300000000002</v>
      </c>
      <c r="M17">
        <f t="shared" si="4"/>
        <v>3.7338000000000022</v>
      </c>
      <c r="N17">
        <f t="shared" si="14"/>
        <v>-0.21999999999999975</v>
      </c>
      <c r="O17">
        <f t="shared" si="17"/>
        <v>-0.47575133759999955</v>
      </c>
      <c r="P17">
        <f t="shared" si="16"/>
        <v>4.2095513376000016</v>
      </c>
      <c r="Q17">
        <f t="shared" si="0"/>
        <v>66.008700000000005</v>
      </c>
      <c r="R17">
        <f t="shared" si="5"/>
        <v>60.701227650000007</v>
      </c>
      <c r="S17">
        <f t="shared" si="18"/>
        <v>53.171890304400009</v>
      </c>
      <c r="T17">
        <f t="shared" si="7"/>
        <v>12.836809695599996</v>
      </c>
      <c r="U17">
        <f t="shared" si="8"/>
        <v>92.525960817072232</v>
      </c>
      <c r="V17">
        <f t="shared" si="1"/>
        <v>1.3919631051869097</v>
      </c>
      <c r="W17">
        <f t="shared" si="9"/>
        <v>2.0063880000000003</v>
      </c>
      <c r="X17">
        <f t="shared" si="9"/>
        <v>0.61361423019120431</v>
      </c>
      <c r="Y17">
        <f t="shared" si="10"/>
        <v>71.340734445872997</v>
      </c>
      <c r="Z17">
        <f t="shared" si="11"/>
        <v>57.466996110986734</v>
      </c>
      <c r="AA17">
        <f t="shared" si="12"/>
        <v>13.873738334886266</v>
      </c>
    </row>
    <row r="18" spans="1:27" x14ac:dyDescent="0.25">
      <c r="A18" s="1" t="s">
        <v>8</v>
      </c>
      <c r="B18">
        <v>4</v>
      </c>
      <c r="C18">
        <v>9</v>
      </c>
      <c r="D18">
        <v>103.51</v>
      </c>
      <c r="E18">
        <v>1.8303</v>
      </c>
      <c r="F18" s="47">
        <v>-3.51</v>
      </c>
      <c r="G18">
        <v>0.72819999999999996</v>
      </c>
      <c r="I18" s="19">
        <f t="shared" si="2"/>
        <v>101.67970000000001</v>
      </c>
      <c r="J18">
        <f>SUM(G18:G$21)</f>
        <v>25.624699999999997</v>
      </c>
      <c r="K18">
        <f t="shared" si="3"/>
        <v>20.92</v>
      </c>
      <c r="L18">
        <f>SUM(J18:K18)</f>
        <v>46.544699999999999</v>
      </c>
      <c r="M18">
        <f>I17-D18</f>
        <v>7.5418999999999983</v>
      </c>
      <c r="N18">
        <f>F18-F17</f>
        <v>-0.46499999999999986</v>
      </c>
      <c r="O18">
        <f>N18*$F$2*K18</f>
        <v>-0.79378847999999991</v>
      </c>
      <c r="P18">
        <f t="shared" si="16"/>
        <v>8.3356884799999982</v>
      </c>
      <c r="Q18">
        <f t="shared" si="0"/>
        <v>56.965300000000006</v>
      </c>
      <c r="R18">
        <f t="shared" si="5"/>
        <v>58.693375349999997</v>
      </c>
      <c r="S18">
        <f t="shared" si="18"/>
        <v>49.582872010799996</v>
      </c>
      <c r="T18">
        <f t="shared" si="7"/>
        <v>7.3824279892000106</v>
      </c>
      <c r="U18">
        <f t="shared" si="8"/>
        <v>90.815584736023297</v>
      </c>
      <c r="V18">
        <f t="shared" si="1"/>
        <v>1.2238837074897895</v>
      </c>
      <c r="W18">
        <f t="shared" si="9"/>
        <v>1.9349640000000001</v>
      </c>
      <c r="X18">
        <f t="shared" si="9"/>
        <v>0.35288852720841346</v>
      </c>
      <c r="Y18">
        <f t="shared" si="10"/>
        <v>62.726348308589273</v>
      </c>
      <c r="Z18">
        <f t="shared" si="11"/>
        <v>54.597316259014562</v>
      </c>
      <c r="AA18">
        <f t="shared" si="12"/>
        <v>8.1290320495747075</v>
      </c>
    </row>
    <row r="19" spans="1:27" x14ac:dyDescent="0.25">
      <c r="A19" s="1" t="s">
        <v>8</v>
      </c>
      <c r="B19">
        <v>4</v>
      </c>
      <c r="C19">
        <v>10</v>
      </c>
      <c r="D19">
        <v>93.38</v>
      </c>
      <c r="E19">
        <v>2.3559999999999999</v>
      </c>
      <c r="F19" s="47">
        <v>-4.0999999999999996</v>
      </c>
      <c r="G19">
        <v>1.0536000000000001</v>
      </c>
      <c r="I19" s="50">
        <f t="shared" si="2"/>
        <v>91.024000000000001</v>
      </c>
      <c r="J19">
        <f>SUM(G19:G$21)</f>
        <v>24.8965</v>
      </c>
      <c r="K19">
        <f t="shared" si="3"/>
        <v>20.92</v>
      </c>
      <c r="L19">
        <f t="shared" ref="L19:L21" si="19">SUM(J19:K19)</f>
        <v>45.816500000000005</v>
      </c>
      <c r="M19">
        <f t="shared" ref="M19:M20" si="20">I18-D19</f>
        <v>8.2997000000000156</v>
      </c>
      <c r="N19">
        <f t="shared" ref="N19:N21" si="21">F19-F18</f>
        <v>-0.58999999999999986</v>
      </c>
      <c r="O19">
        <f t="shared" ref="O19:O21" si="22">N19*$F$2*K19</f>
        <v>-1.0071724799999999</v>
      </c>
      <c r="P19">
        <f t="shared" si="16"/>
        <v>9.3068724800000151</v>
      </c>
      <c r="Q19">
        <f t="shared" si="0"/>
        <v>47.563499999999991</v>
      </c>
      <c r="R19">
        <f t="shared" si="5"/>
        <v>57.025433250000006</v>
      </c>
      <c r="S19">
        <f t="shared" si="18"/>
        <v>45.917610810000006</v>
      </c>
      <c r="T19">
        <f>Q19-S19</f>
        <v>1.6458891899999841</v>
      </c>
      <c r="U19">
        <f t="shared" si="8"/>
        <v>89.394758974878172</v>
      </c>
      <c r="V19">
        <f t="shared" si="1"/>
        <v>1.0381303678805667</v>
      </c>
      <c r="W19">
        <f t="shared" si="9"/>
        <v>1.8443400000000003</v>
      </c>
      <c r="X19">
        <f t="shared" si="9"/>
        <v>7.8675391491395033E-2</v>
      </c>
      <c r="Y19">
        <f t="shared" si="10"/>
        <v>53.206139314460643</v>
      </c>
      <c r="Z19">
        <f t="shared" si="11"/>
        <v>51.364992015811382</v>
      </c>
      <c r="AA19">
        <f t="shared" si="12"/>
        <v>1.8411472986492574</v>
      </c>
    </row>
    <row r="20" spans="1:27" x14ac:dyDescent="0.25">
      <c r="A20" s="1" t="s">
        <v>8</v>
      </c>
      <c r="B20">
        <v>4</v>
      </c>
      <c r="C20">
        <v>11</v>
      </c>
      <c r="D20" s="19">
        <v>84.68</v>
      </c>
      <c r="E20" s="50">
        <v>1.1509</v>
      </c>
      <c r="F20" s="51">
        <v>-4.57</v>
      </c>
      <c r="G20">
        <v>0.6169</v>
      </c>
      <c r="H20" s="19"/>
      <c r="I20" s="50">
        <f t="shared" si="2"/>
        <v>83.5291</v>
      </c>
      <c r="J20">
        <f>SUM(G20:G$21)</f>
        <v>23.8429</v>
      </c>
      <c r="K20">
        <f t="shared" si="3"/>
        <v>20.92</v>
      </c>
      <c r="L20">
        <f t="shared" si="19"/>
        <v>44.762900000000002</v>
      </c>
      <c r="M20">
        <f t="shared" si="20"/>
        <v>6.3439999999999941</v>
      </c>
      <c r="N20">
        <f t="shared" si="21"/>
        <v>-0.47000000000000064</v>
      </c>
      <c r="O20">
        <f t="shared" si="22"/>
        <v>-0.80232384000000112</v>
      </c>
      <c r="P20">
        <f t="shared" si="16"/>
        <v>7.1463238399999955</v>
      </c>
      <c r="Q20">
        <f t="shared" si="0"/>
        <v>39.917100000000005</v>
      </c>
      <c r="R20">
        <f t="shared" si="5"/>
        <v>54.612162450000007</v>
      </c>
      <c r="S20">
        <f t="shared" si="18"/>
        <v>42.253147549200001</v>
      </c>
      <c r="T20">
        <f t="shared" si="7"/>
        <v>-2.3360475491999964</v>
      </c>
      <c r="U20">
        <f t="shared" si="8"/>
        <v>87.339029749469603</v>
      </c>
      <c r="V20">
        <f t="shared" si="1"/>
        <v>0.8917451728998792</v>
      </c>
      <c r="W20">
        <f t="shared" si="9"/>
        <v>1.7721480000000001</v>
      </c>
      <c r="X20">
        <f t="shared" si="9"/>
        <v>-0.11166575282982773</v>
      </c>
      <c r="Y20">
        <f t="shared" si="10"/>
        <v>45.703621982636484</v>
      </c>
      <c r="Z20">
        <f t="shared" si="11"/>
        <v>48.378311128944731</v>
      </c>
      <c r="AA20">
        <f t="shared" si="12"/>
        <v>-2.6746891463082489</v>
      </c>
    </row>
    <row r="21" spans="1:27" x14ac:dyDescent="0.25">
      <c r="A21" s="1" t="s">
        <v>8</v>
      </c>
      <c r="B21">
        <v>4</v>
      </c>
      <c r="C21" s="19">
        <v>12</v>
      </c>
      <c r="D21" s="50">
        <v>83.55</v>
      </c>
      <c r="E21" s="19"/>
      <c r="F21" s="51">
        <v>-5.9450000000000003</v>
      </c>
      <c r="G21">
        <v>23.225999999999999</v>
      </c>
      <c r="H21">
        <v>20.92</v>
      </c>
      <c r="I21" s="50">
        <f t="shared" si="2"/>
        <v>83.55</v>
      </c>
      <c r="J21">
        <f>SUM(G21:G$21)</f>
        <v>23.225999999999999</v>
      </c>
      <c r="K21">
        <f t="shared" ref="K21" si="23">H21</f>
        <v>20.92</v>
      </c>
      <c r="L21">
        <f t="shared" si="19"/>
        <v>44.146000000000001</v>
      </c>
      <c r="M21">
        <v>0</v>
      </c>
      <c r="N21">
        <f t="shared" si="21"/>
        <v>-1.375</v>
      </c>
      <c r="O21">
        <f t="shared" si="22"/>
        <v>-2.3472240000000002</v>
      </c>
      <c r="P21">
        <f t="shared" si="16"/>
        <v>2.3472240000000002</v>
      </c>
      <c r="Q21">
        <f t="shared" si="0"/>
        <v>39.403999999999996</v>
      </c>
      <c r="R21">
        <f t="shared" si="5"/>
        <v>53.199153000000003</v>
      </c>
      <c r="S21">
        <f t="shared" si="18"/>
        <v>36.254578248000001</v>
      </c>
      <c r="T21">
        <f t="shared" si="7"/>
        <v>3.149421751999995</v>
      </c>
      <c r="U21">
        <f t="shared" si="8"/>
        <v>86.135366728252293</v>
      </c>
      <c r="V21">
        <f t="shared" si="1"/>
        <v>0.89258369954242733</v>
      </c>
      <c r="W21">
        <f t="shared" si="9"/>
        <v>1.5609480000000002</v>
      </c>
      <c r="X21">
        <f t="shared" si="9"/>
        <v>0.15054597284894813</v>
      </c>
      <c r="Y21">
        <f t="shared" si="10"/>
        <v>45.74659805456605</v>
      </c>
      <c r="Z21">
        <f t="shared" si="11"/>
        <v>42.090234969776411</v>
      </c>
      <c r="AA21">
        <f t="shared" si="12"/>
        <v>3.6563630847896404</v>
      </c>
    </row>
    <row r="22" spans="1:27" ht="15" customHeight="1" x14ac:dyDescent="0.25">
      <c r="C22" s="19"/>
      <c r="D22" s="19"/>
      <c r="E22" s="19"/>
      <c r="F22" s="19"/>
      <c r="G22" s="19"/>
      <c r="H22" s="19"/>
      <c r="I22" s="19"/>
    </row>
    <row r="27" spans="1:27" x14ac:dyDescent="0.25">
      <c r="I27" s="15" t="s">
        <v>91</v>
      </c>
      <c r="J27" s="16"/>
      <c r="K27" s="17" t="s">
        <v>102</v>
      </c>
      <c r="L27" s="17"/>
      <c r="M27" s="17"/>
      <c r="N27" s="17"/>
      <c r="O27" s="17"/>
      <c r="P27" s="17" t="s">
        <v>20</v>
      </c>
      <c r="Q27" s="18"/>
      <c r="R27" s="49"/>
    </row>
    <row r="28" spans="1:27" ht="27" customHeight="1" x14ac:dyDescent="0.25">
      <c r="I28" s="67" t="s">
        <v>99</v>
      </c>
      <c r="J28" s="68"/>
      <c r="K28" s="29" t="s">
        <v>87</v>
      </c>
      <c r="L28" s="29"/>
      <c r="M28" s="29"/>
      <c r="N28" s="29"/>
      <c r="O28" s="28">
        <f>SLOPE(Y9:Y14,F9:F14)</f>
        <v>6.2510185638406419</v>
      </c>
      <c r="P28" s="20" t="s">
        <v>100</v>
      </c>
      <c r="Q28" s="21"/>
      <c r="R28" s="19"/>
      <c r="U28" t="s">
        <v>109</v>
      </c>
    </row>
    <row r="29" spans="1:27" x14ac:dyDescent="0.25">
      <c r="I29" s="67"/>
      <c r="J29" s="68"/>
      <c r="K29" s="29" t="s">
        <v>88</v>
      </c>
      <c r="L29" s="29"/>
      <c r="M29" s="29"/>
      <c r="N29" s="29"/>
      <c r="O29" s="28">
        <f>SLOPE(Z9:Z14,F9:F14)</f>
        <v>3.833520500878322</v>
      </c>
      <c r="P29" s="20" t="s">
        <v>100</v>
      </c>
      <c r="Q29" s="21"/>
      <c r="R29" s="19"/>
    </row>
    <row r="30" spans="1:27" x14ac:dyDescent="0.25">
      <c r="I30" s="67"/>
      <c r="J30" s="68"/>
      <c r="K30" s="29" t="s">
        <v>89</v>
      </c>
      <c r="L30" s="29"/>
      <c r="M30" s="29"/>
      <c r="N30" s="29"/>
      <c r="O30" s="28">
        <f>SLOPE(AA9:AA14,F9:F14)</f>
        <v>2.4174980629623248</v>
      </c>
      <c r="P30" s="20" t="s">
        <v>100</v>
      </c>
      <c r="Q30" s="21"/>
      <c r="R30" s="19"/>
    </row>
    <row r="31" spans="1:27" x14ac:dyDescent="0.25">
      <c r="I31" s="67"/>
      <c r="J31" s="68"/>
      <c r="K31" s="22"/>
      <c r="L31" s="22"/>
      <c r="M31" s="22"/>
      <c r="N31" s="22"/>
      <c r="O31" s="28"/>
      <c r="P31" s="19"/>
      <c r="Q31" s="21"/>
      <c r="R31" s="19"/>
    </row>
    <row r="32" spans="1:27" x14ac:dyDescent="0.25">
      <c r="I32" s="67"/>
      <c r="J32" s="68"/>
      <c r="K32" s="29" t="s">
        <v>87</v>
      </c>
      <c r="L32" s="29"/>
      <c r="M32" s="29"/>
      <c r="N32" s="29"/>
      <c r="O32" s="28">
        <f>SLOPE(V9:V14,F9:F14)</f>
        <v>0.12196660545044329</v>
      </c>
      <c r="P32" s="19" t="s">
        <v>101</v>
      </c>
      <c r="Q32" s="21"/>
      <c r="R32" s="19"/>
    </row>
    <row r="33" spans="9:23" x14ac:dyDescent="0.25">
      <c r="I33" s="67"/>
      <c r="J33" s="68"/>
      <c r="K33" s="29" t="s">
        <v>88</v>
      </c>
      <c r="L33" s="29"/>
      <c r="M33" s="29"/>
      <c r="N33" s="29"/>
      <c r="O33" s="28">
        <f>SLOPE(W9:W14,F9:F14)</f>
        <v>8.1600000000000061E-2</v>
      </c>
      <c r="P33" s="19" t="s">
        <v>101</v>
      </c>
      <c r="Q33" s="21"/>
      <c r="R33" s="19"/>
    </row>
    <row r="34" spans="9:23" x14ac:dyDescent="0.25">
      <c r="I34" s="67"/>
      <c r="J34" s="68"/>
      <c r="K34" s="29" t="s">
        <v>89</v>
      </c>
      <c r="L34" s="29"/>
      <c r="M34" s="29"/>
      <c r="N34" s="29"/>
      <c r="O34" s="28">
        <f>SLOPE(X9:X14,F9:F14)</f>
        <v>0.14983714807475823</v>
      </c>
      <c r="P34" s="19" t="s">
        <v>101</v>
      </c>
      <c r="Q34" s="21"/>
      <c r="R34" s="19"/>
    </row>
    <row r="35" spans="9:23" x14ac:dyDescent="0.25">
      <c r="I35" s="67"/>
      <c r="J35" s="68"/>
      <c r="K35" s="19"/>
      <c r="L35" s="19"/>
      <c r="M35" s="19"/>
      <c r="N35" s="19"/>
      <c r="O35" s="28"/>
      <c r="P35" s="19"/>
      <c r="Q35" s="21"/>
      <c r="R35" s="19"/>
    </row>
    <row r="36" spans="9:23" x14ac:dyDescent="0.25">
      <c r="I36" s="67"/>
      <c r="J36" s="68"/>
      <c r="K36" s="29" t="s">
        <v>103</v>
      </c>
      <c r="L36" s="29"/>
      <c r="M36" s="29"/>
      <c r="N36" s="29"/>
      <c r="O36" s="28">
        <f>INTERCEPT(V9:V14,F9:F14)</f>
        <v>1.9278557336035089</v>
      </c>
      <c r="P36" s="19" t="s">
        <v>106</v>
      </c>
      <c r="Q36" s="21"/>
      <c r="R36" s="19"/>
      <c r="U36" t="s">
        <v>125</v>
      </c>
      <c r="V36">
        <v>-1.61</v>
      </c>
      <c r="W36">
        <f>(0.0816*V36)+2.2905</f>
        <v>2.1591240000000003</v>
      </c>
    </row>
    <row r="37" spans="9:23" x14ac:dyDescent="0.25">
      <c r="I37" s="67"/>
      <c r="J37" s="68"/>
      <c r="K37" s="29" t="s">
        <v>90</v>
      </c>
      <c r="L37" s="29"/>
      <c r="M37" s="29"/>
      <c r="N37" s="29"/>
      <c r="O37" s="28">
        <f>INTERCEPT(W9:W14,F9:F14)</f>
        <v>2.2905000000000006</v>
      </c>
      <c r="P37" s="19" t="s">
        <v>104</v>
      </c>
      <c r="Q37" s="21"/>
      <c r="R37" s="19"/>
      <c r="U37" t="s">
        <v>126</v>
      </c>
      <c r="V37">
        <v>-1.59</v>
      </c>
      <c r="W37">
        <f>(0.1498*V37)+1.3475</f>
        <v>1.109318</v>
      </c>
    </row>
    <row r="38" spans="9:23" x14ac:dyDescent="0.25">
      <c r="I38" s="23"/>
      <c r="J38" s="19"/>
      <c r="K38" s="29" t="s">
        <v>92</v>
      </c>
      <c r="L38" s="29"/>
      <c r="M38" s="29"/>
      <c r="N38" s="29"/>
      <c r="O38" s="28">
        <f>INTERCEPT(X9:X14,F9:F14)</f>
        <v>1.3475241948545684</v>
      </c>
      <c r="P38" s="19" t="s">
        <v>105</v>
      </c>
      <c r="Q38" s="21"/>
      <c r="R38" s="19"/>
    </row>
    <row r="39" spans="9:23" x14ac:dyDescent="0.25">
      <c r="I39" s="23"/>
      <c r="J39" s="19"/>
      <c r="K39" s="22"/>
      <c r="L39" s="22"/>
      <c r="M39" s="22"/>
      <c r="N39" s="22"/>
      <c r="O39" s="28"/>
      <c r="P39" s="19"/>
      <c r="Q39" s="21"/>
      <c r="R39" s="19"/>
    </row>
    <row r="40" spans="9:23" x14ac:dyDescent="0.25">
      <c r="I40" s="23"/>
      <c r="J40" s="19"/>
      <c r="K40" s="22" t="s">
        <v>93</v>
      </c>
      <c r="L40" s="22"/>
      <c r="M40" s="22"/>
      <c r="N40" s="22"/>
      <c r="O40" s="28">
        <f>INTERCEPT(Y9:Y14,F9:F14)</f>
        <v>98.806242369831892</v>
      </c>
      <c r="P40" s="19"/>
      <c r="Q40" s="21"/>
      <c r="R40" s="19"/>
    </row>
    <row r="41" spans="9:23" x14ac:dyDescent="0.25">
      <c r="I41" s="23"/>
      <c r="J41" s="19"/>
      <c r="K41" s="22" t="s">
        <v>96</v>
      </c>
      <c r="L41" s="22"/>
      <c r="M41" s="22"/>
      <c r="N41" s="22"/>
      <c r="O41" s="28">
        <f>INTERCEPT(Z9:Z14,F9:F14)</f>
        <v>71.989018329621103</v>
      </c>
      <c r="P41" s="19"/>
      <c r="Q41" s="21"/>
      <c r="R41" s="19"/>
    </row>
    <row r="42" spans="9:23" x14ac:dyDescent="0.25">
      <c r="I42" s="23"/>
      <c r="J42" s="19"/>
      <c r="K42" s="22" t="s">
        <v>97</v>
      </c>
      <c r="L42" s="22"/>
      <c r="M42" s="22"/>
      <c r="N42" s="22"/>
      <c r="O42" s="28">
        <f>INTERCEPT(AA9:AA14,F9:F14)</f>
        <v>26.817224040210803</v>
      </c>
      <c r="P42" s="19"/>
      <c r="Q42" s="21"/>
      <c r="R42" s="19"/>
    </row>
    <row r="43" spans="9:23" x14ac:dyDescent="0.25">
      <c r="I43" s="23"/>
      <c r="J43" s="19"/>
      <c r="K43" s="22"/>
      <c r="L43" s="22"/>
      <c r="M43" s="22"/>
      <c r="N43" s="22"/>
      <c r="O43" s="28"/>
      <c r="P43" s="19"/>
      <c r="Q43" s="21"/>
      <c r="R43" s="19"/>
    </row>
    <row r="44" spans="9:23" x14ac:dyDescent="0.25">
      <c r="I44" s="23"/>
      <c r="J44" s="19"/>
      <c r="K44" s="22" t="s">
        <v>94</v>
      </c>
      <c r="L44" s="22"/>
      <c r="M44" s="22"/>
      <c r="N44" s="22"/>
      <c r="O44" s="28">
        <f>Y14</f>
        <v>81.906593277496725</v>
      </c>
      <c r="P44" s="19"/>
      <c r="Q44" s="21"/>
      <c r="R44" s="19"/>
    </row>
    <row r="45" spans="9:23" x14ac:dyDescent="0.25">
      <c r="I45" s="23"/>
      <c r="J45" s="19"/>
      <c r="K45" s="22" t="s">
        <v>95</v>
      </c>
      <c r="L45" s="22"/>
      <c r="M45" s="22"/>
      <c r="N45" s="22"/>
      <c r="O45" s="28">
        <f>Z14</f>
        <v>61.898037758693249</v>
      </c>
      <c r="P45" s="19"/>
      <c r="Q45" s="21"/>
      <c r="R45" s="19"/>
    </row>
    <row r="46" spans="9:23" x14ac:dyDescent="0.25">
      <c r="I46" s="24"/>
      <c r="J46" s="25"/>
      <c r="K46" s="26" t="s">
        <v>98</v>
      </c>
      <c r="L46" s="26"/>
      <c r="M46" s="26"/>
      <c r="N46" s="26"/>
      <c r="O46" s="28">
        <f>AA14</f>
        <v>20.008555518803469</v>
      </c>
      <c r="P46" s="25"/>
      <c r="Q46" s="27"/>
      <c r="R46" s="19"/>
    </row>
  </sheetData>
  <mergeCells count="7">
    <mergeCell ref="W7:AB7"/>
    <mergeCell ref="I28:J37"/>
    <mergeCell ref="E1:F1"/>
    <mergeCell ref="K1:M3"/>
    <mergeCell ref="C2:D2"/>
    <mergeCell ref="G7:H7"/>
    <mergeCell ref="I7:T7"/>
  </mergeCells>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15"/>
  <sheetViews>
    <sheetView workbookViewId="0">
      <selection activeCell="O30" sqref="O30"/>
    </sheetView>
  </sheetViews>
  <sheetFormatPr defaultRowHeight="15" x14ac:dyDescent="0.25"/>
  <cols>
    <col min="2" max="2" width="12.140625" customWidth="1"/>
    <col min="3" max="3" width="12.5703125" customWidth="1"/>
    <col min="4" max="4" width="12.42578125" customWidth="1"/>
    <col min="5" max="5" width="2" customWidth="1"/>
    <col min="6" max="6" width="12.42578125" customWidth="1"/>
    <col min="7" max="7" width="13" customWidth="1"/>
    <col min="8" max="8" width="13.140625" customWidth="1"/>
    <col min="9" max="9" width="1.5703125" customWidth="1"/>
    <col min="10" max="10" width="13.28515625" customWidth="1"/>
    <col min="11" max="11" width="14" customWidth="1"/>
    <col min="12" max="12" width="13" customWidth="1"/>
    <col min="13" max="13" width="1" customWidth="1"/>
    <col min="14" max="14" width="13.5703125" customWidth="1"/>
    <col min="15" max="15" width="13" customWidth="1"/>
    <col min="16" max="16" width="14.85546875" customWidth="1"/>
    <col min="17" max="17" width="0.7109375" customWidth="1"/>
    <col min="18" max="18" width="13.42578125" customWidth="1"/>
    <col min="19" max="19" width="13" customWidth="1"/>
    <col min="20" max="20" width="14.28515625" customWidth="1"/>
  </cols>
  <sheetData>
    <row r="2" spans="1:20" ht="57.75" customHeight="1" x14ac:dyDescent="0.25">
      <c r="A2" s="34" t="s">
        <v>4</v>
      </c>
      <c r="B2" s="42" t="s">
        <v>87</v>
      </c>
      <c r="C2" s="42" t="s">
        <v>88</v>
      </c>
      <c r="D2" s="42" t="s">
        <v>89</v>
      </c>
      <c r="E2" s="35"/>
      <c r="F2" s="43" t="s">
        <v>87</v>
      </c>
      <c r="G2" s="43" t="s">
        <v>88</v>
      </c>
      <c r="H2" s="43" t="s">
        <v>89</v>
      </c>
      <c r="I2" s="36"/>
      <c r="J2" s="41" t="s">
        <v>103</v>
      </c>
      <c r="K2" s="41" t="s">
        <v>90</v>
      </c>
      <c r="L2" s="41" t="s">
        <v>92</v>
      </c>
      <c r="M2" s="35"/>
      <c r="N2" s="40" t="s">
        <v>93</v>
      </c>
      <c r="O2" s="40" t="s">
        <v>96</v>
      </c>
      <c r="P2" s="40" t="s">
        <v>97</v>
      </c>
      <c r="Q2" s="35"/>
      <c r="R2" s="38" t="s">
        <v>94</v>
      </c>
      <c r="S2" s="38" t="s">
        <v>95</v>
      </c>
      <c r="T2" s="39" t="s">
        <v>98</v>
      </c>
    </row>
    <row r="3" spans="1:20" x14ac:dyDescent="0.25">
      <c r="B3" s="31" t="s">
        <v>112</v>
      </c>
      <c r="C3" s="31" t="s">
        <v>112</v>
      </c>
      <c r="D3" s="31" t="s">
        <v>112</v>
      </c>
      <c r="E3" s="32"/>
      <c r="F3" s="32" t="s">
        <v>101</v>
      </c>
      <c r="G3" s="32" t="s">
        <v>101</v>
      </c>
      <c r="H3" s="32" t="s">
        <v>101</v>
      </c>
      <c r="I3" s="32"/>
      <c r="J3" s="32" t="s">
        <v>106</v>
      </c>
      <c r="K3" s="32" t="s">
        <v>104</v>
      </c>
      <c r="L3" s="32" t="s">
        <v>105</v>
      </c>
      <c r="M3" s="22"/>
      <c r="N3" s="33" t="s">
        <v>113</v>
      </c>
      <c r="O3" s="33" t="s">
        <v>113</v>
      </c>
      <c r="P3" s="33" t="s">
        <v>113</v>
      </c>
      <c r="Q3" s="22"/>
      <c r="R3" s="33" t="s">
        <v>113</v>
      </c>
      <c r="S3" s="33" t="s">
        <v>113</v>
      </c>
      <c r="T3" s="33" t="s">
        <v>113</v>
      </c>
    </row>
    <row r="5" spans="1:20" x14ac:dyDescent="0.25">
      <c r="A5">
        <v>1</v>
      </c>
      <c r="B5" s="37">
        <f>'[1]Rep 1'!O28</f>
        <v>4.3105197910142259</v>
      </c>
      <c r="C5" s="37">
        <f>'[1]Rep 1'!O29</f>
        <v>2.5168937381384158</v>
      </c>
      <c r="D5" s="37">
        <f>'[1]Rep 1'!O30</f>
        <v>1.7936260528758126</v>
      </c>
      <c r="F5" s="37">
        <f>'[1]Rep 1'!O32</f>
        <v>0.11448007327736404</v>
      </c>
      <c r="G5" s="37">
        <f>'[1]Rep 1'!O33</f>
        <v>8.318097917369649E-2</v>
      </c>
      <c r="H5" s="37">
        <f>'[1]Rep 1'!O34</f>
        <v>0.1928946983791161</v>
      </c>
      <c r="J5" s="37">
        <f>'[1]Rep 1'!O36</f>
        <v>2.6267271804524479</v>
      </c>
      <c r="K5" s="37">
        <f>'[1]Rep 1'!O37</f>
        <v>2.292161679677577</v>
      </c>
      <c r="L5" s="37">
        <f>'[1]Rep 1'!O38</f>
        <v>3.3464155125021469</v>
      </c>
      <c r="N5" s="37">
        <f>'[1]Rep 1'!O40</f>
        <v>98.904195051507529</v>
      </c>
      <c r="O5" s="37">
        <f>'[1]Rep 1'!O41</f>
        <v>58.983340977780351</v>
      </c>
      <c r="P5" s="37">
        <f>'[1]Rep 1'!O42</f>
        <v>39.920854073727163</v>
      </c>
      <c r="R5" s="37">
        <f>'[1]Rep 1'!O44</f>
        <v>85.067845837327695</v>
      </c>
      <c r="S5" s="37">
        <f>'[1]Rep 1'!O45</f>
        <v>52.364917586112334</v>
      </c>
      <c r="T5" s="37">
        <f>'[1]Rep 1'!O46</f>
        <v>34.871815087586597</v>
      </c>
    </row>
    <row r="6" spans="1:20" x14ac:dyDescent="0.25">
      <c r="A6">
        <v>2</v>
      </c>
      <c r="B6" s="37">
        <f>'[1]Rep 2'!O28</f>
        <v>4.3602626534354014</v>
      </c>
      <c r="C6" s="37">
        <f>'[1]Rep 2'!O29</f>
        <v>2.6552646803028428</v>
      </c>
      <c r="D6" s="37">
        <f>'[1]Rep 2'!O30</f>
        <v>1.7049979731325557</v>
      </c>
      <c r="F6" s="37">
        <f>'[1]Rep 2'!O32</f>
        <v>9.9968316377287522E-2</v>
      </c>
      <c r="G6" s="37">
        <f>'[1]Rep 2'!O33</f>
        <v>8.1600000000000061E-2</v>
      </c>
      <c r="H6" s="37">
        <f>'[1]Rep 2'!O34</f>
        <v>0.12834518789104363</v>
      </c>
      <c r="J6" s="37">
        <f>'[1]Rep 2'!O36</f>
        <v>2.2818488401182959</v>
      </c>
      <c r="K6" s="37">
        <f>'[1]Rep 2'!O37</f>
        <v>2.2905000000000002</v>
      </c>
      <c r="L6" s="37">
        <f>'[1]Rep 2'!O38</f>
        <v>2.2668508171846122</v>
      </c>
      <c r="N6" s="37">
        <f>'[1]Rep 2'!O40</f>
        <v>99.526136269042652</v>
      </c>
      <c r="O6" s="37">
        <f>'[1]Rep 2'!O41</f>
        <v>62.203003429137233</v>
      </c>
      <c r="P6" s="37">
        <f>'[1]Rep 2'!O42</f>
        <v>37.323132839905426</v>
      </c>
      <c r="R6" s="37">
        <f>'[1]Rep 2'!O44</f>
        <v>86.868087301341717</v>
      </c>
      <c r="S6" s="37">
        <f>'[1]Rep 2'!O45</f>
        <v>53.637138907515791</v>
      </c>
      <c r="T6" s="37">
        <f>'[1]Rep 2'!O46</f>
        <v>31.994878023365043</v>
      </c>
    </row>
    <row r="7" spans="1:20" x14ac:dyDescent="0.25">
      <c r="A7">
        <v>3</v>
      </c>
      <c r="B7" s="37">
        <f>'[1]Rep 3'!O28</f>
        <v>6.4686897007829369</v>
      </c>
      <c r="C7" s="37">
        <f>'[1]Rep 3'!O29</f>
        <v>3.646968690108098</v>
      </c>
      <c r="D7" s="37">
        <f>'[1]Rep 3'!O30</f>
        <v>2.8217210106748438</v>
      </c>
      <c r="F7" s="37">
        <f>'[1]Rep 3'!O32</f>
        <v>0.16290908328747594</v>
      </c>
      <c r="G7" s="37">
        <f>'[1]Rep 3'!O33</f>
        <v>8.2185455865076501E-2</v>
      </c>
      <c r="H7" s="37">
        <f>'[1]Rep 3'!O34</f>
        <v>0.33617569942042169</v>
      </c>
      <c r="J7" s="37">
        <f>'[1]Rep 3'!O36</f>
        <v>2.4562883115671661</v>
      </c>
      <c r="K7" s="37">
        <f>'[1]Rep 3'!O37</f>
        <v>2.2910520645093833</v>
      </c>
      <c r="L7" s="37">
        <f>'[1]Rep 3'!O38</f>
        <v>2.8174724106485272</v>
      </c>
      <c r="N7" s="37">
        <f>'[1]Rep 3'!O40</f>
        <v>97.532725508925296</v>
      </c>
      <c r="O7" s="37">
        <f>'[1]Rep 3'!O41</f>
        <v>63.730084362938292</v>
      </c>
      <c r="P7" s="37">
        <f>'[1]Rep 3'!O42</f>
        <v>33.802641145987025</v>
      </c>
      <c r="R7" s="37">
        <f>'[1]Rep 3'!O44</f>
        <v>79.780432197452384</v>
      </c>
      <c r="S7" s="37">
        <f>'[1]Rep 3'!O45</f>
        <v>53.637654206409039</v>
      </c>
      <c r="T7" s="37">
        <f>'[1]Rep 3'!O46</f>
        <v>26.142777991043342</v>
      </c>
    </row>
    <row r="8" spans="1:20" x14ac:dyDescent="0.25">
      <c r="A8">
        <v>4</v>
      </c>
      <c r="B8" s="37">
        <f>'[1]Rep 4'!O28</f>
        <v>6.2510185638406419</v>
      </c>
      <c r="C8" s="37">
        <f>'[1]Rep 4'!O20</f>
        <v>-0.80232384000000112</v>
      </c>
      <c r="D8" s="37">
        <f>'[1]Rep 4'!O30</f>
        <v>2.4174980629623248</v>
      </c>
      <c r="F8" s="37">
        <f>'[1]Rep 4'!O32</f>
        <v>0.12196660545044329</v>
      </c>
      <c r="G8" s="37">
        <f>'[1]Rep 4'!O33</f>
        <v>8.1600000000000061E-2</v>
      </c>
      <c r="H8" s="37">
        <f>'[1]Rep 4'!O34</f>
        <v>0.14983714807475823</v>
      </c>
      <c r="J8" s="37">
        <f>'[1]Rep 4'!O36</f>
        <v>1.9278557336035089</v>
      </c>
      <c r="K8" s="37">
        <f>'[1]Rep 4'!O37</f>
        <v>2.2905000000000006</v>
      </c>
      <c r="L8" s="37">
        <f>'[1]Rep 4'!O38</f>
        <v>1.3475241948545684</v>
      </c>
      <c r="N8" s="37">
        <f>'[1]Rep 1'!O40</f>
        <v>98.904195051507529</v>
      </c>
      <c r="O8" s="37">
        <f>'[1]Rep 4'!O41</f>
        <v>71.989018329621103</v>
      </c>
      <c r="P8" s="37">
        <f>'[1]Rep 4'!O42</f>
        <v>26.817224040210803</v>
      </c>
      <c r="R8" s="37">
        <f>'[1]Rep 4'!O44</f>
        <v>81.906593277496725</v>
      </c>
      <c r="S8" s="37">
        <f>'[1]Rep 4'!O45</f>
        <v>61.898037758693249</v>
      </c>
      <c r="T8" s="37">
        <f>'[1]Rep 4'!O46</f>
        <v>20.008555518803469</v>
      </c>
    </row>
    <row r="9" spans="1:20" x14ac:dyDescent="0.25">
      <c r="B9" s="37"/>
      <c r="C9" s="37"/>
      <c r="D9" s="37"/>
      <c r="F9" s="37"/>
      <c r="G9" s="37"/>
      <c r="H9" s="37"/>
      <c r="J9" s="37"/>
      <c r="K9" s="37"/>
      <c r="L9" s="37"/>
      <c r="N9" s="37"/>
      <c r="O9" s="37"/>
      <c r="P9" s="37"/>
      <c r="R9" s="37"/>
      <c r="S9" s="37"/>
      <c r="T9" s="37"/>
    </row>
    <row r="10" spans="1:20" x14ac:dyDescent="0.25">
      <c r="B10" s="37"/>
      <c r="C10" s="37"/>
      <c r="D10" s="37"/>
      <c r="F10" s="37"/>
      <c r="G10" s="37"/>
      <c r="H10" s="37"/>
      <c r="J10" s="37"/>
      <c r="K10" s="37"/>
      <c r="L10" s="37"/>
      <c r="N10" s="37"/>
      <c r="O10" s="37"/>
      <c r="P10" s="37"/>
      <c r="R10" s="37"/>
      <c r="S10" s="37"/>
      <c r="T10" s="37"/>
    </row>
    <row r="12" spans="1:20" x14ac:dyDescent="0.25">
      <c r="A12" t="s">
        <v>110</v>
      </c>
      <c r="B12">
        <f>AVERAGE(B5:B10)</f>
        <v>5.3476226772683013</v>
      </c>
      <c r="C12">
        <f t="shared" ref="C12:T12" si="0">AVERAGE(C5:C10)</f>
        <v>2.0042008171373387</v>
      </c>
      <c r="D12">
        <f t="shared" si="0"/>
        <v>2.1844607749113845</v>
      </c>
      <c r="F12">
        <f t="shared" si="0"/>
        <v>0.1248310195981427</v>
      </c>
      <c r="G12">
        <f t="shared" si="0"/>
        <v>8.2141608759693285E-2</v>
      </c>
      <c r="H12">
        <f t="shared" si="0"/>
        <v>0.20181318344133492</v>
      </c>
      <c r="J12">
        <f t="shared" si="0"/>
        <v>2.3231800164353547</v>
      </c>
      <c r="K12">
        <f t="shared" si="0"/>
        <v>2.2910534360467403</v>
      </c>
      <c r="L12">
        <f t="shared" si="0"/>
        <v>2.4445657337974636</v>
      </c>
      <c r="N12">
        <f t="shared" si="0"/>
        <v>98.716812970245755</v>
      </c>
      <c r="O12">
        <f t="shared" si="0"/>
        <v>64.226361774869247</v>
      </c>
      <c r="P12">
        <f t="shared" si="0"/>
        <v>34.465963024957603</v>
      </c>
      <c r="R12">
        <f t="shared" si="0"/>
        <v>83.405739653404623</v>
      </c>
      <c r="S12">
        <f t="shared" si="0"/>
        <v>55.384437114682598</v>
      </c>
      <c r="T12">
        <f t="shared" si="0"/>
        <v>28.254506655199613</v>
      </c>
    </row>
    <row r="13" spans="1:20" x14ac:dyDescent="0.25">
      <c r="A13" t="s">
        <v>111</v>
      </c>
      <c r="B13">
        <f>STDEV(B5:B10)/SQRT(4)</f>
        <v>0.58618666057462954</v>
      </c>
      <c r="C13">
        <f t="shared" ref="C13:T13" si="1">STDEV(C5:C10)/SQRT(4)</f>
        <v>0.96876231694317683</v>
      </c>
      <c r="D13">
        <f t="shared" si="1"/>
        <v>0.26505397939942593</v>
      </c>
      <c r="E13" t="e">
        <f t="shared" si="1"/>
        <v>#DIV/0!</v>
      </c>
      <c r="F13">
        <f t="shared" si="1"/>
        <v>1.3489007573830909E-2</v>
      </c>
      <c r="G13">
        <f t="shared" si="1"/>
        <v>3.729268832837236E-4</v>
      </c>
      <c r="H13">
        <f t="shared" si="1"/>
        <v>4.6754571700387965E-2</v>
      </c>
      <c r="I13" t="e">
        <f t="shared" si="1"/>
        <v>#DIV/0!</v>
      </c>
      <c r="J13">
        <f t="shared" si="1"/>
        <v>0.14940109709213015</v>
      </c>
      <c r="K13">
        <f t="shared" si="1"/>
        <v>3.9166192288619711E-4</v>
      </c>
      <c r="L13">
        <f t="shared" si="1"/>
        <v>0.42695385608817055</v>
      </c>
      <c r="M13" t="e">
        <f t="shared" si="1"/>
        <v>#DIV/0!</v>
      </c>
      <c r="N13">
        <f t="shared" si="1"/>
        <v>0.42103952771561026</v>
      </c>
      <c r="O13">
        <f t="shared" si="1"/>
        <v>2.7702041761480163</v>
      </c>
      <c r="P13">
        <f t="shared" si="1"/>
        <v>2.8411039473724302</v>
      </c>
      <c r="Q13" t="e">
        <f t="shared" si="1"/>
        <v>#DIV/0!</v>
      </c>
      <c r="R13">
        <f t="shared" si="1"/>
        <v>1.5848433731337492</v>
      </c>
      <c r="S13">
        <f t="shared" si="1"/>
        <v>2.1918179875482009</v>
      </c>
      <c r="T13">
        <f t="shared" si="1"/>
        <v>3.2943671237935788</v>
      </c>
    </row>
    <row r="15" spans="1:20" x14ac:dyDescent="0.25">
      <c r="A15" t="s">
        <v>115</v>
      </c>
      <c r="B15" t="s">
        <v>114</v>
      </c>
      <c r="D15">
        <f>_xlfn.T.TEST(C5:C10,D5:D10,1,2)</f>
        <v>0.43173575882836968</v>
      </c>
      <c r="F15" t="s">
        <v>115</v>
      </c>
      <c r="G15" t="s">
        <v>114</v>
      </c>
      <c r="H15">
        <f>_xlfn.T.TEST(H5:H10,G5:G10,1,2)</f>
        <v>2.1469138096936867E-2</v>
      </c>
      <c r="I15" t="e">
        <f>_xlfn.T.TEST(H5:H10,I5:I10,1,2)</f>
        <v>#DIV/0!</v>
      </c>
      <c r="J15" t="s">
        <v>115</v>
      </c>
      <c r="K15" t="s">
        <v>114</v>
      </c>
      <c r="L15">
        <f>_xlfn.T.TEST(L5:L10,K5:K10,1,2)</f>
        <v>0.3657489154765633</v>
      </c>
      <c r="N15" t="s">
        <v>115</v>
      </c>
      <c r="O15" t="s">
        <v>114</v>
      </c>
      <c r="P15">
        <f>_xlfn.T.TEST(P5:P10,O5:O10,1,2)</f>
        <v>1.4529445097947335E-4</v>
      </c>
      <c r="R15" t="s">
        <v>115</v>
      </c>
      <c r="S15" t="s">
        <v>114</v>
      </c>
      <c r="T15">
        <f>_xlfn.T.TEST(T5:T10,S5:S10,1,2)</f>
        <v>2.3689370641947702E-4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2"/>
  <sheetViews>
    <sheetView zoomScale="118" zoomScaleNormal="118" workbookViewId="0">
      <selection activeCell="N29" sqref="N29"/>
    </sheetView>
  </sheetViews>
  <sheetFormatPr defaultRowHeight="15" x14ac:dyDescent="0.25"/>
  <cols>
    <col min="3" max="3" width="13.85546875" customWidth="1"/>
    <col min="8" max="8" width="12" bestFit="1" customWidth="1"/>
    <col min="15" max="15" width="11.28515625" customWidth="1"/>
  </cols>
  <sheetData>
    <row r="1" spans="1:15" ht="30" customHeight="1" x14ac:dyDescent="0.25">
      <c r="D1" s="71" t="s">
        <v>184</v>
      </c>
      <c r="E1" s="63"/>
      <c r="F1" s="63"/>
      <c r="G1" s="63" t="s">
        <v>185</v>
      </c>
      <c r="H1" s="63"/>
      <c r="I1" s="63"/>
      <c r="J1" s="72" t="s">
        <v>186</v>
      </c>
      <c r="K1" s="72"/>
      <c r="L1" s="72"/>
      <c r="M1" s="63" t="s">
        <v>187</v>
      </c>
      <c r="N1" s="63"/>
      <c r="O1" s="63"/>
    </row>
    <row r="2" spans="1:15" x14ac:dyDescent="0.25">
      <c r="A2" t="s">
        <v>3</v>
      </c>
      <c r="B2" t="s">
        <v>188</v>
      </c>
      <c r="C2" t="s">
        <v>4</v>
      </c>
      <c r="D2" t="s">
        <v>189</v>
      </c>
      <c r="E2" t="s">
        <v>121</v>
      </c>
      <c r="F2" t="s">
        <v>190</v>
      </c>
      <c r="G2" t="s">
        <v>189</v>
      </c>
      <c r="H2" t="s">
        <v>121</v>
      </c>
      <c r="I2" t="s">
        <v>191</v>
      </c>
      <c r="J2" t="s">
        <v>192</v>
      </c>
      <c r="K2" t="s">
        <v>193</v>
      </c>
      <c r="L2" t="s">
        <v>194</v>
      </c>
      <c r="N2" t="s">
        <v>195</v>
      </c>
      <c r="O2" t="s">
        <v>196</v>
      </c>
    </row>
    <row r="3" spans="1:15" x14ac:dyDescent="0.25">
      <c r="A3" t="s">
        <v>8</v>
      </c>
      <c r="B3" t="s">
        <v>197</v>
      </c>
      <c r="C3">
        <v>1</v>
      </c>
      <c r="D3">
        <v>-4.3099999999999996</v>
      </c>
      <c r="E3">
        <v>-2.52</v>
      </c>
      <c r="F3">
        <v>-1.79</v>
      </c>
      <c r="G3">
        <v>-0.11</v>
      </c>
      <c r="H3">
        <v>-8.1000000000000003E-2</v>
      </c>
      <c r="I3">
        <v>-0.19</v>
      </c>
      <c r="J3">
        <v>2.63</v>
      </c>
      <c r="K3">
        <v>2.29</v>
      </c>
      <c r="L3">
        <v>3.35</v>
      </c>
      <c r="N3">
        <v>3.0390000000000001</v>
      </c>
      <c r="O3">
        <v>2.17</v>
      </c>
    </row>
    <row r="4" spans="1:15" x14ac:dyDescent="0.25">
      <c r="A4" t="s">
        <v>8</v>
      </c>
      <c r="B4" t="s">
        <v>197</v>
      </c>
      <c r="C4">
        <v>2</v>
      </c>
      <c r="D4">
        <v>-4.3600000000000003</v>
      </c>
      <c r="E4">
        <v>-2.66</v>
      </c>
      <c r="F4">
        <v>-1.7</v>
      </c>
      <c r="G4">
        <v>-0.1</v>
      </c>
      <c r="H4">
        <v>-8.2000000000000003E-2</v>
      </c>
      <c r="I4">
        <v>-0.13</v>
      </c>
      <c r="J4">
        <v>2.2799999999999998</v>
      </c>
      <c r="K4">
        <v>2.2999999999999998</v>
      </c>
      <c r="L4">
        <v>2.27</v>
      </c>
      <c r="N4">
        <v>2.1589999999999998</v>
      </c>
      <c r="O4">
        <v>2.0619999999999998</v>
      </c>
    </row>
    <row r="5" spans="1:15" x14ac:dyDescent="0.25">
      <c r="A5" t="s">
        <v>8</v>
      </c>
      <c r="B5" t="s">
        <v>197</v>
      </c>
      <c r="C5">
        <v>3</v>
      </c>
      <c r="D5">
        <v>-6.47</v>
      </c>
      <c r="E5">
        <v>-3.65</v>
      </c>
      <c r="F5">
        <v>-2.82</v>
      </c>
      <c r="G5">
        <v>-0.16</v>
      </c>
      <c r="H5">
        <v>-0.08</v>
      </c>
      <c r="I5">
        <v>-0.34</v>
      </c>
      <c r="J5">
        <v>2.46</v>
      </c>
      <c r="K5">
        <v>2.31</v>
      </c>
      <c r="L5">
        <v>2.82</v>
      </c>
      <c r="N5">
        <v>2.1579999999999999</v>
      </c>
      <c r="O5">
        <v>2.282</v>
      </c>
    </row>
    <row r="6" spans="1:15" x14ac:dyDescent="0.25">
      <c r="A6" t="s">
        <v>8</v>
      </c>
      <c r="B6" t="s">
        <v>197</v>
      </c>
      <c r="C6">
        <v>4</v>
      </c>
      <c r="D6">
        <v>-6.25</v>
      </c>
      <c r="E6">
        <v>-3.83</v>
      </c>
      <c r="F6">
        <v>-2.42</v>
      </c>
      <c r="G6">
        <v>-0.12</v>
      </c>
      <c r="H6">
        <v>-8.4000000000000005E-2</v>
      </c>
      <c r="I6">
        <v>-0.15</v>
      </c>
      <c r="J6">
        <v>1.93</v>
      </c>
      <c r="K6">
        <v>2.29</v>
      </c>
      <c r="L6">
        <v>1.35</v>
      </c>
      <c r="N6">
        <v>2.1589999999999998</v>
      </c>
      <c r="O6">
        <v>1.109</v>
      </c>
    </row>
    <row r="7" spans="1:15" x14ac:dyDescent="0.25">
      <c r="A7" t="s">
        <v>8</v>
      </c>
      <c r="B7" t="s">
        <v>198</v>
      </c>
      <c r="C7">
        <v>1</v>
      </c>
      <c r="D7">
        <v>-4.25</v>
      </c>
      <c r="E7">
        <v>-3.15</v>
      </c>
      <c r="F7">
        <v>-1.1000000000000001</v>
      </c>
      <c r="G7">
        <v>-0.08</v>
      </c>
      <c r="H7">
        <v>-0.17</v>
      </c>
      <c r="I7">
        <v>-0.02</v>
      </c>
      <c r="J7">
        <v>1.97</v>
      </c>
      <c r="K7">
        <v>2.67</v>
      </c>
      <c r="L7">
        <v>1.56</v>
      </c>
      <c r="N7">
        <v>2.2397999999999998</v>
      </c>
      <c r="O7">
        <v>1.4830000000000001</v>
      </c>
    </row>
    <row r="8" spans="1:15" x14ac:dyDescent="0.25">
      <c r="A8" t="s">
        <v>8</v>
      </c>
      <c r="B8" t="s">
        <v>198</v>
      </c>
      <c r="C8">
        <v>3</v>
      </c>
      <c r="D8">
        <v>-4.96</v>
      </c>
      <c r="E8">
        <v>-4.1500000000000004</v>
      </c>
      <c r="F8">
        <v>-0.44</v>
      </c>
      <c r="G8">
        <v>-0.12</v>
      </c>
      <c r="H8">
        <v>-0.16</v>
      </c>
      <c r="I8">
        <v>-0.05</v>
      </c>
      <c r="J8">
        <v>2.4700000000000002</v>
      </c>
      <c r="K8">
        <v>2.65</v>
      </c>
      <c r="L8">
        <v>2.1</v>
      </c>
      <c r="N8">
        <v>2.23</v>
      </c>
      <c r="O8">
        <v>1.92</v>
      </c>
    </row>
    <row r="9" spans="1:15" x14ac:dyDescent="0.25">
      <c r="A9" t="s">
        <v>8</v>
      </c>
      <c r="B9" t="s">
        <v>199</v>
      </c>
      <c r="C9">
        <v>4</v>
      </c>
      <c r="D9">
        <v>-5.59</v>
      </c>
      <c r="E9">
        <v>-4.13</v>
      </c>
      <c r="F9">
        <v>-1.47</v>
      </c>
      <c r="G9">
        <v>-0.15</v>
      </c>
      <c r="H9">
        <v>-0.19</v>
      </c>
      <c r="I9">
        <v>-0.08</v>
      </c>
      <c r="J9">
        <v>2.41</v>
      </c>
      <c r="K9">
        <v>2.69</v>
      </c>
      <c r="L9">
        <v>1.98</v>
      </c>
      <c r="O9">
        <v>1.74</v>
      </c>
    </row>
    <row r="10" spans="1:15" x14ac:dyDescent="0.25">
      <c r="A10" t="s">
        <v>8</v>
      </c>
      <c r="B10" t="s">
        <v>199</v>
      </c>
      <c r="C10">
        <v>5</v>
      </c>
      <c r="D10">
        <v>-3.63</v>
      </c>
      <c r="E10">
        <v>-3.46</v>
      </c>
      <c r="F10">
        <v>-0.18</v>
      </c>
      <c r="G10">
        <v>-0.08</v>
      </c>
      <c r="H10">
        <v>-0.16</v>
      </c>
      <c r="I10">
        <v>-0.02</v>
      </c>
      <c r="J10">
        <v>2.2400000000000002</v>
      </c>
      <c r="K10">
        <v>2.65</v>
      </c>
      <c r="L10">
        <v>1.88</v>
      </c>
      <c r="O10">
        <v>1.74</v>
      </c>
    </row>
    <row r="11" spans="1:15" x14ac:dyDescent="0.25">
      <c r="A11" t="s">
        <v>8</v>
      </c>
      <c r="B11" t="s">
        <v>199</v>
      </c>
      <c r="C11">
        <v>6</v>
      </c>
      <c r="D11">
        <v>-4.5999999999999996</v>
      </c>
      <c r="E11">
        <v>-4.8899999999999997</v>
      </c>
      <c r="F11">
        <v>-0.28999999999999998</v>
      </c>
      <c r="G11">
        <v>-0.09</v>
      </c>
      <c r="H11">
        <v>-0.19</v>
      </c>
      <c r="I11">
        <v>-0.01</v>
      </c>
      <c r="J11">
        <v>2.06</v>
      </c>
      <c r="K11">
        <v>2.74</v>
      </c>
      <c r="L11">
        <v>1.31</v>
      </c>
      <c r="O11">
        <v>1.343</v>
      </c>
    </row>
    <row r="13" spans="1:15" x14ac:dyDescent="0.25">
      <c r="A13" s="73" t="s">
        <v>200</v>
      </c>
      <c r="B13" s="73"/>
      <c r="C13" t="s">
        <v>201</v>
      </c>
      <c r="D13">
        <f>_xlfn.F.TEST(D3:D6,D7:D11)</f>
        <v>0.39105359204664564</v>
      </c>
      <c r="E13">
        <f t="shared" ref="E13:O13" si="0">_xlfn.F.TEST(E3:E6,E7:E11)</f>
        <v>0.97223766259830224</v>
      </c>
      <c r="F13">
        <f t="shared" si="0"/>
        <v>0.96974546411951401</v>
      </c>
      <c r="G13">
        <f t="shared" si="0"/>
        <v>0.8411529101810078</v>
      </c>
      <c r="H13">
        <f t="shared" si="0"/>
        <v>4.5464447392017313E-3</v>
      </c>
      <c r="I13">
        <f t="shared" si="0"/>
        <v>4.3076841195680046E-2</v>
      </c>
      <c r="J13">
        <f t="shared" si="0"/>
        <v>0.53455228262691423</v>
      </c>
      <c r="K13">
        <f t="shared" si="0"/>
        <v>4.9213638631238475E-2</v>
      </c>
      <c r="L13">
        <f t="shared" si="0"/>
        <v>9.2035170683557613E-2</v>
      </c>
      <c r="M13" t="e">
        <f t="shared" si="0"/>
        <v>#DIV/0!</v>
      </c>
      <c r="N13">
        <f t="shared" si="0"/>
        <v>2.3144576909469628E-2</v>
      </c>
      <c r="O13">
        <f t="shared" si="0"/>
        <v>0.13317957754051821</v>
      </c>
    </row>
    <row r="14" spans="1:15" x14ac:dyDescent="0.25">
      <c r="A14" s="73"/>
      <c r="B14" s="73"/>
      <c r="C14" t="s">
        <v>202</v>
      </c>
      <c r="D14">
        <f>_xlfn.T.TEST(D3:D6,D7:D11,2,2)</f>
        <v>0.28208538186442134</v>
      </c>
      <c r="E14">
        <f t="shared" ref="E14:O14" si="1">_xlfn.T.TEST(E3:E6,E7:E11,2,2)</f>
        <v>0.1239085854683855</v>
      </c>
      <c r="F14">
        <f t="shared" si="1"/>
        <v>4.9486034595948537E-3</v>
      </c>
      <c r="G14">
        <f t="shared" si="1"/>
        <v>0.3697420970039208</v>
      </c>
      <c r="H14">
        <f>_xlfn.T.TEST(H3:H6,H7:H11,2,3)</f>
        <v>1.4379993017479359E-4</v>
      </c>
      <c r="I14">
        <f>_xlfn.T.TEST(I3:I6,I7:I11,2,3)</f>
        <v>3.4881285704977547E-2</v>
      </c>
      <c r="J14">
        <f t="shared" si="1"/>
        <v>0.59622624193300156</v>
      </c>
      <c r="K14">
        <f t="shared" si="1"/>
        <v>2.183141471855674E-7</v>
      </c>
      <c r="L14">
        <f t="shared" si="1"/>
        <v>0.14011012818596466</v>
      </c>
      <c r="M14" t="e">
        <f t="shared" si="1"/>
        <v>#DIV/0!</v>
      </c>
      <c r="N14">
        <f t="shared" si="1"/>
        <v>0.68551851481301385</v>
      </c>
      <c r="O14">
        <f t="shared" si="1"/>
        <v>0.35604923973886254</v>
      </c>
    </row>
    <row r="15" spans="1:15" x14ac:dyDescent="0.25">
      <c r="C15" t="s">
        <v>203</v>
      </c>
      <c r="F15">
        <f>_xlfn.T.TEST(F3:F6,F7:F11,1,2)</f>
        <v>2.4743017297974268E-3</v>
      </c>
      <c r="I15">
        <f t="shared" ref="I15:K15" si="2">_xlfn.T.TEST(I3:I6,I7:I11,1,2)</f>
        <v>3.5067687007807034E-3</v>
      </c>
      <c r="K15">
        <f t="shared" si="2"/>
        <v>1.091570735927837E-7</v>
      </c>
    </row>
    <row r="17" spans="2:12" x14ac:dyDescent="0.25">
      <c r="B17" t="s">
        <v>204</v>
      </c>
    </row>
    <row r="18" spans="2:12" x14ac:dyDescent="0.25">
      <c r="C18" t="s">
        <v>110</v>
      </c>
      <c r="D18">
        <f>AVERAGE(D3:D6)</f>
        <v>-5.3475000000000001</v>
      </c>
      <c r="E18">
        <f t="shared" ref="E18:L18" si="3">AVERAGE(E3:E6)</f>
        <v>-3.165</v>
      </c>
      <c r="F18">
        <f t="shared" si="3"/>
        <v>-2.1825000000000001</v>
      </c>
      <c r="G18">
        <f t="shared" si="3"/>
        <v>-0.1225</v>
      </c>
      <c r="H18">
        <f t="shared" si="3"/>
        <v>-8.1750000000000003E-2</v>
      </c>
      <c r="I18">
        <f t="shared" si="3"/>
        <v>-0.20250000000000001</v>
      </c>
      <c r="J18">
        <f t="shared" si="3"/>
        <v>2.3250000000000002</v>
      </c>
      <c r="K18">
        <f t="shared" si="3"/>
        <v>2.2975000000000003</v>
      </c>
      <c r="L18">
        <f t="shared" si="3"/>
        <v>2.4474999999999998</v>
      </c>
    </row>
    <row r="19" spans="2:12" x14ac:dyDescent="0.25">
      <c r="C19" t="s">
        <v>205</v>
      </c>
      <c r="D19">
        <f>STDEV(D3:D6)/2</f>
        <v>0.58637836192456161</v>
      </c>
      <c r="E19">
        <f t="shared" ref="E19:L19" si="4">STDEV(E3:E6)/2</f>
        <v>0.33522380583723482</v>
      </c>
      <c r="F19">
        <f t="shared" si="4"/>
        <v>0.26609443812300887</v>
      </c>
      <c r="G19">
        <f t="shared" si="4"/>
        <v>1.3149778198382939E-2</v>
      </c>
      <c r="H19">
        <f t="shared" si="4"/>
        <v>8.5391256382996727E-4</v>
      </c>
      <c r="I19">
        <f t="shared" si="4"/>
        <v>4.7499999999999994E-2</v>
      </c>
      <c r="J19">
        <f t="shared" si="4"/>
        <v>0.14980542936311145</v>
      </c>
      <c r="K19">
        <f t="shared" si="4"/>
        <v>4.7871355387816847E-3</v>
      </c>
      <c r="L19">
        <f t="shared" si="4"/>
        <v>0.4271294690528078</v>
      </c>
    </row>
    <row r="21" spans="2:12" x14ac:dyDescent="0.25">
      <c r="B21" t="s">
        <v>206</v>
      </c>
      <c r="C21" t="s">
        <v>110</v>
      </c>
      <c r="D21">
        <f>AVERAGE(D7:D11)</f>
        <v>-4.6059999999999999</v>
      </c>
      <c r="E21">
        <f t="shared" ref="E21:L21" si="5">AVERAGE(E7:E11)</f>
        <v>-3.9560000000000004</v>
      </c>
      <c r="F21">
        <f t="shared" si="5"/>
        <v>-0.69599999999999995</v>
      </c>
      <c r="G21">
        <f t="shared" si="5"/>
        <v>-0.10400000000000001</v>
      </c>
      <c r="H21">
        <f t="shared" si="5"/>
        <v>-0.17400000000000002</v>
      </c>
      <c r="I21">
        <f t="shared" si="5"/>
        <v>-3.6000000000000004E-2</v>
      </c>
      <c r="J21">
        <f t="shared" si="5"/>
        <v>2.23</v>
      </c>
      <c r="K21">
        <f t="shared" si="5"/>
        <v>2.68</v>
      </c>
      <c r="L21">
        <f t="shared" si="5"/>
        <v>1.766</v>
      </c>
    </row>
    <row r="22" spans="2:12" x14ac:dyDescent="0.25">
      <c r="C22" t="s">
        <v>205</v>
      </c>
      <c r="D22">
        <f>STDEV(D7:D11)/SQRT(5)</f>
        <v>0.32961492684646465</v>
      </c>
      <c r="E22">
        <f t="shared" ref="E22:L22" si="6">STDEV(E7:E11)/SQRT(5)</f>
        <v>0.30297854709533373</v>
      </c>
      <c r="F22">
        <f t="shared" si="6"/>
        <v>0.2508904143246608</v>
      </c>
      <c r="G22">
        <f t="shared" si="6"/>
        <v>1.3638181696985857E-2</v>
      </c>
      <c r="H22">
        <f t="shared" si="6"/>
        <v>6.7823299831252671E-3</v>
      </c>
      <c r="I22">
        <f t="shared" si="6"/>
        <v>1.2884098726725123E-2</v>
      </c>
      <c r="J22">
        <f t="shared" si="6"/>
        <v>9.6591925128346051E-2</v>
      </c>
      <c r="K22">
        <f t="shared" si="6"/>
        <v>1.6733200530681568E-2</v>
      </c>
      <c r="L22">
        <f t="shared" si="6"/>
        <v>0.1450379260745267</v>
      </c>
    </row>
  </sheetData>
  <mergeCells count="5">
    <mergeCell ref="D1:F1"/>
    <mergeCell ref="G1:I1"/>
    <mergeCell ref="J1:L1"/>
    <mergeCell ref="M1:O1"/>
    <mergeCell ref="A13:B1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workbookViewId="0">
      <selection activeCell="C32" sqref="C32"/>
    </sheetView>
  </sheetViews>
  <sheetFormatPr defaultRowHeight="15" x14ac:dyDescent="0.25"/>
  <cols>
    <col min="1" max="1" width="29.7109375" style="53" customWidth="1"/>
    <col min="2" max="2" width="156.5703125" style="53" customWidth="1"/>
    <col min="3" max="3" width="22.7109375" style="53" customWidth="1"/>
    <col min="4" max="16384" width="9.140625" style="53"/>
  </cols>
  <sheetData>
    <row r="1" spans="1:3" ht="15.75" x14ac:dyDescent="0.25">
      <c r="A1" s="54" t="s">
        <v>153</v>
      </c>
      <c r="B1" s="54" t="s">
        <v>154</v>
      </c>
      <c r="C1" s="54" t="s">
        <v>20</v>
      </c>
    </row>
    <row r="2" spans="1:3" ht="15.75" x14ac:dyDescent="0.25">
      <c r="A2" s="3" t="s">
        <v>3</v>
      </c>
      <c r="B2" s="55" t="s">
        <v>157</v>
      </c>
      <c r="C2" s="54" t="s">
        <v>157</v>
      </c>
    </row>
    <row r="3" spans="1:3" x14ac:dyDescent="0.25">
      <c r="A3" s="3" t="s">
        <v>4</v>
      </c>
      <c r="B3" s="55" t="s">
        <v>157</v>
      </c>
      <c r="C3" s="55" t="s">
        <v>157</v>
      </c>
    </row>
    <row r="4" spans="1:3" x14ac:dyDescent="0.25">
      <c r="A4" s="3" t="s">
        <v>5</v>
      </c>
      <c r="B4" s="55" t="s">
        <v>158</v>
      </c>
      <c r="C4" s="55" t="s">
        <v>157</v>
      </c>
    </row>
    <row r="5" spans="1:3" x14ac:dyDescent="0.25">
      <c r="A5" s="3" t="s">
        <v>6</v>
      </c>
      <c r="B5" s="55" t="s">
        <v>159</v>
      </c>
      <c r="C5" s="55" t="s">
        <v>155</v>
      </c>
    </row>
    <row r="6" spans="1:3" x14ac:dyDescent="0.25">
      <c r="A6" s="3" t="s">
        <v>7</v>
      </c>
      <c r="B6" s="56" t="s">
        <v>160</v>
      </c>
      <c r="C6" s="55" t="s">
        <v>155</v>
      </c>
    </row>
    <row r="7" spans="1:3" x14ac:dyDescent="0.25">
      <c r="A7" s="4" t="s">
        <v>9</v>
      </c>
      <c r="B7" s="56" t="s">
        <v>161</v>
      </c>
      <c r="C7" s="55" t="s">
        <v>155</v>
      </c>
    </row>
    <row r="8" spans="1:3" x14ac:dyDescent="0.25">
      <c r="A8" s="4" t="s">
        <v>14</v>
      </c>
      <c r="B8" s="56" t="s">
        <v>162</v>
      </c>
      <c r="C8" s="55" t="s">
        <v>155</v>
      </c>
    </row>
    <row r="9" spans="1:3" x14ac:dyDescent="0.25">
      <c r="A9" s="4" t="s">
        <v>11</v>
      </c>
      <c r="B9" s="56" t="s">
        <v>164</v>
      </c>
      <c r="C9" s="55" t="s">
        <v>155</v>
      </c>
    </row>
    <row r="10" spans="1:3" ht="30" x14ac:dyDescent="0.25">
      <c r="A10" s="4" t="s">
        <v>23</v>
      </c>
      <c r="B10" s="56" t="s">
        <v>165</v>
      </c>
      <c r="C10" s="55" t="s">
        <v>155</v>
      </c>
    </row>
    <row r="11" spans="1:3" x14ac:dyDescent="0.25">
      <c r="A11" s="4" t="s">
        <v>10</v>
      </c>
      <c r="B11" s="56" t="s">
        <v>163</v>
      </c>
      <c r="C11" s="55" t="s">
        <v>155</v>
      </c>
    </row>
    <row r="12" spans="1:3" x14ac:dyDescent="0.25">
      <c r="A12" s="4" t="s">
        <v>12</v>
      </c>
      <c r="B12" s="56" t="s">
        <v>166</v>
      </c>
      <c r="C12" s="55" t="s">
        <v>155</v>
      </c>
    </row>
    <row r="13" spans="1:3" x14ac:dyDescent="0.25">
      <c r="A13" s="4" t="s">
        <v>15</v>
      </c>
      <c r="B13" s="55" t="s">
        <v>167</v>
      </c>
      <c r="C13" s="55" t="s">
        <v>155</v>
      </c>
    </row>
    <row r="14" spans="1:3" x14ac:dyDescent="0.25">
      <c r="A14" s="4" t="s">
        <v>24</v>
      </c>
      <c r="B14" s="56" t="s">
        <v>168</v>
      </c>
      <c r="C14" s="55" t="s">
        <v>155</v>
      </c>
    </row>
    <row r="15" spans="1:3" x14ac:dyDescent="0.25">
      <c r="A15" s="4" t="s">
        <v>44</v>
      </c>
      <c r="B15" s="56" t="s">
        <v>169</v>
      </c>
      <c r="C15" s="55" t="s">
        <v>155</v>
      </c>
    </row>
    <row r="16" spans="1:3" x14ac:dyDescent="0.25">
      <c r="A16" s="4" t="s">
        <v>16</v>
      </c>
      <c r="B16" s="56" t="s">
        <v>170</v>
      </c>
      <c r="C16" s="55" t="s">
        <v>155</v>
      </c>
    </row>
    <row r="17" spans="1:3" x14ac:dyDescent="0.25">
      <c r="A17" s="4" t="s">
        <v>22</v>
      </c>
      <c r="B17" s="56" t="s">
        <v>171</v>
      </c>
      <c r="C17" s="55" t="s">
        <v>155</v>
      </c>
    </row>
    <row r="18" spans="1:3" x14ac:dyDescent="0.25">
      <c r="A18" s="4" t="s">
        <v>28</v>
      </c>
      <c r="B18" s="56" t="s">
        <v>172</v>
      </c>
      <c r="C18" s="55" t="s">
        <v>155</v>
      </c>
    </row>
    <row r="19" spans="1:3" x14ac:dyDescent="0.25">
      <c r="A19" s="4" t="s">
        <v>116</v>
      </c>
      <c r="B19" s="56" t="s">
        <v>175</v>
      </c>
      <c r="C19" s="55" t="s">
        <v>155</v>
      </c>
    </row>
    <row r="20" spans="1:3" x14ac:dyDescent="0.25">
      <c r="A20" s="4" t="s">
        <v>27</v>
      </c>
      <c r="B20" s="56" t="s">
        <v>173</v>
      </c>
      <c r="C20" s="55" t="s">
        <v>155</v>
      </c>
    </row>
    <row r="21" spans="1:3" x14ac:dyDescent="0.25">
      <c r="A21" s="4" t="s">
        <v>30</v>
      </c>
      <c r="B21" s="56" t="s">
        <v>174</v>
      </c>
      <c r="C21" s="55" t="s">
        <v>155</v>
      </c>
    </row>
    <row r="22" spans="1:3" x14ac:dyDescent="0.25">
      <c r="A22" s="4" t="s">
        <v>107</v>
      </c>
      <c r="B22" s="56" t="s">
        <v>176</v>
      </c>
      <c r="C22" s="55" t="s">
        <v>155</v>
      </c>
    </row>
    <row r="23" spans="1:3" x14ac:dyDescent="0.25">
      <c r="A23" s="4" t="s">
        <v>33</v>
      </c>
      <c r="B23" s="55" t="s">
        <v>177</v>
      </c>
      <c r="C23" s="55" t="s">
        <v>180</v>
      </c>
    </row>
    <row r="24" spans="1:3" x14ac:dyDescent="0.25">
      <c r="A24" s="4" t="s">
        <v>34</v>
      </c>
      <c r="B24" s="55" t="s">
        <v>178</v>
      </c>
      <c r="C24" s="55" t="s">
        <v>180</v>
      </c>
    </row>
    <row r="25" spans="1:3" x14ac:dyDescent="0.25">
      <c r="A25" s="4" t="s">
        <v>31</v>
      </c>
      <c r="B25" s="55" t="s">
        <v>179</v>
      </c>
      <c r="C25" s="55" t="s">
        <v>180</v>
      </c>
    </row>
    <row r="26" spans="1:3" x14ac:dyDescent="0.25">
      <c r="A26" s="4" t="s">
        <v>35</v>
      </c>
      <c r="B26" s="55" t="s">
        <v>181</v>
      </c>
      <c r="C26" s="55" t="s">
        <v>156</v>
      </c>
    </row>
    <row r="27" spans="1:3" x14ac:dyDescent="0.25">
      <c r="A27" s="4" t="s">
        <v>36</v>
      </c>
      <c r="B27" s="55" t="s">
        <v>182</v>
      </c>
      <c r="C27" s="55" t="s">
        <v>156</v>
      </c>
    </row>
    <row r="28" spans="1:3" x14ac:dyDescent="0.25">
      <c r="A28" s="4" t="s">
        <v>37</v>
      </c>
      <c r="B28" s="55" t="s">
        <v>183</v>
      </c>
      <c r="C28" s="55" t="s">
        <v>156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workbookViewId="0">
      <selection activeCell="B37" sqref="B37"/>
    </sheetView>
  </sheetViews>
  <sheetFormatPr defaultRowHeight="15" x14ac:dyDescent="0.25"/>
  <cols>
    <col min="1" max="1" width="20" customWidth="1"/>
    <col min="2" max="2" width="29.85546875" customWidth="1"/>
    <col min="3" max="3" width="141.85546875" customWidth="1"/>
  </cols>
  <sheetData>
    <row r="1" spans="1:3" x14ac:dyDescent="0.25">
      <c r="B1" s="58" t="s">
        <v>0</v>
      </c>
      <c r="C1" s="58"/>
    </row>
    <row r="2" spans="1:3" x14ac:dyDescent="0.25">
      <c r="B2" s="12" t="s">
        <v>1</v>
      </c>
      <c r="C2" t="s">
        <v>2</v>
      </c>
    </row>
    <row r="3" spans="1:3" x14ac:dyDescent="0.25">
      <c r="B3" s="12" t="s">
        <v>38</v>
      </c>
      <c r="C3" t="s">
        <v>39</v>
      </c>
    </row>
    <row r="4" spans="1:3" x14ac:dyDescent="0.25">
      <c r="B4" s="12" t="s">
        <v>40</v>
      </c>
      <c r="C4" t="s">
        <v>41</v>
      </c>
    </row>
    <row r="5" spans="1:3" x14ac:dyDescent="0.25">
      <c r="B5" s="12" t="s">
        <v>86</v>
      </c>
      <c r="C5" t="s">
        <v>85</v>
      </c>
    </row>
    <row r="6" spans="1:3" x14ac:dyDescent="0.25">
      <c r="B6" s="12" t="s">
        <v>84</v>
      </c>
      <c r="C6" t="s">
        <v>83</v>
      </c>
    </row>
    <row r="7" spans="1:3" x14ac:dyDescent="0.25">
      <c r="B7" s="58" t="s">
        <v>82</v>
      </c>
      <c r="C7" s="58"/>
    </row>
    <row r="8" spans="1:3" x14ac:dyDescent="0.25">
      <c r="B8" s="11" t="s">
        <v>43</v>
      </c>
      <c r="C8" s="1" t="s">
        <v>81</v>
      </c>
    </row>
    <row r="9" spans="1:3" x14ac:dyDescent="0.25">
      <c r="A9" s="60" t="s">
        <v>80</v>
      </c>
      <c r="B9" s="10" t="s">
        <v>5</v>
      </c>
      <c r="C9" t="s">
        <v>79</v>
      </c>
    </row>
    <row r="10" spans="1:3" x14ac:dyDescent="0.25">
      <c r="A10" s="60"/>
      <c r="B10" s="10" t="s">
        <v>6</v>
      </c>
      <c r="C10" t="s">
        <v>78</v>
      </c>
    </row>
    <row r="11" spans="1:3" x14ac:dyDescent="0.25">
      <c r="A11" s="60"/>
      <c r="B11" s="10" t="s">
        <v>77</v>
      </c>
      <c r="C11" t="s">
        <v>76</v>
      </c>
    </row>
    <row r="12" spans="1:3" x14ac:dyDescent="0.25">
      <c r="A12" s="60"/>
      <c r="B12" s="9" t="s">
        <v>9</v>
      </c>
      <c r="C12" t="s">
        <v>75</v>
      </c>
    </row>
    <row r="13" spans="1:3" x14ac:dyDescent="0.25">
      <c r="A13" s="61" t="s">
        <v>74</v>
      </c>
      <c r="B13" s="8" t="s">
        <v>73</v>
      </c>
      <c r="C13" s="59" t="s">
        <v>72</v>
      </c>
    </row>
    <row r="14" spans="1:3" x14ac:dyDescent="0.25">
      <c r="A14" s="61"/>
      <c r="B14" s="7" t="s">
        <v>11</v>
      </c>
      <c r="C14" s="59"/>
    </row>
    <row r="15" spans="1:3" ht="18.75" customHeight="1" x14ac:dyDescent="0.25">
      <c r="A15" s="62" t="s">
        <v>13</v>
      </c>
      <c r="B15" s="6" t="s">
        <v>23</v>
      </c>
      <c r="C15" t="s">
        <v>71</v>
      </c>
    </row>
    <row r="16" spans="1:3" x14ac:dyDescent="0.25">
      <c r="A16" s="62"/>
      <c r="B16" s="6" t="s">
        <v>10</v>
      </c>
      <c r="C16" t="s">
        <v>70</v>
      </c>
    </row>
    <row r="17" spans="1:3" x14ac:dyDescent="0.25">
      <c r="A17" s="62"/>
      <c r="B17" s="6" t="s">
        <v>12</v>
      </c>
      <c r="C17" t="s">
        <v>69</v>
      </c>
    </row>
    <row r="18" spans="1:3" x14ac:dyDescent="0.25">
      <c r="A18" s="62"/>
      <c r="B18" s="6" t="s">
        <v>15</v>
      </c>
      <c r="C18" t="s">
        <v>68</v>
      </c>
    </row>
    <row r="19" spans="1:3" x14ac:dyDescent="0.25">
      <c r="A19" s="62"/>
      <c r="B19" s="6" t="s">
        <v>24</v>
      </c>
      <c r="C19" t="s">
        <v>67</v>
      </c>
    </row>
    <row r="20" spans="1:3" x14ac:dyDescent="0.25">
      <c r="A20" s="62"/>
      <c r="B20" s="6" t="s">
        <v>66</v>
      </c>
      <c r="C20" t="s">
        <v>65</v>
      </c>
    </row>
    <row r="21" spans="1:3" x14ac:dyDescent="0.25">
      <c r="A21" s="62"/>
      <c r="B21" s="6" t="s">
        <v>64</v>
      </c>
      <c r="C21" t="s">
        <v>63</v>
      </c>
    </row>
    <row r="22" spans="1:3" x14ac:dyDescent="0.25">
      <c r="A22" s="62"/>
      <c r="B22" s="6" t="s">
        <v>62</v>
      </c>
      <c r="C22" t="s">
        <v>61</v>
      </c>
    </row>
    <row r="23" spans="1:3" x14ac:dyDescent="0.25">
      <c r="A23" s="62"/>
      <c r="B23" s="6" t="s">
        <v>28</v>
      </c>
      <c r="C23" t="s">
        <v>60</v>
      </c>
    </row>
    <row r="24" spans="1:3" x14ac:dyDescent="0.25">
      <c r="A24" s="62"/>
      <c r="B24" s="6" t="s">
        <v>27</v>
      </c>
      <c r="C24" t="s">
        <v>59</v>
      </c>
    </row>
    <row r="25" spans="1:3" x14ac:dyDescent="0.25">
      <c r="A25" s="62"/>
      <c r="B25" s="6" t="s">
        <v>30</v>
      </c>
      <c r="C25" t="s">
        <v>58</v>
      </c>
    </row>
    <row r="26" spans="1:3" x14ac:dyDescent="0.25">
      <c r="A26" s="57" t="s">
        <v>57</v>
      </c>
      <c r="B26" s="13" t="s">
        <v>56</v>
      </c>
      <c r="C26" t="s">
        <v>55</v>
      </c>
    </row>
    <row r="27" spans="1:3" x14ac:dyDescent="0.25">
      <c r="A27" s="57"/>
      <c r="B27" s="13" t="s">
        <v>54</v>
      </c>
      <c r="C27" t="s">
        <v>53</v>
      </c>
    </row>
    <row r="28" spans="1:3" x14ac:dyDescent="0.25">
      <c r="A28" s="57"/>
      <c r="B28" s="13" t="s">
        <v>52</v>
      </c>
      <c r="C28" t="s">
        <v>51</v>
      </c>
    </row>
    <row r="29" spans="1:3" x14ac:dyDescent="0.25">
      <c r="A29" s="57"/>
      <c r="B29" s="13" t="s">
        <v>50</v>
      </c>
      <c r="C29" t="s">
        <v>49</v>
      </c>
    </row>
    <row r="30" spans="1:3" x14ac:dyDescent="0.25">
      <c r="A30" s="57"/>
      <c r="B30" s="13" t="s">
        <v>48</v>
      </c>
      <c r="C30" t="s">
        <v>47</v>
      </c>
    </row>
    <row r="31" spans="1:3" x14ac:dyDescent="0.25">
      <c r="A31" s="57"/>
      <c r="B31" s="13" t="s">
        <v>46</v>
      </c>
      <c r="C31" t="s">
        <v>45</v>
      </c>
    </row>
  </sheetData>
  <mergeCells count="7">
    <mergeCell ref="A26:A31"/>
    <mergeCell ref="B1:C1"/>
    <mergeCell ref="B7:C7"/>
    <mergeCell ref="C13:C14"/>
    <mergeCell ref="A9:A12"/>
    <mergeCell ref="A13:A14"/>
    <mergeCell ref="A15:A2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6"/>
  <sheetViews>
    <sheetView topLeftCell="E1" zoomScale="89" zoomScaleNormal="89" workbookViewId="0">
      <selection activeCell="U9" sqref="U9"/>
    </sheetView>
  </sheetViews>
  <sheetFormatPr defaultRowHeight="15" x14ac:dyDescent="0.25"/>
  <cols>
    <col min="1" max="1" width="11.7109375" customWidth="1"/>
    <col min="4" max="4" width="9.28515625" customWidth="1"/>
    <col min="5" max="5" width="30.5703125" customWidth="1"/>
    <col min="6" max="6" width="14.7109375" customWidth="1"/>
    <col min="7" max="7" width="16.140625" customWidth="1"/>
    <col min="8" max="8" width="16.85546875" customWidth="1"/>
    <col min="9" max="9" width="16.28515625" customWidth="1"/>
    <col min="10" max="10" width="18" customWidth="1"/>
    <col min="11" max="11" width="11.7109375" customWidth="1"/>
    <col min="12" max="12" width="12.7109375" customWidth="1"/>
    <col min="13" max="13" width="12.5703125" customWidth="1"/>
    <col min="14" max="15" width="14.7109375" customWidth="1"/>
    <col min="16" max="16" width="19.140625" bestFit="1" customWidth="1"/>
    <col min="17" max="18" width="17.7109375" customWidth="1"/>
    <col min="19" max="19" width="13.28515625" customWidth="1"/>
    <col min="20" max="20" width="13.5703125" customWidth="1"/>
    <col min="21" max="21" width="19.5703125" customWidth="1"/>
    <col min="22" max="22" width="15.42578125" customWidth="1"/>
    <col min="23" max="23" width="13.42578125" customWidth="1"/>
    <col min="24" max="24" width="12" customWidth="1"/>
    <col min="25" max="25" width="12.140625" customWidth="1"/>
  </cols>
  <sheetData>
    <row r="1" spans="1:28" x14ac:dyDescent="0.25">
      <c r="E1" s="69" t="s">
        <v>42</v>
      </c>
      <c r="F1" s="69"/>
      <c r="G1" t="s">
        <v>20</v>
      </c>
      <c r="K1" s="70" t="s">
        <v>19</v>
      </c>
      <c r="L1" s="70"/>
      <c r="M1" s="70"/>
    </row>
    <row r="2" spans="1:28" x14ac:dyDescent="0.25">
      <c r="C2" s="63"/>
      <c r="D2" s="63"/>
      <c r="E2" t="s">
        <v>17</v>
      </c>
      <c r="F2">
        <v>0.15559999999999999</v>
      </c>
      <c r="G2" t="s">
        <v>21</v>
      </c>
      <c r="K2" s="70"/>
      <c r="L2" s="70"/>
      <c r="M2" s="70"/>
    </row>
    <row r="3" spans="1:28" x14ac:dyDescent="0.25">
      <c r="E3" t="s">
        <v>18</v>
      </c>
      <c r="F3">
        <v>0.41389999999999999</v>
      </c>
      <c r="G3" t="s">
        <v>21</v>
      </c>
      <c r="K3" s="70"/>
      <c r="L3" s="70"/>
      <c r="M3" s="70"/>
    </row>
    <row r="4" spans="1:28" x14ac:dyDescent="0.25">
      <c r="E4" t="s">
        <v>29</v>
      </c>
      <c r="F4">
        <v>2.6537000000000002</v>
      </c>
    </row>
    <row r="5" spans="1:28" x14ac:dyDescent="0.25">
      <c r="E5" t="s">
        <v>124</v>
      </c>
      <c r="F5">
        <f>INTERCEPT(Q9:Q12,F9:F12)/L9</f>
        <v>1.9819543953632008</v>
      </c>
    </row>
    <row r="7" spans="1:28" x14ac:dyDescent="0.25">
      <c r="D7" s="30" t="s">
        <v>25</v>
      </c>
      <c r="E7" s="30"/>
      <c r="F7" s="30"/>
      <c r="G7" s="64" t="s">
        <v>26</v>
      </c>
      <c r="H7" s="64"/>
      <c r="I7" s="65" t="s">
        <v>13</v>
      </c>
      <c r="J7" s="65"/>
      <c r="K7" s="65"/>
      <c r="L7" s="65"/>
      <c r="M7" s="65"/>
      <c r="N7" s="65"/>
      <c r="O7" s="65"/>
      <c r="P7" s="65"/>
      <c r="Q7" s="65"/>
      <c r="R7" s="65"/>
      <c r="S7" s="65"/>
      <c r="T7" s="65"/>
      <c r="U7" s="5"/>
      <c r="V7" s="5"/>
      <c r="W7" s="66" t="s">
        <v>32</v>
      </c>
      <c r="X7" s="66"/>
      <c r="Y7" s="66"/>
      <c r="Z7" s="66"/>
      <c r="AA7" s="66"/>
      <c r="AB7" s="66"/>
    </row>
    <row r="8" spans="1:28" ht="63" customHeight="1" x14ac:dyDescent="0.25">
      <c r="A8" s="3" t="s">
        <v>3</v>
      </c>
      <c r="B8" s="3" t="s">
        <v>4</v>
      </c>
      <c r="C8" s="3" t="s">
        <v>5</v>
      </c>
      <c r="D8" s="3" t="s">
        <v>6</v>
      </c>
      <c r="E8" s="3" t="s">
        <v>7</v>
      </c>
      <c r="F8" s="4" t="s">
        <v>9</v>
      </c>
      <c r="G8" s="4" t="s">
        <v>14</v>
      </c>
      <c r="H8" s="4" t="s">
        <v>11</v>
      </c>
      <c r="I8" s="4" t="s">
        <v>23</v>
      </c>
      <c r="J8" s="4" t="s">
        <v>10</v>
      </c>
      <c r="K8" s="4" t="s">
        <v>12</v>
      </c>
      <c r="L8" s="4" t="s">
        <v>15</v>
      </c>
      <c r="M8" s="4" t="s">
        <v>24</v>
      </c>
      <c r="N8" s="4" t="s">
        <v>44</v>
      </c>
      <c r="O8" s="4" t="s">
        <v>16</v>
      </c>
      <c r="P8" s="4" t="s">
        <v>22</v>
      </c>
      <c r="Q8" s="4" t="s">
        <v>28</v>
      </c>
      <c r="R8" s="4" t="s">
        <v>116</v>
      </c>
      <c r="S8" s="4" t="s">
        <v>27</v>
      </c>
      <c r="T8" s="4" t="s">
        <v>30</v>
      </c>
      <c r="U8" s="4" t="s">
        <v>107</v>
      </c>
      <c r="V8" s="4" t="s">
        <v>33</v>
      </c>
      <c r="W8" s="4" t="s">
        <v>34</v>
      </c>
      <c r="X8" s="4" t="s">
        <v>31</v>
      </c>
      <c r="Y8" s="4" t="s">
        <v>35</v>
      </c>
      <c r="Z8" s="4" t="s">
        <v>36</v>
      </c>
      <c r="AA8" s="4" t="s">
        <v>37</v>
      </c>
    </row>
    <row r="9" spans="1:28" x14ac:dyDescent="0.25">
      <c r="A9" s="1" t="s">
        <v>8</v>
      </c>
      <c r="B9">
        <v>1</v>
      </c>
      <c r="C9">
        <v>1</v>
      </c>
      <c r="D9">
        <v>808</v>
      </c>
      <c r="E9">
        <v>3.48</v>
      </c>
      <c r="F9" s="44">
        <v>0.129</v>
      </c>
      <c r="G9">
        <v>1.1006</v>
      </c>
      <c r="I9" s="19">
        <f>D9-E9</f>
        <v>804.52</v>
      </c>
      <c r="J9">
        <f>SUM(G9:G20)</f>
        <v>99.740099999999998</v>
      </c>
      <c r="K9">
        <f>SUM(H9:H19)</f>
        <v>170.6816</v>
      </c>
      <c r="L9">
        <f>SUM(J9:K9)</f>
        <v>270.42169999999999</v>
      </c>
      <c r="N9">
        <v>0</v>
      </c>
      <c r="Q9">
        <f>D9-L9</f>
        <v>537.57830000000001</v>
      </c>
      <c r="R9">
        <f>J9*$F$4</f>
        <v>264.68030336999999</v>
      </c>
      <c r="S9">
        <f>($F$4*J9)-($F$2*J9*F9)</f>
        <v>262.67828018675999</v>
      </c>
      <c r="T9">
        <f>Q9-S9</f>
        <v>274.90001981324002</v>
      </c>
      <c r="U9">
        <f>L9*$F$5</f>
        <v>535.96347691658889</v>
      </c>
      <c r="V9">
        <f t="shared" ref="V9:V19" si="0">Q9/L9</f>
        <v>1.9879258950002905</v>
      </c>
      <c r="W9">
        <f>S9/J9</f>
        <v>2.6336276000000001</v>
      </c>
      <c r="X9">
        <f>T9/K9</f>
        <v>1.6106013759728055</v>
      </c>
      <c r="Y9">
        <f>Q9/U9*100</f>
        <v>100.30129349348601</v>
      </c>
      <c r="Z9">
        <f>S9/(U9)*100</f>
        <v>49.010481404060336</v>
      </c>
      <c r="AA9">
        <f>T9/(U9)*100</f>
        <v>51.290812089425685</v>
      </c>
    </row>
    <row r="10" spans="1:28" x14ac:dyDescent="0.25">
      <c r="A10" s="1" t="s">
        <v>8</v>
      </c>
      <c r="B10">
        <v>1</v>
      </c>
      <c r="C10">
        <v>2</v>
      </c>
      <c r="D10">
        <v>758</v>
      </c>
      <c r="E10">
        <v>4.8680000000000003</v>
      </c>
      <c r="F10" s="44">
        <v>1.4550000000000001</v>
      </c>
      <c r="G10">
        <v>1.2134</v>
      </c>
      <c r="H10">
        <v>0.443</v>
      </c>
      <c r="I10" s="19">
        <f t="shared" ref="I10:I19" si="1">D10-E10</f>
        <v>753.13199999999995</v>
      </c>
      <c r="J10">
        <f>SUM(G10:G20)</f>
        <v>98.639499999999998</v>
      </c>
      <c r="K10">
        <f>SUM(H10:H19)</f>
        <v>170.6816</v>
      </c>
      <c r="L10">
        <f>SUM(J10:K10)</f>
        <v>269.3211</v>
      </c>
      <c r="M10">
        <f t="shared" ref="M10:M19" si="2">I9-D10</f>
        <v>46.519999999999982</v>
      </c>
      <c r="N10">
        <f>F10-F9</f>
        <v>1.3260000000000001</v>
      </c>
      <c r="O10">
        <f>N10*$F$2*J10</f>
        <v>20.351854021199998</v>
      </c>
      <c r="P10">
        <f>M10-O10</f>
        <v>26.168145978799984</v>
      </c>
      <c r="Q10">
        <f t="shared" ref="Q10:Q19" si="3">D10-L10</f>
        <v>488.6789</v>
      </c>
      <c r="R10">
        <f t="shared" ref="R10:R19" si="4">J10*$F$4</f>
        <v>261.75964114999999</v>
      </c>
      <c r="S10">
        <f t="shared" ref="S10:S12" si="5">($F$4*J10)-($F$2*J10*F10)</f>
        <v>239.42785562899999</v>
      </c>
      <c r="T10">
        <f t="shared" ref="T10:T19" si="6">Q10-S10</f>
        <v>249.25104437100001</v>
      </c>
      <c r="U10">
        <f t="shared" ref="U10:U19" si="7">L10*$F$5</f>
        <v>533.78213790905215</v>
      </c>
      <c r="V10">
        <f t="shared" si="0"/>
        <v>1.8144842717484817</v>
      </c>
      <c r="W10">
        <f t="shared" ref="W10:W19" si="8">S10/J10</f>
        <v>2.4273020000000001</v>
      </c>
      <c r="X10">
        <f t="shared" ref="X10:X19" si="9">T10/K10</f>
        <v>1.4603275594498764</v>
      </c>
      <c r="Y10">
        <f t="shared" ref="Y10:Y19" si="10">Q10/U10*100</f>
        <v>91.550253426288876</v>
      </c>
      <c r="Z10">
        <f t="shared" ref="Z10:Z19" si="11">S10/(U10)*100</f>
        <v>44.854977082390612</v>
      </c>
      <c r="AA10">
        <f t="shared" ref="AA10:AA19" si="12">T10/(U10)*100</f>
        <v>46.695276343898257</v>
      </c>
    </row>
    <row r="11" spans="1:28" x14ac:dyDescent="0.25">
      <c r="A11" s="1" t="s">
        <v>8</v>
      </c>
      <c r="B11">
        <v>1</v>
      </c>
      <c r="C11">
        <v>3</v>
      </c>
      <c r="D11">
        <v>747</v>
      </c>
      <c r="E11">
        <v>2.4289999999999998</v>
      </c>
      <c r="F11" s="44">
        <v>2.5920000000000001</v>
      </c>
      <c r="G11">
        <v>0.79520000000000002</v>
      </c>
      <c r="I11" s="19">
        <f t="shared" si="1"/>
        <v>744.57100000000003</v>
      </c>
      <c r="J11">
        <f>SUM(G11:G20)</f>
        <v>97.426099999999991</v>
      </c>
      <c r="K11">
        <f>SUM(H11:H19)</f>
        <v>170.23860000000002</v>
      </c>
      <c r="L11">
        <f t="shared" ref="L11:L18" si="13">SUM(J11:K11)</f>
        <v>267.66470000000004</v>
      </c>
      <c r="M11">
        <f t="shared" si="2"/>
        <v>6.1319999999999482</v>
      </c>
      <c r="N11">
        <f t="shared" ref="N11:N19" si="14">F11-F10</f>
        <v>1.137</v>
      </c>
      <c r="O11">
        <f t="shared" ref="O11:O18" si="15">N11*$F$2*J11</f>
        <v>17.236352818919997</v>
      </c>
      <c r="P11">
        <f t="shared" ref="P11:P19" si="16">M11-O11</f>
        <v>-11.104352818920049</v>
      </c>
      <c r="Q11">
        <f t="shared" si="3"/>
        <v>479.33529999999996</v>
      </c>
      <c r="R11">
        <f t="shared" si="4"/>
        <v>258.53964157000001</v>
      </c>
      <c r="S11">
        <f t="shared" si="5"/>
        <v>219.24621456328003</v>
      </c>
      <c r="T11">
        <f t="shared" si="6"/>
        <v>260.08908543671993</v>
      </c>
      <c r="U11">
        <f t="shared" si="7"/>
        <v>530.49922864857263</v>
      </c>
      <c r="V11">
        <f t="shared" si="0"/>
        <v>1.7908050632003394</v>
      </c>
      <c r="W11">
        <f t="shared" si="8"/>
        <v>2.2503848000000004</v>
      </c>
      <c r="X11">
        <f t="shared" si="9"/>
        <v>1.5277914963863652</v>
      </c>
      <c r="Y11">
        <f t="shared" si="10"/>
        <v>90.355513093032968</v>
      </c>
      <c r="Z11">
        <f t="shared" si="11"/>
        <v>41.328281498505049</v>
      </c>
      <c r="AA11">
        <f t="shared" si="12"/>
        <v>49.027231594527926</v>
      </c>
    </row>
    <row r="12" spans="1:28" x14ac:dyDescent="0.25">
      <c r="A12" s="1" t="s">
        <v>8</v>
      </c>
      <c r="B12">
        <v>1</v>
      </c>
      <c r="C12">
        <v>4</v>
      </c>
      <c r="D12">
        <v>730</v>
      </c>
      <c r="E12">
        <v>2.6629999999999998</v>
      </c>
      <c r="F12" s="45">
        <v>2.831</v>
      </c>
      <c r="G12">
        <v>0.76300000000000001</v>
      </c>
      <c r="I12" s="19">
        <f t="shared" si="1"/>
        <v>727.33699999999999</v>
      </c>
      <c r="J12">
        <f>SUM(G12:G20)</f>
        <v>96.630899999999997</v>
      </c>
      <c r="K12">
        <f>SUM(H12:H19)</f>
        <v>170.23860000000002</v>
      </c>
      <c r="L12">
        <f t="shared" si="13"/>
        <v>266.86950000000002</v>
      </c>
      <c r="M12">
        <f t="shared" si="2"/>
        <v>14.571000000000026</v>
      </c>
      <c r="N12">
        <f t="shared" si="14"/>
        <v>0.23899999999999988</v>
      </c>
      <c r="O12">
        <f t="shared" si="15"/>
        <v>3.5935485615599974</v>
      </c>
      <c r="P12">
        <f t="shared" si="16"/>
        <v>10.977451438440029</v>
      </c>
      <c r="Q12">
        <f t="shared" si="3"/>
        <v>463.13049999999998</v>
      </c>
      <c r="R12">
        <f t="shared" si="4"/>
        <v>256.42941933000003</v>
      </c>
      <c r="S12">
        <f t="shared" si="5"/>
        <v>213.86316000876002</v>
      </c>
      <c r="T12">
        <f t="shared" si="6"/>
        <v>249.26733999123996</v>
      </c>
      <c r="U12">
        <f t="shared" si="7"/>
        <v>528.92317851337975</v>
      </c>
      <c r="V12">
        <f t="shared" si="0"/>
        <v>1.7354193716404458</v>
      </c>
      <c r="W12">
        <f t="shared" si="8"/>
        <v>2.2131964000000002</v>
      </c>
      <c r="X12">
        <f t="shared" si="9"/>
        <v>1.464223389943526</v>
      </c>
      <c r="Y12">
        <f t="shared" si="10"/>
        <v>87.561014304893902</v>
      </c>
      <c r="Z12">
        <f t="shared" si="11"/>
        <v>40.433690315832905</v>
      </c>
      <c r="AA12">
        <f t="shared" si="12"/>
        <v>47.127323989061004</v>
      </c>
    </row>
    <row r="13" spans="1:28" x14ac:dyDescent="0.25">
      <c r="A13" s="1" t="s">
        <v>8</v>
      </c>
      <c r="B13">
        <v>1</v>
      </c>
      <c r="C13">
        <v>5</v>
      </c>
      <c r="D13">
        <v>726</v>
      </c>
      <c r="E13">
        <v>2.867</v>
      </c>
      <c r="F13" s="46">
        <v>3.4319999999999999</v>
      </c>
      <c r="G13">
        <v>0.85899999999999999</v>
      </c>
      <c r="I13" s="19">
        <f t="shared" si="1"/>
        <v>723.13300000000004</v>
      </c>
      <c r="J13">
        <f>SUM(G13:G20)</f>
        <v>95.867899999999992</v>
      </c>
      <c r="K13">
        <f>SUM(H13:H19)</f>
        <v>170.23860000000002</v>
      </c>
      <c r="L13">
        <f t="shared" si="13"/>
        <v>266.10649999999998</v>
      </c>
      <c r="M13">
        <f t="shared" si="2"/>
        <v>1.3369999999999891</v>
      </c>
      <c r="N13">
        <f t="shared" si="14"/>
        <v>0.60099999999999998</v>
      </c>
      <c r="O13">
        <f>N13*$F$2*J13</f>
        <v>8.9651441892399983</v>
      </c>
      <c r="P13">
        <f t="shared" si="16"/>
        <v>-7.6281441892400093</v>
      </c>
      <c r="Q13">
        <f t="shared" si="3"/>
        <v>459.89350000000002</v>
      </c>
      <c r="R13">
        <f t="shared" si="4"/>
        <v>254.40464623</v>
      </c>
      <c r="S13">
        <f>($F$4*J13)-(3.11*$F$2*J13)-($F$3*((ABS(F13)-3.11)*J13))</f>
        <v>195.23576446678001</v>
      </c>
      <c r="T13">
        <f t="shared" si="6"/>
        <v>264.65773553322003</v>
      </c>
      <c r="U13">
        <f t="shared" si="7"/>
        <v>527.41094730971759</v>
      </c>
      <c r="V13">
        <f t="shared" si="0"/>
        <v>1.7282309902238391</v>
      </c>
      <c r="W13">
        <f t="shared" si="8"/>
        <v>2.0365082000000001</v>
      </c>
      <c r="X13">
        <f t="shared" si="9"/>
        <v>1.5546282425561535</v>
      </c>
      <c r="Y13">
        <f t="shared" si="10"/>
        <v>87.198322739768898</v>
      </c>
      <c r="Z13">
        <f t="shared" si="11"/>
        <v>37.017768679748222</v>
      </c>
      <c r="AA13">
        <f t="shared" si="12"/>
        <v>50.18055406002069</v>
      </c>
    </row>
    <row r="14" spans="1:28" x14ac:dyDescent="0.25">
      <c r="A14" s="1" t="s">
        <v>8</v>
      </c>
      <c r="B14">
        <v>1</v>
      </c>
      <c r="C14">
        <v>6</v>
      </c>
      <c r="D14">
        <v>701</v>
      </c>
      <c r="E14">
        <v>6.7240000000000002</v>
      </c>
      <c r="F14" s="46">
        <v>3.633</v>
      </c>
      <c r="G14">
        <v>1.5387</v>
      </c>
      <c r="H14">
        <v>1.0065999999999999</v>
      </c>
      <c r="I14" s="19">
        <f t="shared" si="1"/>
        <v>694.27599999999995</v>
      </c>
      <c r="J14">
        <f>SUM(G14:G20)</f>
        <v>95.008899999999997</v>
      </c>
      <c r="K14">
        <f>SUM(H14:H19)</f>
        <v>170.23860000000002</v>
      </c>
      <c r="L14">
        <f t="shared" si="13"/>
        <v>265.2475</v>
      </c>
      <c r="M14">
        <f t="shared" si="2"/>
        <v>22.133000000000038</v>
      </c>
      <c r="N14">
        <f t="shared" si="14"/>
        <v>0.20100000000000007</v>
      </c>
      <c r="O14">
        <f t="shared" si="15"/>
        <v>2.9714603528400008</v>
      </c>
      <c r="P14">
        <f t="shared" si="16"/>
        <v>19.161539647160037</v>
      </c>
      <c r="Q14">
        <f t="shared" si="3"/>
        <v>435.7525</v>
      </c>
      <c r="R14">
        <f t="shared" si="4"/>
        <v>252.12511793000002</v>
      </c>
      <c r="S14">
        <f t="shared" ref="S14:S19" si="17">($F$4*J14)-(3.11*$F$2*J14)-($F$3*((ABS(F14)-3.11)*J14))</f>
        <v>185.58224299727004</v>
      </c>
      <c r="T14">
        <f t="shared" si="6"/>
        <v>250.17025700272995</v>
      </c>
      <c r="U14">
        <f t="shared" si="7"/>
        <v>525.70844848410059</v>
      </c>
      <c r="V14">
        <f t="shared" si="0"/>
        <v>1.6428147296392992</v>
      </c>
      <c r="W14">
        <f t="shared" si="8"/>
        <v>1.9533143000000006</v>
      </c>
      <c r="X14">
        <f t="shared" si="9"/>
        <v>1.469527222396859</v>
      </c>
      <c r="Y14">
        <f t="shared" si="10"/>
        <v>82.888624152133787</v>
      </c>
      <c r="Z14">
        <f t="shared" si="11"/>
        <v>35.301362101446756</v>
      </c>
      <c r="AA14">
        <f t="shared" si="12"/>
        <v>47.587262050687023</v>
      </c>
    </row>
    <row r="15" spans="1:28" x14ac:dyDescent="0.25">
      <c r="A15" s="1" t="s">
        <v>8</v>
      </c>
      <c r="B15">
        <v>1</v>
      </c>
      <c r="C15">
        <v>7</v>
      </c>
      <c r="D15">
        <v>647</v>
      </c>
      <c r="E15">
        <v>13.273999999999999</v>
      </c>
      <c r="F15" s="47">
        <v>3.988</v>
      </c>
      <c r="G15">
        <v>4.6326000000000001</v>
      </c>
      <c r="I15" s="19">
        <f t="shared" si="1"/>
        <v>633.726</v>
      </c>
      <c r="J15">
        <f>SUM(G15:G20)</f>
        <v>93.470200000000006</v>
      </c>
      <c r="K15">
        <f>SUM(H15:H19)</f>
        <v>169.232</v>
      </c>
      <c r="L15">
        <f t="shared" si="13"/>
        <v>262.7022</v>
      </c>
      <c r="M15">
        <f t="shared" si="2"/>
        <v>47.275999999999954</v>
      </c>
      <c r="N15">
        <f t="shared" si="14"/>
        <v>0.35499999999999998</v>
      </c>
      <c r="O15">
        <f t="shared" si="15"/>
        <v>5.1631069075999996</v>
      </c>
      <c r="P15">
        <f t="shared" si="16"/>
        <v>42.112893092399958</v>
      </c>
      <c r="Q15">
        <f t="shared" si="3"/>
        <v>384.2978</v>
      </c>
      <c r="R15">
        <f t="shared" si="4"/>
        <v>248.04186974000004</v>
      </c>
      <c r="S15">
        <f t="shared" si="17"/>
        <v>168.84268118196005</v>
      </c>
      <c r="T15">
        <f t="shared" si="6"/>
        <v>215.45511881803995</v>
      </c>
      <c r="U15">
        <f t="shared" si="7"/>
        <v>520.66377996158269</v>
      </c>
      <c r="V15">
        <f t="shared" si="0"/>
        <v>1.4628647951939495</v>
      </c>
      <c r="W15">
        <f t="shared" si="8"/>
        <v>1.8063798000000004</v>
      </c>
      <c r="X15">
        <f t="shared" si="9"/>
        <v>1.2731346247638742</v>
      </c>
      <c r="Y15">
        <f t="shared" si="10"/>
        <v>73.809205631387599</v>
      </c>
      <c r="Z15">
        <f t="shared" si="11"/>
        <v>32.428351592733826</v>
      </c>
      <c r="AA15">
        <f t="shared" si="12"/>
        <v>41.380854038653766</v>
      </c>
    </row>
    <row r="16" spans="1:28" x14ac:dyDescent="0.25">
      <c r="A16" s="1" t="s">
        <v>8</v>
      </c>
      <c r="B16">
        <v>1</v>
      </c>
      <c r="C16">
        <v>8</v>
      </c>
      <c r="D16">
        <v>642</v>
      </c>
      <c r="E16">
        <v>36.442</v>
      </c>
      <c r="F16" s="47">
        <v>4.032</v>
      </c>
      <c r="G16">
        <v>12.7006</v>
      </c>
      <c r="I16" s="19">
        <f t="shared" si="1"/>
        <v>605.55799999999999</v>
      </c>
      <c r="J16">
        <f>SUM(G16:G20)</f>
        <v>88.837599999999995</v>
      </c>
      <c r="K16">
        <f>SUM(H16:H19)</f>
        <v>169.232</v>
      </c>
      <c r="L16">
        <f t="shared" si="13"/>
        <v>258.06959999999998</v>
      </c>
      <c r="M16">
        <f t="shared" si="2"/>
        <v>-8.2740000000000009</v>
      </c>
      <c r="N16">
        <f t="shared" si="14"/>
        <v>4.4000000000000039E-2</v>
      </c>
      <c r="O16">
        <f t="shared" si="15"/>
        <v>0.60821774464000045</v>
      </c>
      <c r="P16">
        <f t="shared" si="16"/>
        <v>-8.8822177446400019</v>
      </c>
      <c r="Q16">
        <f t="shared" si="3"/>
        <v>383.93040000000002</v>
      </c>
      <c r="R16">
        <f t="shared" si="4"/>
        <v>235.74833912</v>
      </c>
      <c r="S16">
        <f t="shared" si="17"/>
        <v>158.85657128431998</v>
      </c>
      <c r="T16">
        <f t="shared" si="6"/>
        <v>225.07382871568004</v>
      </c>
      <c r="U16">
        <f t="shared" si="7"/>
        <v>511.48217802962307</v>
      </c>
      <c r="V16">
        <f t="shared" si="0"/>
        <v>1.4877009922904521</v>
      </c>
      <c r="W16">
        <f t="shared" si="8"/>
        <v>1.7881681999999999</v>
      </c>
      <c r="X16">
        <f t="shared" si="9"/>
        <v>1.329972042614163</v>
      </c>
      <c r="Y16">
        <f t="shared" si="10"/>
        <v>75.062322108467342</v>
      </c>
      <c r="Z16">
        <f t="shared" si="11"/>
        <v>31.058085326898649</v>
      </c>
      <c r="AA16">
        <f t="shared" si="12"/>
        <v>44.004236781568693</v>
      </c>
    </row>
    <row r="17" spans="1:28" x14ac:dyDescent="0.25">
      <c r="A17" s="1" t="s">
        <v>8</v>
      </c>
      <c r="B17">
        <v>1</v>
      </c>
      <c r="C17">
        <v>9</v>
      </c>
      <c r="D17">
        <v>583</v>
      </c>
      <c r="E17">
        <v>70.48</v>
      </c>
      <c r="F17" s="47">
        <v>4.3120000000000003</v>
      </c>
      <c r="G17">
        <v>11.782999999999999</v>
      </c>
      <c r="H17">
        <v>14.677</v>
      </c>
      <c r="I17" s="19">
        <f t="shared" si="1"/>
        <v>512.52</v>
      </c>
      <c r="J17">
        <f>SUM(G17:G20)</f>
        <v>76.137</v>
      </c>
      <c r="K17">
        <f>SUM(H17:H19)</f>
        <v>169.232</v>
      </c>
      <c r="L17">
        <f t="shared" si="13"/>
        <v>245.369</v>
      </c>
      <c r="M17">
        <f t="shared" si="2"/>
        <v>22.557999999999993</v>
      </c>
      <c r="N17">
        <f t="shared" si="14"/>
        <v>0.28000000000000025</v>
      </c>
      <c r="O17">
        <f t="shared" si="15"/>
        <v>3.3171368160000028</v>
      </c>
      <c r="P17">
        <f t="shared" si="16"/>
        <v>19.240863183999991</v>
      </c>
      <c r="Q17">
        <f t="shared" si="3"/>
        <v>337.63099999999997</v>
      </c>
      <c r="R17">
        <f t="shared" si="4"/>
        <v>202.04475690000001</v>
      </c>
      <c r="S17">
        <f t="shared" si="17"/>
        <v>127.32209303940002</v>
      </c>
      <c r="T17">
        <f t="shared" si="6"/>
        <v>210.30890696059996</v>
      </c>
      <c r="U17">
        <f t="shared" si="7"/>
        <v>486.31016803587323</v>
      </c>
      <c r="V17">
        <f t="shared" si="0"/>
        <v>1.3760132698099596</v>
      </c>
      <c r="W17">
        <f t="shared" si="8"/>
        <v>1.6722762000000002</v>
      </c>
      <c r="X17">
        <f t="shared" si="9"/>
        <v>1.242725412218729</v>
      </c>
      <c r="Y17">
        <f t="shared" si="10"/>
        <v>69.427090402743588</v>
      </c>
      <c r="Z17">
        <f t="shared" si="11"/>
        <v>26.181252502622556</v>
      </c>
      <c r="AA17">
        <f t="shared" si="12"/>
        <v>43.245837900121039</v>
      </c>
    </row>
    <row r="18" spans="1:28" x14ac:dyDescent="0.25">
      <c r="A18" s="1" t="s">
        <v>8</v>
      </c>
      <c r="B18">
        <v>1</v>
      </c>
      <c r="C18">
        <v>10</v>
      </c>
      <c r="D18">
        <v>492</v>
      </c>
      <c r="E18">
        <v>35.923000000000002</v>
      </c>
      <c r="F18" s="47">
        <v>4.7770000000000001</v>
      </c>
      <c r="G18">
        <v>14.003</v>
      </c>
      <c r="I18" s="19">
        <f t="shared" si="1"/>
        <v>456.077</v>
      </c>
      <c r="J18">
        <f>SUM(G18:G20)</f>
        <v>64.353999999999999</v>
      </c>
      <c r="K18">
        <f>SUM(H18:H19)</f>
        <v>154.55500000000001</v>
      </c>
      <c r="L18">
        <f t="shared" si="13"/>
        <v>218.90899999999999</v>
      </c>
      <c r="M18">
        <f t="shared" si="2"/>
        <v>20.519999999999982</v>
      </c>
      <c r="N18">
        <f t="shared" si="14"/>
        <v>0.46499999999999986</v>
      </c>
      <c r="O18">
        <f t="shared" si="15"/>
        <v>4.6562693159999986</v>
      </c>
      <c r="P18">
        <f t="shared" si="16"/>
        <v>15.863730683999982</v>
      </c>
      <c r="Q18">
        <f t="shared" si="3"/>
        <v>273.09100000000001</v>
      </c>
      <c r="R18">
        <f t="shared" si="4"/>
        <v>170.7762098</v>
      </c>
      <c r="S18">
        <f t="shared" si="17"/>
        <v>95.231866495800006</v>
      </c>
      <c r="T18">
        <f t="shared" si="6"/>
        <v>177.8591335042</v>
      </c>
      <c r="U18">
        <f t="shared" si="7"/>
        <v>433.8676547345629</v>
      </c>
      <c r="V18">
        <f t="shared" si="0"/>
        <v>1.2475092389988536</v>
      </c>
      <c r="W18">
        <f t="shared" si="8"/>
        <v>1.4798127000000001</v>
      </c>
      <c r="X18">
        <f t="shared" si="9"/>
        <v>1.1507821390715278</v>
      </c>
      <c r="Y18">
        <f t="shared" si="10"/>
        <v>62.943387694359267</v>
      </c>
      <c r="Z18">
        <f t="shared" si="11"/>
        <v>21.949519734090842</v>
      </c>
      <c r="AA18">
        <f t="shared" si="12"/>
        <v>40.993867960268418</v>
      </c>
    </row>
    <row r="19" spans="1:28" x14ac:dyDescent="0.25">
      <c r="A19" s="1" t="s">
        <v>8</v>
      </c>
      <c r="B19">
        <v>1</v>
      </c>
      <c r="C19">
        <v>11</v>
      </c>
      <c r="D19">
        <v>432</v>
      </c>
      <c r="E19" s="14"/>
      <c r="F19" s="47">
        <v>5.1219999999999999</v>
      </c>
      <c r="G19">
        <v>50.350999999999999</v>
      </c>
      <c r="H19">
        <v>154.55500000000001</v>
      </c>
      <c r="I19" s="19">
        <f t="shared" si="1"/>
        <v>432</v>
      </c>
      <c r="J19">
        <f>G19</f>
        <v>50.350999999999999</v>
      </c>
      <c r="K19">
        <f>H19</f>
        <v>154.55500000000001</v>
      </c>
      <c r="L19">
        <f>SUM(J19:K19)</f>
        <v>204.90600000000001</v>
      </c>
      <c r="M19">
        <f t="shared" si="2"/>
        <v>24.076999999999998</v>
      </c>
      <c r="N19">
        <f t="shared" si="14"/>
        <v>0.34499999999999975</v>
      </c>
      <c r="O19">
        <f>N19*$F$2*K19</f>
        <v>8.2968215099999938</v>
      </c>
      <c r="P19">
        <f t="shared" si="16"/>
        <v>15.780178490000004</v>
      </c>
      <c r="Q19">
        <f t="shared" si="3"/>
        <v>227.09399999999999</v>
      </c>
      <c r="R19">
        <f t="shared" si="4"/>
        <v>133.61644870000001</v>
      </c>
      <c r="S19">
        <f t="shared" si="17"/>
        <v>67.320153037200015</v>
      </c>
      <c r="T19">
        <f t="shared" si="6"/>
        <v>159.77384696279998</v>
      </c>
      <c r="U19">
        <f t="shared" si="7"/>
        <v>406.11434733629204</v>
      </c>
      <c r="V19">
        <f t="shared" si="0"/>
        <v>1.1082837984246434</v>
      </c>
      <c r="W19">
        <f t="shared" si="8"/>
        <v>1.3370172000000002</v>
      </c>
      <c r="X19">
        <f t="shared" si="9"/>
        <v>1.033766924155155</v>
      </c>
      <c r="Y19">
        <f t="shared" si="10"/>
        <v>55.918733600403868</v>
      </c>
      <c r="Z19">
        <f t="shared" si="11"/>
        <v>16.57664977333442</v>
      </c>
      <c r="AA19">
        <f t="shared" si="12"/>
        <v>39.342083827069445</v>
      </c>
    </row>
    <row r="20" spans="1:28" x14ac:dyDescent="0.25">
      <c r="C20" s="19"/>
      <c r="D20" s="19"/>
      <c r="E20" s="19"/>
      <c r="F20" s="19"/>
      <c r="H20" s="19"/>
      <c r="I20" s="19"/>
    </row>
    <row r="21" spans="1:28" x14ac:dyDescent="0.25">
      <c r="C21" s="19"/>
      <c r="D21" s="19"/>
      <c r="E21" s="19"/>
      <c r="F21" s="19"/>
      <c r="G21" s="19"/>
      <c r="H21" s="19"/>
      <c r="I21" s="19"/>
    </row>
    <row r="22" spans="1:28" ht="15" customHeight="1" x14ac:dyDescent="0.25">
      <c r="C22" s="19"/>
      <c r="D22" s="19"/>
      <c r="E22" s="19"/>
      <c r="F22" s="19"/>
      <c r="G22" s="19"/>
      <c r="H22" s="19"/>
      <c r="I22" s="19"/>
    </row>
    <row r="27" spans="1:28" x14ac:dyDescent="0.25">
      <c r="I27" s="15" t="s">
        <v>91</v>
      </c>
      <c r="J27" s="16"/>
      <c r="K27" s="17" t="s">
        <v>102</v>
      </c>
      <c r="L27" s="17"/>
      <c r="M27" s="17"/>
      <c r="N27" s="17"/>
      <c r="O27" s="17"/>
      <c r="P27" s="17" t="s">
        <v>20</v>
      </c>
      <c r="Q27" s="18"/>
      <c r="R27" s="49"/>
    </row>
    <row r="28" spans="1:28" ht="27" customHeight="1" x14ac:dyDescent="0.25">
      <c r="I28" s="67" t="s">
        <v>99</v>
      </c>
      <c r="J28" s="68"/>
      <c r="K28" s="29" t="s">
        <v>87</v>
      </c>
      <c r="L28" s="29"/>
      <c r="M28" s="29"/>
      <c r="N28" s="29"/>
      <c r="O28" s="28">
        <f>SLOPE(Y9:Y12,F9:F12)</f>
        <v>-4.2485317357970773</v>
      </c>
      <c r="P28" s="20" t="s">
        <v>100</v>
      </c>
      <c r="Q28" s="21"/>
      <c r="R28" s="19"/>
      <c r="U28" t="s">
        <v>109</v>
      </c>
    </row>
    <row r="29" spans="1:28" x14ac:dyDescent="0.25">
      <c r="I29" s="67"/>
      <c r="J29" s="68"/>
      <c r="K29" s="29" t="s">
        <v>88</v>
      </c>
      <c r="L29" s="29"/>
      <c r="M29" s="29"/>
      <c r="N29" s="29"/>
      <c r="O29" s="28">
        <f>SLOPE(Z9:Z12,F9:F12)</f>
        <v>-3.1528224691072388</v>
      </c>
      <c r="P29" s="20" t="s">
        <v>100</v>
      </c>
      <c r="Q29" s="21"/>
      <c r="R29" s="19"/>
    </row>
    <row r="30" spans="1:28" x14ac:dyDescent="0.25">
      <c r="F30" s="63" t="s">
        <v>121</v>
      </c>
      <c r="G30" s="63"/>
      <c r="I30" s="67"/>
      <c r="J30" s="68"/>
      <c r="K30" s="29" t="s">
        <v>89</v>
      </c>
      <c r="L30" s="29"/>
      <c r="M30" s="29"/>
      <c r="N30" s="29"/>
      <c r="O30" s="28">
        <f>SLOPE(AA9:AA12,F9:F12)</f>
        <v>-1.0957092666898385</v>
      </c>
      <c r="P30" s="20" t="s">
        <v>100</v>
      </c>
      <c r="Q30" s="21"/>
      <c r="R30" s="19"/>
      <c r="AA30" t="s">
        <v>128</v>
      </c>
      <c r="AB30" t="s">
        <v>127</v>
      </c>
    </row>
    <row r="31" spans="1:28" x14ac:dyDescent="0.25">
      <c r="D31" t="s">
        <v>4</v>
      </c>
      <c r="E31" t="s">
        <v>119</v>
      </c>
      <c r="F31" t="s">
        <v>122</v>
      </c>
      <c r="G31" t="s">
        <v>123</v>
      </c>
      <c r="I31" s="67"/>
      <c r="J31" s="68"/>
      <c r="K31" s="22"/>
      <c r="L31" s="22"/>
      <c r="M31" s="22"/>
      <c r="N31" s="22"/>
      <c r="O31" s="28"/>
      <c r="P31" s="19"/>
      <c r="Q31" s="21"/>
      <c r="R31" s="19"/>
      <c r="Z31" t="s">
        <v>125</v>
      </c>
      <c r="AA31">
        <v>2.66</v>
      </c>
      <c r="AB31">
        <f>(-0.1556*AA31)+2.6537</f>
        <v>2.2398040000000004</v>
      </c>
    </row>
    <row r="32" spans="1:28" x14ac:dyDescent="0.25">
      <c r="D32">
        <v>1</v>
      </c>
      <c r="E32">
        <v>2.6701000000000001</v>
      </c>
      <c r="F32">
        <v>0.14580000000000001</v>
      </c>
      <c r="G32">
        <v>0.65575000000000006</v>
      </c>
      <c r="I32" s="67"/>
      <c r="J32" s="68"/>
      <c r="K32" s="29" t="s">
        <v>87</v>
      </c>
      <c r="L32" s="29"/>
      <c r="M32" s="29"/>
      <c r="N32" s="29"/>
      <c r="O32" s="28">
        <f>SLOPE(V9:V13,F9:F13)</f>
        <v>-7.683503341862398E-2</v>
      </c>
      <c r="P32" s="19" t="s">
        <v>101</v>
      </c>
      <c r="Q32" s="21"/>
      <c r="R32" s="19"/>
      <c r="Z32" t="s">
        <v>126</v>
      </c>
      <c r="AA32">
        <v>2.57</v>
      </c>
      <c r="AB32">
        <f>(-0.0398*AA32)+1.5855</f>
        <v>1.4832139999999998</v>
      </c>
    </row>
    <row r="33" spans="4:18" x14ac:dyDescent="0.25">
      <c r="D33">
        <v>2</v>
      </c>
      <c r="E33">
        <v>2.3818000000000001</v>
      </c>
      <c r="F33">
        <v>0.1202</v>
      </c>
      <c r="G33">
        <v>0.32629999999999998</v>
      </c>
      <c r="I33" s="67"/>
      <c r="J33" s="68"/>
      <c r="K33" s="29" t="s">
        <v>88</v>
      </c>
      <c r="L33" s="29"/>
      <c r="M33" s="29"/>
      <c r="N33" s="29"/>
      <c r="O33" s="28">
        <f>SLOPE(W9:W13,F9:F13)</f>
        <v>-0.171919420424925</v>
      </c>
      <c r="P33" s="19" t="s">
        <v>101</v>
      </c>
      <c r="Q33" s="21"/>
      <c r="R33" s="19"/>
    </row>
    <row r="34" spans="4:18" x14ac:dyDescent="0.25">
      <c r="D34">
        <v>3</v>
      </c>
      <c r="E34">
        <v>2.6316999999999999</v>
      </c>
      <c r="F34">
        <v>0.1462</v>
      </c>
      <c r="G34">
        <v>0.42480000000000001</v>
      </c>
      <c r="I34" s="67"/>
      <c r="J34" s="68"/>
      <c r="K34" s="29" t="s">
        <v>89</v>
      </c>
      <c r="L34" s="29"/>
      <c r="M34" s="29"/>
      <c r="N34" s="29"/>
      <c r="O34" s="28">
        <f>SLOPE(X9:X13,F9:F13)</f>
        <v>-1.9076200206172095E-2</v>
      </c>
      <c r="P34" s="19" t="s">
        <v>101</v>
      </c>
      <c r="Q34" s="21"/>
      <c r="R34" s="19"/>
    </row>
    <row r="35" spans="4:18" x14ac:dyDescent="0.25">
      <c r="D35">
        <v>4</v>
      </c>
      <c r="E35">
        <v>2.5607000000000002</v>
      </c>
      <c r="F35">
        <v>0.20630000000000001</v>
      </c>
      <c r="G35">
        <v>0.22689999999999999</v>
      </c>
      <c r="I35" s="67"/>
      <c r="J35" s="68"/>
      <c r="K35" s="19"/>
      <c r="L35" s="19"/>
      <c r="M35" s="19"/>
      <c r="N35" s="19"/>
      <c r="O35" s="28"/>
      <c r="P35" s="19"/>
      <c r="Q35" s="21"/>
      <c r="R35" s="19"/>
    </row>
    <row r="36" spans="4:18" x14ac:dyDescent="0.25">
      <c r="D36">
        <v>5</v>
      </c>
      <c r="E36">
        <v>3.0983000000000001</v>
      </c>
      <c r="F36">
        <v>0.17430000000000001</v>
      </c>
      <c r="G36">
        <v>0.64670000000000005</v>
      </c>
      <c r="I36" s="67"/>
      <c r="J36" s="68"/>
      <c r="K36" s="29" t="s">
        <v>103</v>
      </c>
      <c r="L36" s="29"/>
      <c r="M36" s="29"/>
      <c r="N36" s="29"/>
      <c r="O36" s="28">
        <f>INTERCEPT(V9:V13,F9:F13)</f>
        <v>1.9717893011340826</v>
      </c>
      <c r="P36" s="19" t="s">
        <v>106</v>
      </c>
      <c r="Q36" s="21"/>
      <c r="R36" s="19"/>
    </row>
    <row r="37" spans="4:18" x14ac:dyDescent="0.25">
      <c r="D37">
        <v>6</v>
      </c>
      <c r="E37">
        <v>2.58</v>
      </c>
      <c r="F37">
        <v>0.1469</v>
      </c>
      <c r="G37">
        <v>0.20300000000000001</v>
      </c>
      <c r="I37" s="67"/>
      <c r="J37" s="68"/>
      <c r="K37" s="29" t="s">
        <v>90</v>
      </c>
      <c r="L37" s="29"/>
      <c r="M37" s="29"/>
      <c r="N37" s="29"/>
      <c r="O37" s="28">
        <f>INTERCEPT(W9:W13,F9:F13)</f>
        <v>2.6711371659631586</v>
      </c>
      <c r="P37" s="19" t="s">
        <v>104</v>
      </c>
      <c r="Q37" s="21"/>
      <c r="R37" s="19"/>
    </row>
    <row r="38" spans="4:18" x14ac:dyDescent="0.25">
      <c r="I38" s="23"/>
      <c r="J38" s="19"/>
      <c r="K38" s="29" t="s">
        <v>92</v>
      </c>
      <c r="L38" s="29"/>
      <c r="M38" s="29"/>
      <c r="N38" s="29"/>
      <c r="O38" s="28">
        <f>INTERCEPT(X9:X13,F9:F13)</f>
        <v>1.5633417036521913</v>
      </c>
      <c r="P38" s="19" t="s">
        <v>105</v>
      </c>
      <c r="Q38" s="21"/>
      <c r="R38" s="19"/>
    </row>
    <row r="39" spans="4:18" x14ac:dyDescent="0.25">
      <c r="D39" t="s">
        <v>120</v>
      </c>
      <c r="E39">
        <f>AVERAGE(E32:E37)</f>
        <v>2.6537666666666668</v>
      </c>
      <c r="F39">
        <f t="shared" ref="F39:G39" si="18">AVERAGE(F32:F37)</f>
        <v>0.15661666666666668</v>
      </c>
      <c r="G39">
        <f t="shared" si="18"/>
        <v>0.41390833333333332</v>
      </c>
      <c r="I39" s="23"/>
      <c r="J39" s="19"/>
      <c r="K39" s="22"/>
      <c r="L39" s="22"/>
      <c r="M39" s="22"/>
      <c r="N39" s="22"/>
      <c r="O39" s="28"/>
      <c r="P39" s="19"/>
      <c r="Q39" s="21"/>
      <c r="R39" s="19"/>
    </row>
    <row r="40" spans="4:18" x14ac:dyDescent="0.25">
      <c r="D40" t="s">
        <v>111</v>
      </c>
      <c r="E40">
        <f>STDEV(E32:E37)/SQRT(6)</f>
        <v>9.7712570554890452E-2</v>
      </c>
      <c r="F40">
        <f t="shared" ref="F40:G40" si="19">STDEV(F32:F37)/SQRT(6)</f>
        <v>1.2148015384324183E-2</v>
      </c>
      <c r="G40">
        <f t="shared" si="19"/>
        <v>8.1634886758732803E-2</v>
      </c>
      <c r="I40" s="23"/>
      <c r="J40" s="19"/>
      <c r="K40" s="22" t="s">
        <v>93</v>
      </c>
      <c r="L40" s="22"/>
      <c r="M40" s="22"/>
      <c r="N40" s="22"/>
      <c r="O40" s="28">
        <f>Y9</f>
        <v>100.30129349348601</v>
      </c>
      <c r="P40" s="19"/>
      <c r="Q40" s="21"/>
      <c r="R40" s="19"/>
    </row>
    <row r="41" spans="4:18" x14ac:dyDescent="0.25">
      <c r="I41" s="23"/>
      <c r="J41" s="19"/>
      <c r="K41" s="22" t="s">
        <v>96</v>
      </c>
      <c r="L41" s="22"/>
      <c r="M41" s="22"/>
      <c r="N41" s="22"/>
      <c r="O41" s="28">
        <f>Z9</f>
        <v>49.010481404060336</v>
      </c>
      <c r="P41" s="19"/>
      <c r="Q41" s="21"/>
      <c r="R41" s="19"/>
    </row>
    <row r="42" spans="4:18" x14ac:dyDescent="0.25">
      <c r="I42" s="23"/>
      <c r="J42" s="19"/>
      <c r="K42" s="22" t="s">
        <v>97</v>
      </c>
      <c r="L42" s="22"/>
      <c r="M42" s="22"/>
      <c r="N42" s="22"/>
      <c r="O42" s="28">
        <f>AA9</f>
        <v>51.290812089425685</v>
      </c>
      <c r="P42" s="19"/>
      <c r="Q42" s="21"/>
      <c r="R42" s="19"/>
    </row>
    <row r="43" spans="4:18" x14ac:dyDescent="0.25">
      <c r="I43" s="23"/>
      <c r="J43" s="19"/>
      <c r="K43" s="22"/>
      <c r="L43" s="22"/>
      <c r="M43" s="22"/>
      <c r="N43" s="22"/>
      <c r="O43" s="28"/>
      <c r="P43" s="19"/>
      <c r="Q43" s="21"/>
      <c r="R43" s="19"/>
    </row>
    <row r="44" spans="4:18" x14ac:dyDescent="0.25">
      <c r="I44" s="23"/>
      <c r="J44" s="19"/>
      <c r="K44" s="22" t="s">
        <v>94</v>
      </c>
      <c r="L44" s="22"/>
      <c r="M44" s="22"/>
      <c r="N44" s="22"/>
      <c r="O44" s="28">
        <f>AVERAGE(Y12:Y13)</f>
        <v>87.3796685223314</v>
      </c>
      <c r="P44" s="19"/>
      <c r="Q44" s="21"/>
      <c r="R44" s="19"/>
    </row>
    <row r="45" spans="4:18" x14ac:dyDescent="0.25">
      <c r="I45" s="23"/>
      <c r="J45" s="19"/>
      <c r="K45" s="22" t="s">
        <v>95</v>
      </c>
      <c r="L45" s="22"/>
      <c r="M45" s="22"/>
      <c r="N45" s="22"/>
      <c r="O45" s="28">
        <f>AVERAGE(Z12:Z13)</f>
        <v>38.725729497790567</v>
      </c>
      <c r="P45" s="19"/>
      <c r="Q45" s="21"/>
      <c r="R45" s="19"/>
    </row>
    <row r="46" spans="4:18" x14ac:dyDescent="0.25">
      <c r="I46" s="24"/>
      <c r="J46" s="25"/>
      <c r="K46" s="26" t="s">
        <v>98</v>
      </c>
      <c r="L46" s="26"/>
      <c r="M46" s="26"/>
      <c r="N46" s="26"/>
      <c r="O46" s="28">
        <f>AVERAGE(AA12:AA13)</f>
        <v>48.653939024540847</v>
      </c>
      <c r="P46" s="25"/>
      <c r="Q46" s="27"/>
      <c r="R46" s="19"/>
    </row>
  </sheetData>
  <mergeCells count="8">
    <mergeCell ref="E1:F1"/>
    <mergeCell ref="K1:M3"/>
    <mergeCell ref="C2:D2"/>
    <mergeCell ref="G7:H7"/>
    <mergeCell ref="I7:T7"/>
    <mergeCell ref="W7:AB7"/>
    <mergeCell ref="F30:G30"/>
    <mergeCell ref="I28:J37"/>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6"/>
  <sheetViews>
    <sheetView zoomScale="98" zoomScaleNormal="98" workbookViewId="0">
      <selection activeCell="V9" sqref="V9:AA19"/>
    </sheetView>
  </sheetViews>
  <sheetFormatPr defaultRowHeight="15" x14ac:dyDescent="0.25"/>
  <cols>
    <col min="1" max="1" width="11.7109375" customWidth="1"/>
    <col min="4" max="4" width="9.28515625" customWidth="1"/>
    <col min="5" max="5" width="30.5703125" customWidth="1"/>
    <col min="6" max="6" width="12.5703125" customWidth="1"/>
    <col min="7" max="7" width="16.140625" customWidth="1"/>
    <col min="8" max="8" width="16.85546875" customWidth="1"/>
    <col min="9" max="9" width="16.28515625" customWidth="1"/>
    <col min="10" max="10" width="18" customWidth="1"/>
    <col min="11" max="11" width="11.7109375" customWidth="1"/>
    <col min="12" max="12" width="12.7109375" customWidth="1"/>
    <col min="13" max="13" width="12.5703125" customWidth="1"/>
    <col min="14" max="14" width="14.7109375" customWidth="1"/>
    <col min="16" max="16" width="19.140625" bestFit="1" customWidth="1"/>
    <col min="17" max="18" width="17.7109375" customWidth="1"/>
    <col min="19" max="19" width="13.28515625" customWidth="1"/>
    <col min="20" max="20" width="13.5703125" customWidth="1"/>
    <col min="21" max="21" width="19.5703125" customWidth="1"/>
    <col min="22" max="22" width="15.42578125" customWidth="1"/>
    <col min="23" max="23" width="13.42578125" customWidth="1"/>
    <col min="24" max="24" width="12" customWidth="1"/>
    <col min="25" max="25" width="12.140625" customWidth="1"/>
  </cols>
  <sheetData>
    <row r="1" spans="1:28" x14ac:dyDescent="0.25">
      <c r="E1" s="69" t="s">
        <v>42</v>
      </c>
      <c r="F1" s="69"/>
      <c r="G1" t="s">
        <v>20</v>
      </c>
      <c r="K1" s="70" t="s">
        <v>19</v>
      </c>
      <c r="L1" s="70"/>
      <c r="M1" s="70"/>
    </row>
    <row r="2" spans="1:28" x14ac:dyDescent="0.25">
      <c r="C2" s="63"/>
      <c r="D2" s="63"/>
      <c r="E2" t="s">
        <v>17</v>
      </c>
      <c r="F2">
        <v>0.15559999999999999</v>
      </c>
      <c r="G2" t="s">
        <v>21</v>
      </c>
      <c r="K2" s="70"/>
      <c r="L2" s="70"/>
      <c r="M2" s="70"/>
    </row>
    <row r="3" spans="1:28" x14ac:dyDescent="0.25">
      <c r="E3" t="s">
        <v>18</v>
      </c>
      <c r="F3">
        <v>0.41389999999999999</v>
      </c>
      <c r="G3" t="s">
        <v>21</v>
      </c>
      <c r="K3" s="70"/>
      <c r="L3" s="70"/>
      <c r="M3" s="70"/>
    </row>
    <row r="4" spans="1:28" x14ac:dyDescent="0.25">
      <c r="E4" t="s">
        <v>29</v>
      </c>
      <c r="F4">
        <v>2.6537000000000002</v>
      </c>
    </row>
    <row r="5" spans="1:28" x14ac:dyDescent="0.25">
      <c r="E5" t="s">
        <v>108</v>
      </c>
      <c r="F5">
        <f>INTERCEPT(Q9:Q13,F9:F13)/L9</f>
        <v>2.6011028675883803</v>
      </c>
    </row>
    <row r="7" spans="1:28" x14ac:dyDescent="0.25">
      <c r="D7" s="30" t="s">
        <v>25</v>
      </c>
      <c r="E7" s="30"/>
      <c r="F7" s="30"/>
      <c r="G7" s="64" t="s">
        <v>26</v>
      </c>
      <c r="H7" s="64"/>
      <c r="I7" s="65" t="s">
        <v>13</v>
      </c>
      <c r="J7" s="65"/>
      <c r="K7" s="65"/>
      <c r="L7" s="65"/>
      <c r="M7" s="65"/>
      <c r="N7" s="65"/>
      <c r="O7" s="65"/>
      <c r="P7" s="65"/>
      <c r="Q7" s="65"/>
      <c r="R7" s="65"/>
      <c r="S7" s="65"/>
      <c r="T7" s="65"/>
      <c r="U7" s="5"/>
      <c r="V7" s="5"/>
      <c r="W7" s="66" t="s">
        <v>32</v>
      </c>
      <c r="X7" s="66"/>
      <c r="Y7" s="66"/>
      <c r="Z7" s="66"/>
      <c r="AA7" s="66"/>
      <c r="AB7" s="66"/>
    </row>
    <row r="8" spans="1:28" ht="63" customHeight="1" x14ac:dyDescent="0.25">
      <c r="A8" s="3" t="s">
        <v>3</v>
      </c>
      <c r="B8" s="3" t="s">
        <v>4</v>
      </c>
      <c r="C8" s="3" t="s">
        <v>5</v>
      </c>
      <c r="D8" s="3" t="s">
        <v>6</v>
      </c>
      <c r="E8" s="3" t="s">
        <v>7</v>
      </c>
      <c r="F8" s="4" t="s">
        <v>9</v>
      </c>
      <c r="G8" s="4" t="s">
        <v>14</v>
      </c>
      <c r="H8" s="4" t="s">
        <v>11</v>
      </c>
      <c r="I8" s="4" t="s">
        <v>23</v>
      </c>
      <c r="J8" s="4" t="s">
        <v>10</v>
      </c>
      <c r="K8" s="4" t="s">
        <v>12</v>
      </c>
      <c r="L8" s="4" t="s">
        <v>15</v>
      </c>
      <c r="M8" s="4" t="s">
        <v>24</v>
      </c>
      <c r="N8" s="4" t="s">
        <v>44</v>
      </c>
      <c r="O8" s="4" t="s">
        <v>16</v>
      </c>
      <c r="P8" s="4" t="s">
        <v>22</v>
      </c>
      <c r="Q8" s="4" t="s">
        <v>28</v>
      </c>
      <c r="R8" s="4" t="s">
        <v>117</v>
      </c>
      <c r="S8" s="4" t="s">
        <v>27</v>
      </c>
      <c r="T8" s="4" t="s">
        <v>30</v>
      </c>
      <c r="U8" s="4" t="s">
        <v>107</v>
      </c>
      <c r="V8" s="4" t="s">
        <v>33</v>
      </c>
      <c r="W8" s="4" t="s">
        <v>34</v>
      </c>
      <c r="X8" s="4" t="s">
        <v>31</v>
      </c>
      <c r="Y8" s="4" t="s">
        <v>35</v>
      </c>
      <c r="Z8" s="4" t="s">
        <v>36</v>
      </c>
      <c r="AA8" s="4" t="s">
        <v>37</v>
      </c>
    </row>
    <row r="9" spans="1:28" x14ac:dyDescent="0.25">
      <c r="A9" s="1" t="s">
        <v>8</v>
      </c>
      <c r="B9">
        <v>2</v>
      </c>
      <c r="C9">
        <v>1</v>
      </c>
      <c r="D9">
        <v>418</v>
      </c>
      <c r="E9">
        <v>0.93700000000000006</v>
      </c>
      <c r="F9" s="44">
        <v>0.52100000000000002</v>
      </c>
      <c r="G9">
        <v>0.28539999999999999</v>
      </c>
      <c r="I9" s="19">
        <f>D9-E9</f>
        <v>417.06299999999999</v>
      </c>
      <c r="J9">
        <f>SUM(G9:G20)</f>
        <v>60.241999999999997</v>
      </c>
      <c r="K9">
        <f>SUM(H9:H19)</f>
        <v>56.684899999999999</v>
      </c>
      <c r="L9">
        <f>SUM(J9:K9)</f>
        <v>116.92689999999999</v>
      </c>
      <c r="N9">
        <v>0</v>
      </c>
      <c r="Q9">
        <f t="shared" ref="Q9:Q19" si="0">D9-L9</f>
        <v>301.07310000000001</v>
      </c>
      <c r="R9">
        <f>J9*$F$4</f>
        <v>159.8641954</v>
      </c>
      <c r="S9">
        <f>($F$4*J9)-($F$2*J9*F9)</f>
        <v>154.9805210408</v>
      </c>
      <c r="T9">
        <f>Q9-S9</f>
        <v>146.09257895920001</v>
      </c>
      <c r="U9">
        <f>L9*$F$5</f>
        <v>304.13889488821974</v>
      </c>
      <c r="V9">
        <f t="shared" ref="V9:V19" si="1">Q9/L9</f>
        <v>2.5748831107298664</v>
      </c>
      <c r="W9">
        <f>S9/J9</f>
        <v>2.5726324000000003</v>
      </c>
      <c r="X9">
        <f>T9/K9</f>
        <v>2.5772750584229667</v>
      </c>
      <c r="Y9">
        <f>(Q9/U9)*100</f>
        <v>98.991975396850677</v>
      </c>
      <c r="Z9">
        <f>S9/(U9)*100</f>
        <v>50.95715268438785</v>
      </c>
      <c r="AA9">
        <f>T9/(U9)*100</f>
        <v>48.034822712462827</v>
      </c>
    </row>
    <row r="10" spans="1:28" x14ac:dyDescent="0.25">
      <c r="A10" s="1" t="s">
        <v>8</v>
      </c>
      <c r="B10">
        <v>2</v>
      </c>
      <c r="C10">
        <v>2</v>
      </c>
      <c r="D10">
        <v>380</v>
      </c>
      <c r="E10">
        <v>3.2549999999999999</v>
      </c>
      <c r="F10" s="44">
        <v>0.97799999999999998</v>
      </c>
      <c r="G10">
        <v>0.79949999999999999</v>
      </c>
      <c r="I10" s="19">
        <f t="shared" ref="I10:I19" si="2">D10-E10</f>
        <v>376.745</v>
      </c>
      <c r="J10">
        <f>SUM(G10:G20)</f>
        <v>59.956599999999995</v>
      </c>
      <c r="K10">
        <f>SUM(H10:H19)</f>
        <v>56.684899999999999</v>
      </c>
      <c r="L10">
        <f>SUM(J10:K10)</f>
        <v>116.64149999999999</v>
      </c>
      <c r="M10">
        <f t="shared" ref="M10:M19" si="3">I9-D10</f>
        <v>37.062999999999988</v>
      </c>
      <c r="N10">
        <f>F10-F9</f>
        <v>0.45699999999999996</v>
      </c>
      <c r="O10">
        <f>N10*$F$2*J10</f>
        <v>4.2634658607199984</v>
      </c>
      <c r="P10">
        <f>M10-O10</f>
        <v>32.799534139279992</v>
      </c>
      <c r="Q10">
        <f t="shared" si="0"/>
        <v>263.35849999999999</v>
      </c>
      <c r="R10">
        <f t="shared" ref="R10:R19" si="4">J10*$F$4</f>
        <v>159.10682942</v>
      </c>
      <c r="S10">
        <f t="shared" ref="S10:S12" si="5">($F$4*J10)-($F$2*J10*F10)</f>
        <v>149.98282589312001</v>
      </c>
      <c r="T10">
        <f t="shared" ref="T10:T19" si="6">Q10-S10</f>
        <v>113.37567410687998</v>
      </c>
      <c r="U10">
        <f t="shared" ref="U10:U19" si="7">L10*$F$5</f>
        <v>303.39654012981003</v>
      </c>
      <c r="V10">
        <f t="shared" si="1"/>
        <v>2.257845620983955</v>
      </c>
      <c r="W10">
        <f t="shared" ref="W10:W19" si="8">S10/J10</f>
        <v>2.5015232000000003</v>
      </c>
      <c r="X10">
        <f t="shared" ref="X10:X19" si="9">T10/K10</f>
        <v>2.000103627366018</v>
      </c>
      <c r="Y10">
        <f t="shared" ref="Y10:Y19" si="10">(Q10/U10)*100</f>
        <v>86.803395940942664</v>
      </c>
      <c r="Z10">
        <f t="shared" ref="Z10:Z19" si="11">S10/(U10)*100</f>
        <v>49.434586771803311</v>
      </c>
      <c r="AA10">
        <f t="shared" ref="AA10:AA19" si="12">T10/(U10)*100</f>
        <v>37.368809169139347</v>
      </c>
    </row>
    <row r="11" spans="1:28" x14ac:dyDescent="0.25">
      <c r="A11" s="1" t="s">
        <v>8</v>
      </c>
      <c r="B11">
        <v>2</v>
      </c>
      <c r="C11">
        <v>3</v>
      </c>
      <c r="D11">
        <v>359</v>
      </c>
      <c r="E11">
        <v>7.4729999999999999</v>
      </c>
      <c r="F11" s="44">
        <v>1.6579999999999999</v>
      </c>
      <c r="G11">
        <v>1.9218999999999999</v>
      </c>
      <c r="I11" s="19">
        <f t="shared" si="2"/>
        <v>351.52699999999999</v>
      </c>
      <c r="J11">
        <f>SUM(G11:G20)</f>
        <v>59.1571</v>
      </c>
      <c r="K11">
        <f>SUM(H11:H19)</f>
        <v>56.684899999999999</v>
      </c>
      <c r="L11">
        <f t="shared" ref="L11:L18" si="13">SUM(J11:K11)</f>
        <v>115.842</v>
      </c>
      <c r="M11">
        <f t="shared" si="3"/>
        <v>17.745000000000005</v>
      </c>
      <c r="N11">
        <f t="shared" ref="N11:N19" si="14">F11-F10</f>
        <v>0.67999999999999994</v>
      </c>
      <c r="O11">
        <f t="shared" ref="O11:O18" si="15">N11*$F$2*J11</f>
        <v>6.2592944367999994</v>
      </c>
      <c r="P11">
        <f t="shared" ref="P11:P19" si="16">M11-O11</f>
        <v>11.485705563200005</v>
      </c>
      <c r="Q11">
        <f t="shared" si="0"/>
        <v>243.15800000000002</v>
      </c>
      <c r="R11">
        <f t="shared" si="4"/>
        <v>156.98519627000002</v>
      </c>
      <c r="S11">
        <f t="shared" si="5"/>
        <v>141.72356365792001</v>
      </c>
      <c r="T11">
        <f t="shared" si="6"/>
        <v>101.43443634208001</v>
      </c>
      <c r="U11">
        <f t="shared" si="7"/>
        <v>301.31695838717314</v>
      </c>
      <c r="V11">
        <f t="shared" si="1"/>
        <v>2.0990487042696087</v>
      </c>
      <c r="W11">
        <f t="shared" si="8"/>
        <v>2.3957152000000002</v>
      </c>
      <c r="X11">
        <f t="shared" si="9"/>
        <v>1.7894436850392257</v>
      </c>
      <c r="Y11">
        <f t="shared" si="10"/>
        <v>80.698411832352775</v>
      </c>
      <c r="Z11">
        <f t="shared" si="11"/>
        <v>47.034712024344223</v>
      </c>
      <c r="AA11">
        <f t="shared" si="12"/>
        <v>33.663699808008552</v>
      </c>
    </row>
    <row r="12" spans="1:28" x14ac:dyDescent="0.25">
      <c r="A12" s="1" t="s">
        <v>8</v>
      </c>
      <c r="B12">
        <v>2</v>
      </c>
      <c r="C12">
        <v>4</v>
      </c>
      <c r="D12">
        <v>334</v>
      </c>
      <c r="E12">
        <v>2.3769999999999998</v>
      </c>
      <c r="F12" s="44">
        <v>2.5379999999999998</v>
      </c>
      <c r="G12">
        <v>0.79469999999999996</v>
      </c>
      <c r="I12" s="19">
        <f t="shared" si="2"/>
        <v>331.62299999999999</v>
      </c>
      <c r="J12">
        <f>SUM(G12:G20)</f>
        <v>57.235199999999999</v>
      </c>
      <c r="K12">
        <f>SUM(H12:H19)</f>
        <v>56.684899999999999</v>
      </c>
      <c r="L12">
        <f t="shared" si="13"/>
        <v>113.92009999999999</v>
      </c>
      <c r="M12">
        <f t="shared" si="3"/>
        <v>17.526999999999987</v>
      </c>
      <c r="N12">
        <f t="shared" si="14"/>
        <v>0.87999999999999989</v>
      </c>
      <c r="O12">
        <f t="shared" si="15"/>
        <v>7.8371014655999982</v>
      </c>
      <c r="P12">
        <f t="shared" si="16"/>
        <v>9.6898985343999886</v>
      </c>
      <c r="Q12">
        <f t="shared" si="0"/>
        <v>220.07990000000001</v>
      </c>
      <c r="R12">
        <f t="shared" si="4"/>
        <v>151.88505024</v>
      </c>
      <c r="S12">
        <f t="shared" si="5"/>
        <v>129.28213714944002</v>
      </c>
      <c r="T12">
        <f t="shared" si="6"/>
        <v>90.797762850559991</v>
      </c>
      <c r="U12">
        <f t="shared" si="7"/>
        <v>296.31789878595504</v>
      </c>
      <c r="V12">
        <f t="shared" si="1"/>
        <v>1.9318794488417761</v>
      </c>
      <c r="W12">
        <f t="shared" si="8"/>
        <v>2.2587872000000004</v>
      </c>
      <c r="X12">
        <f t="shared" si="9"/>
        <v>1.6017980599870512</v>
      </c>
      <c r="Y12">
        <f t="shared" si="10"/>
        <v>74.271551229841336</v>
      </c>
      <c r="Z12">
        <f t="shared" si="11"/>
        <v>43.629540327844609</v>
      </c>
      <c r="AA12">
        <f t="shared" si="12"/>
        <v>30.642010901996734</v>
      </c>
    </row>
    <row r="13" spans="1:28" x14ac:dyDescent="0.25">
      <c r="A13" s="1" t="s">
        <v>8</v>
      </c>
      <c r="B13">
        <v>2</v>
      </c>
      <c r="C13">
        <v>5</v>
      </c>
      <c r="D13">
        <v>325</v>
      </c>
      <c r="E13">
        <v>1.6890000000000001</v>
      </c>
      <c r="F13" s="44">
        <v>3.15</v>
      </c>
      <c r="G13">
        <v>0.44259999999999999</v>
      </c>
      <c r="I13" s="19">
        <f t="shared" si="2"/>
        <v>323.31099999999998</v>
      </c>
      <c r="J13">
        <f>SUM(G13:G20)</f>
        <v>56.4405</v>
      </c>
      <c r="K13">
        <f>SUM(H13:H19)</f>
        <v>56.684899999999999</v>
      </c>
      <c r="L13">
        <f t="shared" si="13"/>
        <v>113.1254</v>
      </c>
      <c r="M13">
        <f t="shared" si="3"/>
        <v>6.6229999999999905</v>
      </c>
      <c r="N13">
        <f t="shared" si="14"/>
        <v>0.6120000000000001</v>
      </c>
      <c r="O13">
        <f>N13*$F$2*J13</f>
        <v>5.3746707816000008</v>
      </c>
      <c r="P13">
        <f t="shared" si="16"/>
        <v>1.2483292183999897</v>
      </c>
      <c r="Q13">
        <f t="shared" si="0"/>
        <v>211.87459999999999</v>
      </c>
      <c r="R13">
        <f t="shared" si="4"/>
        <v>149.77615485000001</v>
      </c>
      <c r="S13">
        <f>($F$4*J13)-($F$2*J13*F13)</f>
        <v>122.11240818000002</v>
      </c>
      <c r="T13">
        <f t="shared" si="6"/>
        <v>89.76219181999997</v>
      </c>
      <c r="U13">
        <f t="shared" si="7"/>
        <v>294.25080233708258</v>
      </c>
      <c r="V13">
        <f t="shared" si="1"/>
        <v>1.8729180184114265</v>
      </c>
      <c r="W13">
        <f t="shared" si="8"/>
        <v>2.1635600000000004</v>
      </c>
      <c r="X13">
        <f t="shared" si="9"/>
        <v>1.583529155383532</v>
      </c>
      <c r="Y13">
        <f t="shared" si="10"/>
        <v>72.004765430438638</v>
      </c>
      <c r="Z13">
        <f t="shared" si="11"/>
        <v>41.499430829117216</v>
      </c>
      <c r="AA13">
        <f t="shared" si="12"/>
        <v>30.505334601321426</v>
      </c>
    </row>
    <row r="14" spans="1:28" x14ac:dyDescent="0.25">
      <c r="A14" s="1" t="s">
        <v>8</v>
      </c>
      <c r="B14">
        <v>2</v>
      </c>
      <c r="C14">
        <v>6</v>
      </c>
      <c r="D14">
        <v>304</v>
      </c>
      <c r="E14">
        <v>3.9750000000000001</v>
      </c>
      <c r="F14" s="47">
        <v>3.4129999999999998</v>
      </c>
      <c r="G14">
        <v>1.5085</v>
      </c>
      <c r="I14" s="19">
        <f t="shared" si="2"/>
        <v>300.02499999999998</v>
      </c>
      <c r="J14">
        <f>SUM(G14:G20)</f>
        <v>55.997900000000001</v>
      </c>
      <c r="K14">
        <f>SUM(H14:H19)</f>
        <v>56.684899999999999</v>
      </c>
      <c r="L14">
        <f t="shared" si="13"/>
        <v>112.6828</v>
      </c>
      <c r="M14">
        <f t="shared" si="3"/>
        <v>19.310999999999979</v>
      </c>
      <c r="N14">
        <f t="shared" si="14"/>
        <v>0.2629999999999999</v>
      </c>
      <c r="O14">
        <f t="shared" si="15"/>
        <v>2.2915908621199992</v>
      </c>
      <c r="P14">
        <f t="shared" si="16"/>
        <v>17.019409137879979</v>
      </c>
      <c r="Q14">
        <f t="shared" si="0"/>
        <v>191.31720000000001</v>
      </c>
      <c r="R14">
        <f t="shared" si="4"/>
        <v>148.60162723000002</v>
      </c>
      <c r="S14">
        <f>($F$4*J14)-(3.11*$F$2*J14)-($F$3*((ABS(F14)-3.11)*J14))</f>
        <v>114.48055561817002</v>
      </c>
      <c r="T14">
        <f t="shared" si="6"/>
        <v>76.836644381829998</v>
      </c>
      <c r="U14">
        <f t="shared" si="7"/>
        <v>293.09955420788793</v>
      </c>
      <c r="V14">
        <f t="shared" si="1"/>
        <v>1.6978385343637183</v>
      </c>
      <c r="W14">
        <f t="shared" si="8"/>
        <v>2.0443723</v>
      </c>
      <c r="X14">
        <f t="shared" si="9"/>
        <v>1.35550462966028</v>
      </c>
      <c r="Y14">
        <f t="shared" si="10"/>
        <v>65.273794263195526</v>
      </c>
      <c r="Z14">
        <f t="shared" si="11"/>
        <v>39.058590835307761</v>
      </c>
      <c r="AA14">
        <f t="shared" si="12"/>
        <v>26.215203427887769</v>
      </c>
    </row>
    <row r="15" spans="1:28" x14ac:dyDescent="0.25">
      <c r="A15" s="1" t="s">
        <v>8</v>
      </c>
      <c r="B15">
        <v>2</v>
      </c>
      <c r="C15">
        <v>7</v>
      </c>
      <c r="D15">
        <v>286</v>
      </c>
      <c r="E15">
        <v>5.3849999999999998</v>
      </c>
      <c r="F15" s="47">
        <v>3.89</v>
      </c>
      <c r="G15">
        <v>2.1484999999999999</v>
      </c>
      <c r="I15" s="19">
        <f t="shared" si="2"/>
        <v>280.61500000000001</v>
      </c>
      <c r="J15">
        <f>SUM(G15:G20)</f>
        <v>54.489399999999996</v>
      </c>
      <c r="K15">
        <f>SUM(H15:H19)</f>
        <v>56.684899999999999</v>
      </c>
      <c r="L15">
        <f t="shared" si="13"/>
        <v>111.17429999999999</v>
      </c>
      <c r="M15">
        <f t="shared" si="3"/>
        <v>14.024999999999977</v>
      </c>
      <c r="N15">
        <f t="shared" si="14"/>
        <v>0.47700000000000031</v>
      </c>
      <c r="O15">
        <f t="shared" si="15"/>
        <v>4.0442686552800025</v>
      </c>
      <c r="P15">
        <f t="shared" si="16"/>
        <v>9.9807313447199739</v>
      </c>
      <c r="Q15">
        <f t="shared" si="0"/>
        <v>174.82570000000001</v>
      </c>
      <c r="R15">
        <f t="shared" si="4"/>
        <v>144.59852078</v>
      </c>
      <c r="S15">
        <f>($F$4*J15)-(3.11*$F$2*J15)-($F$3*((ABS(F15)-3.11)*J15))</f>
        <v>100.6387614148</v>
      </c>
      <c r="T15">
        <f t="shared" si="6"/>
        <v>74.186938585200011</v>
      </c>
      <c r="U15">
        <f t="shared" si="7"/>
        <v>289.17579053213086</v>
      </c>
      <c r="V15">
        <f t="shared" si="1"/>
        <v>1.5725369982091189</v>
      </c>
      <c r="W15">
        <f t="shared" si="8"/>
        <v>1.8469420000000001</v>
      </c>
      <c r="X15">
        <f t="shared" si="9"/>
        <v>1.3087601563238185</v>
      </c>
      <c r="Y15">
        <f t="shared" si="10"/>
        <v>60.456547789941915</v>
      </c>
      <c r="Z15">
        <f t="shared" si="11"/>
        <v>34.801931804044933</v>
      </c>
      <c r="AA15">
        <f t="shared" si="12"/>
        <v>25.654615985896978</v>
      </c>
    </row>
    <row r="16" spans="1:28" x14ac:dyDescent="0.25">
      <c r="A16" s="1" t="s">
        <v>8</v>
      </c>
      <c r="B16">
        <v>2</v>
      </c>
      <c r="C16">
        <v>8</v>
      </c>
      <c r="D16">
        <v>266</v>
      </c>
      <c r="E16">
        <v>9.2829999999999995</v>
      </c>
      <c r="F16" s="47">
        <v>4.0709999999999997</v>
      </c>
      <c r="G16">
        <v>3.6105999999999998</v>
      </c>
      <c r="H16">
        <v>0.18840000000000001</v>
      </c>
      <c r="I16" s="19">
        <f t="shared" si="2"/>
        <v>256.71699999999998</v>
      </c>
      <c r="J16">
        <f>SUM(G16:G20)</f>
        <v>52.340899999999998</v>
      </c>
      <c r="K16">
        <f>SUM(H16:H19)</f>
        <v>56.684899999999999</v>
      </c>
      <c r="L16">
        <f t="shared" si="13"/>
        <v>109.0258</v>
      </c>
      <c r="M16">
        <f t="shared" si="3"/>
        <v>14.615000000000009</v>
      </c>
      <c r="N16">
        <f t="shared" si="14"/>
        <v>0.18099999999999961</v>
      </c>
      <c r="O16">
        <f t="shared" si="15"/>
        <v>1.4741081712399966</v>
      </c>
      <c r="P16">
        <f t="shared" si="16"/>
        <v>13.140891828760012</v>
      </c>
      <c r="Q16">
        <f t="shared" si="0"/>
        <v>156.9742</v>
      </c>
      <c r="R16">
        <f t="shared" si="4"/>
        <v>138.89704632999999</v>
      </c>
      <c r="S16">
        <f t="shared" ref="S16:S19" si="17">($F$4*J16)-(3.11*$F$2*J16)-($F$3*((ABS(F16)-3.11)*J16))</f>
        <v>92.74944089748999</v>
      </c>
      <c r="T16">
        <f t="shared" si="6"/>
        <v>64.224759102510006</v>
      </c>
      <c r="U16">
        <f t="shared" si="7"/>
        <v>283.58732102111725</v>
      </c>
      <c r="V16">
        <f t="shared" si="1"/>
        <v>1.4397894810219232</v>
      </c>
      <c r="W16">
        <f t="shared" si="8"/>
        <v>1.7720260999999999</v>
      </c>
      <c r="X16">
        <f t="shared" si="9"/>
        <v>1.1330135380411717</v>
      </c>
      <c r="Y16">
        <f t="shared" si="10"/>
        <v>55.353038857583812</v>
      </c>
      <c r="Z16">
        <f t="shared" si="11"/>
        <v>32.705778440138175</v>
      </c>
      <c r="AA16">
        <f t="shared" si="12"/>
        <v>22.647260417445647</v>
      </c>
    </row>
    <row r="17" spans="1:27" x14ac:dyDescent="0.25">
      <c r="A17" s="1" t="s">
        <v>8</v>
      </c>
      <c r="B17">
        <v>2</v>
      </c>
      <c r="C17">
        <v>9</v>
      </c>
      <c r="D17">
        <v>240</v>
      </c>
      <c r="E17">
        <v>5.617</v>
      </c>
      <c r="F17" s="47">
        <v>4.3789999999999996</v>
      </c>
      <c r="G17">
        <v>2.1943000000000001</v>
      </c>
      <c r="I17" s="19">
        <f t="shared" si="2"/>
        <v>234.38300000000001</v>
      </c>
      <c r="J17">
        <f>SUM(G17:G20)</f>
        <v>48.7303</v>
      </c>
      <c r="K17">
        <f>SUM(H17:H19)</f>
        <v>56.496499999999997</v>
      </c>
      <c r="L17">
        <f t="shared" si="13"/>
        <v>105.2268</v>
      </c>
      <c r="M17">
        <f t="shared" si="3"/>
        <v>16.716999999999985</v>
      </c>
      <c r="N17">
        <f t="shared" si="14"/>
        <v>0.30799999999999983</v>
      </c>
      <c r="O17">
        <f t="shared" si="15"/>
        <v>2.3353898814399985</v>
      </c>
      <c r="P17">
        <f t="shared" si="16"/>
        <v>14.381610118559987</v>
      </c>
      <c r="Q17">
        <f t="shared" si="0"/>
        <v>134.7732</v>
      </c>
      <c r="R17">
        <f t="shared" si="4"/>
        <v>129.31559711</v>
      </c>
      <c r="S17">
        <f t="shared" si="17"/>
        <v>80.139166340470013</v>
      </c>
      <c r="T17">
        <f t="shared" si="6"/>
        <v>54.63403365952999</v>
      </c>
      <c r="U17">
        <f t="shared" si="7"/>
        <v>273.70573122714899</v>
      </c>
      <c r="V17">
        <f t="shared" si="1"/>
        <v>1.2807877841006283</v>
      </c>
      <c r="W17">
        <f t="shared" si="8"/>
        <v>1.6445449000000003</v>
      </c>
      <c r="X17">
        <f t="shared" si="9"/>
        <v>0.96703395182940521</v>
      </c>
      <c r="Y17">
        <f t="shared" si="10"/>
        <v>49.240181926680748</v>
      </c>
      <c r="Z17">
        <f t="shared" si="11"/>
        <v>29.279316140429057</v>
      </c>
      <c r="AA17">
        <f t="shared" si="12"/>
        <v>19.960865786251691</v>
      </c>
    </row>
    <row r="18" spans="1:27" x14ac:dyDescent="0.25">
      <c r="A18" s="1" t="s">
        <v>8</v>
      </c>
      <c r="B18">
        <v>2</v>
      </c>
      <c r="C18">
        <v>10</v>
      </c>
      <c r="D18">
        <v>214</v>
      </c>
      <c r="E18">
        <v>3.6709999999999998</v>
      </c>
      <c r="F18" s="47">
        <v>4.8529999999999998</v>
      </c>
      <c r="G18">
        <v>1.794</v>
      </c>
      <c r="I18" s="19">
        <f t="shared" si="2"/>
        <v>210.32900000000001</v>
      </c>
      <c r="J18">
        <f>SUM(G18:G20)</f>
        <v>46.535999999999994</v>
      </c>
      <c r="K18">
        <f>SUM(H18:H19)</f>
        <v>56.496499999999997</v>
      </c>
      <c r="L18">
        <f t="shared" si="13"/>
        <v>103.0325</v>
      </c>
      <c r="M18">
        <f t="shared" si="3"/>
        <v>20.38300000000001</v>
      </c>
      <c r="N18">
        <f t="shared" si="14"/>
        <v>0.4740000000000002</v>
      </c>
      <c r="O18">
        <f t="shared" si="15"/>
        <v>3.4322347584000008</v>
      </c>
      <c r="P18">
        <f t="shared" si="16"/>
        <v>16.95076524160001</v>
      </c>
      <c r="Q18">
        <f t="shared" si="0"/>
        <v>110.9675</v>
      </c>
      <c r="R18">
        <f t="shared" si="4"/>
        <v>123.4925832</v>
      </c>
      <c r="S18">
        <f t="shared" si="17"/>
        <v>67.400708776800002</v>
      </c>
      <c r="T18">
        <f t="shared" si="6"/>
        <v>43.566791223199999</v>
      </c>
      <c r="U18">
        <f t="shared" si="7"/>
        <v>267.99813120479979</v>
      </c>
      <c r="V18">
        <f t="shared" si="1"/>
        <v>1.0770145342489021</v>
      </c>
      <c r="W18">
        <f t="shared" si="8"/>
        <v>1.4483563000000002</v>
      </c>
      <c r="X18">
        <f t="shared" si="9"/>
        <v>0.77114141979060646</v>
      </c>
      <c r="Y18">
        <f t="shared" si="10"/>
        <v>41.40607231145222</v>
      </c>
      <c r="Z18">
        <f t="shared" si="11"/>
        <v>25.149693572039684</v>
      </c>
      <c r="AA18">
        <f t="shared" si="12"/>
        <v>16.25637873941254</v>
      </c>
    </row>
    <row r="19" spans="1:27" x14ac:dyDescent="0.25">
      <c r="A19" s="1" t="s">
        <v>8</v>
      </c>
      <c r="B19">
        <v>2</v>
      </c>
      <c r="C19">
        <v>11</v>
      </c>
      <c r="D19">
        <v>198</v>
      </c>
      <c r="F19" s="47">
        <v>6.5529999999999999</v>
      </c>
      <c r="G19">
        <v>44.741999999999997</v>
      </c>
      <c r="H19">
        <v>56.496499999999997</v>
      </c>
      <c r="I19" s="19">
        <f t="shared" si="2"/>
        <v>198</v>
      </c>
      <c r="J19">
        <f>G19</f>
        <v>44.741999999999997</v>
      </c>
      <c r="K19">
        <f>H19</f>
        <v>56.496499999999997</v>
      </c>
      <c r="L19">
        <f>SUM(J19:K19)</f>
        <v>101.23849999999999</v>
      </c>
      <c r="M19">
        <f t="shared" si="3"/>
        <v>12.329000000000008</v>
      </c>
      <c r="N19">
        <f t="shared" si="14"/>
        <v>1.7000000000000002</v>
      </c>
      <c r="O19">
        <f>N19*$F$2*K19</f>
        <v>14.944454180000001</v>
      </c>
      <c r="P19">
        <f t="shared" si="16"/>
        <v>-2.6154541799999933</v>
      </c>
      <c r="Q19">
        <f t="shared" si="0"/>
        <v>96.761500000000012</v>
      </c>
      <c r="R19">
        <f t="shared" si="4"/>
        <v>118.7318454</v>
      </c>
      <c r="S19">
        <f t="shared" si="17"/>
        <v>33.320544114599997</v>
      </c>
      <c r="T19">
        <f t="shared" si="6"/>
        <v>63.440955885400015</v>
      </c>
      <c r="U19">
        <f t="shared" si="7"/>
        <v>263.33175266034618</v>
      </c>
      <c r="V19">
        <f t="shared" si="1"/>
        <v>0.9557776932688653</v>
      </c>
      <c r="W19">
        <f t="shared" si="8"/>
        <v>0.74472629999999995</v>
      </c>
      <c r="X19">
        <f t="shared" si="9"/>
        <v>1.1229183380457199</v>
      </c>
      <c r="Y19">
        <f t="shared" si="10"/>
        <v>36.74509398219292</v>
      </c>
      <c r="Z19">
        <f t="shared" si="11"/>
        <v>12.653447135780057</v>
      </c>
      <c r="AA19">
        <f t="shared" si="12"/>
        <v>24.091646846412864</v>
      </c>
    </row>
    <row r="20" spans="1:27" x14ac:dyDescent="0.25">
      <c r="C20" s="19"/>
      <c r="D20" s="19"/>
      <c r="E20" s="19"/>
      <c r="F20" s="19"/>
      <c r="H20" s="19"/>
      <c r="I20" s="19"/>
    </row>
    <row r="21" spans="1:27" x14ac:dyDescent="0.25">
      <c r="C21" s="19"/>
      <c r="D21" s="19"/>
      <c r="E21" s="19"/>
      <c r="F21" s="19"/>
      <c r="G21" s="19"/>
      <c r="H21" s="19"/>
      <c r="I21" s="19"/>
    </row>
    <row r="22" spans="1:27" ht="15" customHeight="1" x14ac:dyDescent="0.25">
      <c r="C22" s="19"/>
      <c r="D22" s="19"/>
      <c r="E22" s="19"/>
      <c r="F22" s="19"/>
      <c r="G22" s="19"/>
      <c r="H22" s="19"/>
      <c r="I22" s="19"/>
    </row>
    <row r="27" spans="1:27" x14ac:dyDescent="0.25">
      <c r="I27" s="15" t="s">
        <v>91</v>
      </c>
      <c r="J27" s="16"/>
      <c r="K27" s="17" t="s">
        <v>102</v>
      </c>
      <c r="L27" s="17"/>
      <c r="M27" s="17"/>
      <c r="N27" s="17"/>
      <c r="O27" s="17"/>
      <c r="P27" s="17" t="s">
        <v>20</v>
      </c>
      <c r="Q27" s="18"/>
      <c r="R27" s="49"/>
    </row>
    <row r="28" spans="1:27" ht="27" customHeight="1" x14ac:dyDescent="0.25">
      <c r="I28" s="67" t="s">
        <v>99</v>
      </c>
      <c r="J28" s="68"/>
      <c r="K28" s="29" t="s">
        <v>87</v>
      </c>
      <c r="L28" s="29"/>
      <c r="M28" s="29"/>
      <c r="N28" s="29"/>
      <c r="O28" s="28">
        <f>SLOPE(Y9:Y13,F9:F13)</f>
        <v>-9.5030518017282208</v>
      </c>
      <c r="P28" s="20" t="s">
        <v>100</v>
      </c>
      <c r="Q28" s="21"/>
      <c r="R28" s="19"/>
      <c r="U28" t="s">
        <v>109</v>
      </c>
    </row>
    <row r="29" spans="1:27" x14ac:dyDescent="0.25">
      <c r="I29" s="67"/>
      <c r="J29" s="68"/>
      <c r="K29" s="29" t="s">
        <v>88</v>
      </c>
      <c r="L29" s="29"/>
      <c r="M29" s="29"/>
      <c r="N29" s="29"/>
      <c r="O29" s="28">
        <f>SLOPE(Z9:Z13,F9:F13)</f>
        <v>-3.6336185540843151</v>
      </c>
      <c r="P29" s="20" t="s">
        <v>100</v>
      </c>
      <c r="Q29" s="21"/>
      <c r="R29" s="19"/>
    </row>
    <row r="30" spans="1:27" x14ac:dyDescent="0.25">
      <c r="I30" s="67"/>
      <c r="J30" s="68"/>
      <c r="K30" s="29" t="s">
        <v>89</v>
      </c>
      <c r="L30" s="29"/>
      <c r="M30" s="29"/>
      <c r="N30" s="29"/>
      <c r="O30" s="28">
        <f>SLOPE(AA9:AA13,F9:F13)</f>
        <v>-5.8694332476439017</v>
      </c>
      <c r="P30" s="20" t="s">
        <v>100</v>
      </c>
      <c r="Q30" s="21"/>
      <c r="R30" s="19"/>
    </row>
    <row r="31" spans="1:27" x14ac:dyDescent="0.25">
      <c r="I31" s="67"/>
      <c r="J31" s="68"/>
      <c r="K31" s="22"/>
      <c r="L31" s="22"/>
      <c r="M31" s="22"/>
      <c r="N31" s="22"/>
      <c r="O31" s="28"/>
      <c r="P31" s="19"/>
      <c r="Q31" s="21"/>
      <c r="R31" s="19"/>
    </row>
    <row r="32" spans="1:27" x14ac:dyDescent="0.25">
      <c r="I32" s="67"/>
      <c r="J32" s="68"/>
      <c r="K32" s="29" t="s">
        <v>87</v>
      </c>
      <c r="L32" s="29"/>
      <c r="M32" s="29"/>
      <c r="N32" s="29"/>
      <c r="O32" s="28">
        <f>SLOPE(V9:V13,F9:F13)</f>
        <v>-0.24718415292316168</v>
      </c>
      <c r="P32" s="19" t="s">
        <v>101</v>
      </c>
      <c r="Q32" s="21"/>
      <c r="R32" s="19"/>
    </row>
    <row r="33" spans="9:22" x14ac:dyDescent="0.25">
      <c r="I33" s="67"/>
      <c r="J33" s="68"/>
      <c r="K33" s="29" t="s">
        <v>88</v>
      </c>
      <c r="L33" s="29"/>
      <c r="M33" s="29"/>
      <c r="N33" s="29"/>
      <c r="O33" s="28">
        <f>SLOPE(W9:W13,F9:F13)</f>
        <v>-0.15559999999999993</v>
      </c>
      <c r="P33" s="19" t="s">
        <v>101</v>
      </c>
      <c r="Q33" s="21"/>
      <c r="R33" s="19"/>
    </row>
    <row r="34" spans="9:22" x14ac:dyDescent="0.25">
      <c r="I34" s="67"/>
      <c r="J34" s="68"/>
      <c r="K34" s="29" t="s">
        <v>89</v>
      </c>
      <c r="L34" s="29"/>
      <c r="M34" s="29"/>
      <c r="N34" s="29"/>
      <c r="O34" s="28">
        <f>SLOPE(X9:X13,F9:F13)</f>
        <v>-0.33628112560961221</v>
      </c>
      <c r="P34" s="19" t="s">
        <v>101</v>
      </c>
      <c r="Q34" s="21"/>
      <c r="R34" s="19"/>
      <c r="U34" t="s">
        <v>128</v>
      </c>
    </row>
    <row r="35" spans="9:22" x14ac:dyDescent="0.25">
      <c r="I35" s="67"/>
      <c r="J35" s="68"/>
      <c r="K35" s="19"/>
      <c r="L35" s="19"/>
      <c r="M35" s="19"/>
      <c r="N35" s="19"/>
      <c r="O35" s="28"/>
      <c r="P35" s="19"/>
      <c r="Q35" s="21"/>
      <c r="R35" s="19"/>
      <c r="T35" t="s">
        <v>125</v>
      </c>
      <c r="U35">
        <v>2.66</v>
      </c>
      <c r="V35">
        <f>(-0.1556*U35)+2.637</f>
        <v>2.2231040000000002</v>
      </c>
    </row>
    <row r="36" spans="9:22" x14ac:dyDescent="0.25">
      <c r="I36" s="67"/>
      <c r="J36" s="68"/>
      <c r="K36" s="29" t="s">
        <v>103</v>
      </c>
      <c r="L36" s="29"/>
      <c r="M36" s="29"/>
      <c r="N36" s="29"/>
      <c r="O36" s="28">
        <f>INTERCEPT(V9:V13,F9:F13)</f>
        <v>2.5845837471683994</v>
      </c>
      <c r="P36" s="19" t="s">
        <v>106</v>
      </c>
      <c r="Q36" s="21"/>
      <c r="R36" s="19"/>
      <c r="T36" t="s">
        <v>126</v>
      </c>
      <c r="U36">
        <v>2.57</v>
      </c>
      <c r="V36">
        <f>(-0.3363*U36)+2.5053</f>
        <v>1.6410090000000002</v>
      </c>
    </row>
    <row r="37" spans="9:22" x14ac:dyDescent="0.25">
      <c r="I37" s="67"/>
      <c r="J37" s="68"/>
      <c r="K37" s="29" t="s">
        <v>90</v>
      </c>
      <c r="L37" s="29"/>
      <c r="M37" s="29"/>
      <c r="N37" s="29"/>
      <c r="O37" s="28">
        <f>INTERCEPT(W9:W13,F9:F13)</f>
        <v>2.6537000000000002</v>
      </c>
      <c r="P37" s="19" t="s">
        <v>104</v>
      </c>
      <c r="Q37" s="21"/>
      <c r="R37" s="19"/>
    </row>
    <row r="38" spans="9:22" x14ac:dyDescent="0.25">
      <c r="I38" s="23"/>
      <c r="J38" s="19"/>
      <c r="K38" s="29" t="s">
        <v>92</v>
      </c>
      <c r="L38" s="29"/>
      <c r="M38" s="29"/>
      <c r="N38" s="29"/>
      <c r="O38" s="28">
        <f>INTERCEPT(X9:X13,F9:F13)</f>
        <v>2.5053112284431625</v>
      </c>
      <c r="P38" s="19" t="s">
        <v>105</v>
      </c>
      <c r="Q38" s="21"/>
      <c r="R38" s="19"/>
    </row>
    <row r="39" spans="9:22" x14ac:dyDescent="0.25">
      <c r="I39" s="23"/>
      <c r="J39" s="19"/>
      <c r="K39" s="22"/>
      <c r="L39" s="22"/>
      <c r="M39" s="22"/>
      <c r="N39" s="22"/>
      <c r="O39" s="28"/>
      <c r="P39" s="19"/>
      <c r="Q39" s="21"/>
      <c r="R39" s="19"/>
    </row>
    <row r="40" spans="9:22" x14ac:dyDescent="0.25">
      <c r="I40" s="23"/>
      <c r="J40" s="19"/>
      <c r="K40" s="22" t="s">
        <v>93</v>
      </c>
      <c r="L40" s="22"/>
      <c r="M40" s="22"/>
      <c r="N40" s="22"/>
      <c r="O40" s="28">
        <f>Y9</f>
        <v>98.991975396850677</v>
      </c>
      <c r="P40" s="19"/>
      <c r="Q40" s="21"/>
      <c r="R40" s="19"/>
    </row>
    <row r="41" spans="9:22" x14ac:dyDescent="0.25">
      <c r="I41" s="23"/>
      <c r="J41" s="19"/>
      <c r="K41" s="22" t="s">
        <v>96</v>
      </c>
      <c r="L41" s="22"/>
      <c r="M41" s="22"/>
      <c r="N41" s="22"/>
      <c r="O41" s="28">
        <f>Z9</f>
        <v>50.95715268438785</v>
      </c>
      <c r="P41" s="19"/>
      <c r="Q41" s="21"/>
      <c r="R41" s="19"/>
    </row>
    <row r="42" spans="9:22" x14ac:dyDescent="0.25">
      <c r="I42" s="23"/>
      <c r="J42" s="19"/>
      <c r="K42" s="22" t="s">
        <v>97</v>
      </c>
      <c r="L42" s="22"/>
      <c r="M42" s="22"/>
      <c r="N42" s="22"/>
      <c r="O42" s="28">
        <f>AA9</f>
        <v>48.034822712462827</v>
      </c>
      <c r="P42" s="19"/>
      <c r="Q42" s="21"/>
      <c r="R42" s="19"/>
    </row>
    <row r="43" spans="9:22" x14ac:dyDescent="0.25">
      <c r="I43" s="23"/>
      <c r="J43" s="19"/>
      <c r="K43" s="22"/>
      <c r="L43" s="22"/>
      <c r="M43" s="22"/>
      <c r="N43" s="22"/>
      <c r="O43" s="28"/>
      <c r="P43" s="19"/>
      <c r="Q43" s="21"/>
      <c r="R43" s="19"/>
    </row>
    <row r="44" spans="9:22" x14ac:dyDescent="0.25">
      <c r="I44" s="23"/>
      <c r="J44" s="19"/>
      <c r="K44" s="22" t="s">
        <v>94</v>
      </c>
      <c r="L44" s="22"/>
      <c r="M44" s="22"/>
      <c r="N44" s="22"/>
      <c r="O44" s="28">
        <f>AVERAGE(Y12:Y13)</f>
        <v>73.138158330139987</v>
      </c>
      <c r="P44" s="19"/>
      <c r="Q44" s="21"/>
      <c r="R44" s="19"/>
    </row>
    <row r="45" spans="9:22" x14ac:dyDescent="0.25">
      <c r="I45" s="23"/>
      <c r="J45" s="19"/>
      <c r="K45" s="22" t="s">
        <v>95</v>
      </c>
      <c r="L45" s="22"/>
      <c r="M45" s="22"/>
      <c r="N45" s="22"/>
      <c r="O45" s="28">
        <f>AVERAGE(Z12:Z13)</f>
        <v>42.564485578480912</v>
      </c>
      <c r="P45" s="19"/>
      <c r="Q45" s="21"/>
      <c r="R45" s="19"/>
    </row>
    <row r="46" spans="9:22" x14ac:dyDescent="0.25">
      <c r="I46" s="24"/>
      <c r="J46" s="25"/>
      <c r="K46" s="26" t="s">
        <v>98</v>
      </c>
      <c r="L46" s="26"/>
      <c r="M46" s="26"/>
      <c r="N46" s="26"/>
      <c r="O46" s="28">
        <f>AVERAGE(AA12:AA13)</f>
        <v>30.573672751659082</v>
      </c>
      <c r="P46" s="25"/>
      <c r="Q46" s="27"/>
      <c r="R46" s="19"/>
    </row>
  </sheetData>
  <mergeCells count="7">
    <mergeCell ref="W7:AB7"/>
    <mergeCell ref="I28:J37"/>
    <mergeCell ref="E1:F1"/>
    <mergeCell ref="K1:M3"/>
    <mergeCell ref="C2:D2"/>
    <mergeCell ref="G7:H7"/>
    <mergeCell ref="I7:T7"/>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6"/>
  <sheetViews>
    <sheetView zoomScale="84" zoomScaleNormal="84" workbookViewId="0">
      <selection activeCell="C32" sqref="C32"/>
    </sheetView>
  </sheetViews>
  <sheetFormatPr defaultRowHeight="15" x14ac:dyDescent="0.25"/>
  <cols>
    <col min="1" max="1" width="11.7109375" customWidth="1"/>
    <col min="4" max="4" width="9.28515625" customWidth="1"/>
    <col min="5" max="5" width="30.5703125" customWidth="1"/>
    <col min="6" max="6" width="12.5703125" customWidth="1"/>
    <col min="7" max="7" width="16.140625" customWidth="1"/>
    <col min="8" max="8" width="16.85546875" customWidth="1"/>
    <col min="9" max="9" width="16.28515625" customWidth="1"/>
    <col min="10" max="10" width="18" customWidth="1"/>
    <col min="11" max="11" width="11.7109375" customWidth="1"/>
    <col min="12" max="12" width="12.7109375" customWidth="1"/>
    <col min="13" max="13" width="12.5703125" customWidth="1"/>
    <col min="14" max="14" width="14.7109375" customWidth="1"/>
    <col min="16" max="16" width="19.140625" bestFit="1" customWidth="1"/>
    <col min="17" max="17" width="17.7109375" customWidth="1"/>
    <col min="18" max="18" width="13.28515625" customWidth="1"/>
    <col min="19" max="19" width="13.5703125" customWidth="1"/>
    <col min="20" max="21" width="19.5703125" customWidth="1"/>
    <col min="22" max="22" width="15.42578125" customWidth="1"/>
    <col min="23" max="23" width="13.42578125" customWidth="1"/>
    <col min="24" max="24" width="12" customWidth="1"/>
    <col min="25" max="25" width="12.140625" customWidth="1"/>
  </cols>
  <sheetData>
    <row r="1" spans="1:28" x14ac:dyDescent="0.25">
      <c r="E1" s="69" t="s">
        <v>42</v>
      </c>
      <c r="F1" s="69"/>
      <c r="G1" t="s">
        <v>20</v>
      </c>
      <c r="K1" s="70" t="s">
        <v>19</v>
      </c>
      <c r="L1" s="70"/>
      <c r="M1" s="70"/>
    </row>
    <row r="2" spans="1:28" x14ac:dyDescent="0.25">
      <c r="C2" s="63"/>
      <c r="D2" s="63"/>
      <c r="E2" t="s">
        <v>17</v>
      </c>
      <c r="F2">
        <v>0.15559999999999999</v>
      </c>
      <c r="G2" t="s">
        <v>21</v>
      </c>
      <c r="K2" s="70"/>
      <c r="L2" s="70"/>
      <c r="M2" s="70"/>
    </row>
    <row r="3" spans="1:28" x14ac:dyDescent="0.25">
      <c r="E3" t="s">
        <v>18</v>
      </c>
      <c r="F3">
        <v>0.41389999999999999</v>
      </c>
      <c r="G3" t="s">
        <v>21</v>
      </c>
      <c r="K3" s="70"/>
      <c r="L3" s="70"/>
      <c r="M3" s="70"/>
    </row>
    <row r="4" spans="1:28" x14ac:dyDescent="0.25">
      <c r="E4" t="s">
        <v>29</v>
      </c>
      <c r="F4">
        <v>2.6537000000000002</v>
      </c>
    </row>
    <row r="5" spans="1:28" x14ac:dyDescent="0.25">
      <c r="E5" t="s">
        <v>108</v>
      </c>
      <c r="F5">
        <f>(INTERCEPT(Q9:Q13,F9:F13)/L9)</f>
        <v>2.4142847829869316</v>
      </c>
    </row>
    <row r="7" spans="1:28" x14ac:dyDescent="0.25">
      <c r="D7" s="30" t="s">
        <v>25</v>
      </c>
      <c r="E7" s="30"/>
      <c r="F7" s="30"/>
      <c r="G7" s="64" t="s">
        <v>26</v>
      </c>
      <c r="H7" s="64"/>
      <c r="I7" s="65" t="s">
        <v>13</v>
      </c>
      <c r="J7" s="65"/>
      <c r="K7" s="65"/>
      <c r="L7" s="65"/>
      <c r="M7" s="65"/>
      <c r="N7" s="65"/>
      <c r="O7" s="65"/>
      <c r="P7" s="65"/>
      <c r="Q7" s="65"/>
      <c r="R7" s="65"/>
      <c r="S7" s="65"/>
      <c r="T7" s="5"/>
      <c r="U7" s="5"/>
      <c r="V7" s="5"/>
      <c r="W7" s="66" t="s">
        <v>32</v>
      </c>
      <c r="X7" s="66"/>
      <c r="Y7" s="66"/>
      <c r="Z7" s="66"/>
      <c r="AA7" s="66"/>
      <c r="AB7" s="66"/>
    </row>
    <row r="8" spans="1:28" ht="63" customHeight="1" x14ac:dyDescent="0.25">
      <c r="A8" s="3" t="s">
        <v>3</v>
      </c>
      <c r="B8" s="3" t="s">
        <v>4</v>
      </c>
      <c r="C8" s="3" t="s">
        <v>5</v>
      </c>
      <c r="D8" s="3" t="s">
        <v>6</v>
      </c>
      <c r="E8" s="3" t="s">
        <v>7</v>
      </c>
      <c r="F8" s="4" t="s">
        <v>9</v>
      </c>
      <c r="G8" s="4" t="s">
        <v>14</v>
      </c>
      <c r="H8" s="4" t="s">
        <v>11</v>
      </c>
      <c r="I8" s="4" t="s">
        <v>23</v>
      </c>
      <c r="J8" s="4" t="s">
        <v>10</v>
      </c>
      <c r="K8" s="4" t="s">
        <v>12</v>
      </c>
      <c r="L8" s="4" t="s">
        <v>15</v>
      </c>
      <c r="M8" s="4" t="s">
        <v>24</v>
      </c>
      <c r="N8" s="4" t="s">
        <v>44</v>
      </c>
      <c r="O8" s="4" t="s">
        <v>16</v>
      </c>
      <c r="P8" s="4" t="s">
        <v>22</v>
      </c>
      <c r="Q8" s="4" t="s">
        <v>28</v>
      </c>
      <c r="R8" s="4" t="s">
        <v>27</v>
      </c>
      <c r="S8" s="4" t="s">
        <v>30</v>
      </c>
      <c r="T8" s="4" t="s">
        <v>107</v>
      </c>
      <c r="U8" s="4" t="s">
        <v>117</v>
      </c>
      <c r="V8" s="4" t="s">
        <v>33</v>
      </c>
      <c r="W8" s="4" t="s">
        <v>34</v>
      </c>
      <c r="X8" s="4" t="s">
        <v>31</v>
      </c>
      <c r="Y8" s="4" t="s">
        <v>35</v>
      </c>
      <c r="Z8" s="4" t="s">
        <v>36</v>
      </c>
      <c r="AA8" s="4" t="s">
        <v>37</v>
      </c>
    </row>
    <row r="9" spans="1:28" x14ac:dyDescent="0.25">
      <c r="A9" s="1" t="s">
        <v>8</v>
      </c>
      <c r="B9">
        <v>3</v>
      </c>
      <c r="C9">
        <v>1</v>
      </c>
      <c r="D9">
        <v>684</v>
      </c>
      <c r="E9">
        <v>11.005000000000001</v>
      </c>
      <c r="F9" s="44">
        <v>0.11</v>
      </c>
      <c r="G9">
        <v>3.7286999999999999</v>
      </c>
      <c r="I9" s="19">
        <f>D9-E9</f>
        <v>672.995</v>
      </c>
      <c r="J9">
        <f>SUM(G9:G20)</f>
        <v>116.5543</v>
      </c>
      <c r="K9">
        <f>SUM(H9:H19)</f>
        <v>83.353099999999998</v>
      </c>
      <c r="L9">
        <f>SUM(J9:K9)</f>
        <v>199.9074</v>
      </c>
      <c r="N9">
        <v>0</v>
      </c>
      <c r="Q9">
        <f t="shared" ref="Q9:Q19" si="0">D9-L9</f>
        <v>484.0926</v>
      </c>
      <c r="R9">
        <f>($F$4*J9)-($F$2*J9*F9)</f>
        <v>307.30520251120004</v>
      </c>
      <c r="S9">
        <f>Q9-R9</f>
        <v>176.78739748879997</v>
      </c>
      <c r="T9">
        <f>L9*$F$5</f>
        <v>482.63339382648172</v>
      </c>
      <c r="V9">
        <f t="shared" ref="V9:V19" si="1">Q9/L9</f>
        <v>2.421584193481582</v>
      </c>
      <c r="W9">
        <f>R9/J9</f>
        <v>2.6365840000000005</v>
      </c>
      <c r="X9">
        <f>S9/K9</f>
        <v>2.1209456815499359</v>
      </c>
      <c r="Y9">
        <f>Q9/T9*100</f>
        <v>100.30234256315114</v>
      </c>
      <c r="Z9">
        <f>R9/(T9)*100</f>
        <v>63.672594238616576</v>
      </c>
      <c r="AA9">
        <f>S9/(T9)*100</f>
        <v>36.62974832453456</v>
      </c>
    </row>
    <row r="10" spans="1:28" x14ac:dyDescent="0.25">
      <c r="A10" s="1" t="s">
        <v>8</v>
      </c>
      <c r="B10">
        <v>3</v>
      </c>
      <c r="C10">
        <v>2</v>
      </c>
      <c r="D10">
        <v>642</v>
      </c>
      <c r="E10">
        <v>2.7469999999999999</v>
      </c>
      <c r="F10" s="44">
        <v>1.159</v>
      </c>
      <c r="G10">
        <v>0.76239999999999997</v>
      </c>
      <c r="I10" s="19">
        <f t="shared" ref="I10:I19" si="2">D10-E10</f>
        <v>639.25300000000004</v>
      </c>
      <c r="J10">
        <f>SUM(G10:G20)</f>
        <v>112.82560000000001</v>
      </c>
      <c r="K10">
        <f>SUM(H10:H19)</f>
        <v>83.353099999999998</v>
      </c>
      <c r="L10">
        <f>SUM(J10:K10)</f>
        <v>196.17869999999999</v>
      </c>
      <c r="M10">
        <f t="shared" ref="M10:M19" si="3">I9-D10</f>
        <v>30.995000000000005</v>
      </c>
      <c r="N10">
        <f>F10-F9</f>
        <v>1.0489999999999999</v>
      </c>
      <c r="O10">
        <f>N10*$F$2*J10</f>
        <v>18.415890864639998</v>
      </c>
      <c r="P10">
        <f>M10-O10</f>
        <v>12.579109135360007</v>
      </c>
      <c r="Q10">
        <f t="shared" si="0"/>
        <v>445.82130000000001</v>
      </c>
      <c r="R10">
        <f t="shared" ref="R10:R13" si="4">($F$4*J10)-($F$2*J10*F10)</f>
        <v>279.05828088576004</v>
      </c>
      <c r="S10">
        <f t="shared" ref="S10:S19" si="5">Q10-R10</f>
        <v>166.76301911423997</v>
      </c>
      <c r="T10">
        <f t="shared" ref="T10:T19" si="6">L10*$F$5</f>
        <v>473.63125015615833</v>
      </c>
      <c r="V10">
        <f t="shared" si="1"/>
        <v>2.2725265281093208</v>
      </c>
      <c r="W10">
        <f t="shared" ref="W10:X18" si="7">R10/J10</f>
        <v>2.4733596000000002</v>
      </c>
      <c r="X10">
        <f t="shared" si="7"/>
        <v>2.0006816676793062</v>
      </c>
      <c r="Y10">
        <f t="shared" ref="Y10:Y19" si="8">Q10/T10*100</f>
        <v>94.128354041886126</v>
      </c>
      <c r="Z10">
        <f t="shared" ref="Z10:Z19" si="9">R10/(T10)*100</f>
        <v>58.918891182487066</v>
      </c>
      <c r="AA10">
        <f t="shared" ref="AA10:AA19" si="10">S10/(T10)*100</f>
        <v>35.209462859399046</v>
      </c>
    </row>
    <row r="11" spans="1:28" x14ac:dyDescent="0.25">
      <c r="A11" s="1" t="s">
        <v>8</v>
      </c>
      <c r="B11">
        <v>3</v>
      </c>
      <c r="C11">
        <v>3</v>
      </c>
      <c r="D11">
        <v>628</v>
      </c>
      <c r="E11">
        <v>3.2759999999999998</v>
      </c>
      <c r="F11" s="44">
        <v>1.5489999999999999</v>
      </c>
      <c r="G11">
        <v>1.0417000000000001</v>
      </c>
      <c r="I11" s="19">
        <f t="shared" si="2"/>
        <v>624.72400000000005</v>
      </c>
      <c r="J11">
        <f>SUM(G11:G20)</f>
        <v>112.06319999999999</v>
      </c>
      <c r="K11">
        <f>SUM(H11:H19)</f>
        <v>83.353099999999998</v>
      </c>
      <c r="L11">
        <f t="shared" ref="L11:L18" si="11">SUM(J11:K11)</f>
        <v>195.41629999999998</v>
      </c>
      <c r="M11">
        <f t="shared" si="3"/>
        <v>11.253000000000043</v>
      </c>
      <c r="N11">
        <f t="shared" ref="N11:N19" si="12">F11-F10</f>
        <v>0.3899999999999999</v>
      </c>
      <c r="O11">
        <f t="shared" ref="O11:O18" si="13">N11*$F$2*J11</f>
        <v>6.8004432287999972</v>
      </c>
      <c r="P11">
        <f t="shared" ref="P11:P19" si="14">M11-O11</f>
        <v>4.4525567712000456</v>
      </c>
      <c r="Q11">
        <f t="shared" si="0"/>
        <v>432.58370000000002</v>
      </c>
      <c r="R11">
        <f t="shared" si="4"/>
        <v>270.37214829791998</v>
      </c>
      <c r="S11">
        <f t="shared" si="5"/>
        <v>162.21155170208004</v>
      </c>
      <c r="T11">
        <f t="shared" si="6"/>
        <v>471.79059943760905</v>
      </c>
      <c r="V11">
        <f t="shared" si="1"/>
        <v>2.2136520853173458</v>
      </c>
      <c r="W11">
        <f t="shared" si="7"/>
        <v>2.4126756</v>
      </c>
      <c r="X11">
        <f t="shared" si="7"/>
        <v>1.9460770109579613</v>
      </c>
      <c r="Y11">
        <f t="shared" si="8"/>
        <v>91.689766713379825</v>
      </c>
      <c r="Z11">
        <f t="shared" si="9"/>
        <v>57.307659080154004</v>
      </c>
      <c r="AA11">
        <f t="shared" si="10"/>
        <v>34.382107633225822</v>
      </c>
    </row>
    <row r="12" spans="1:28" x14ac:dyDescent="0.25">
      <c r="A12" s="1" t="s">
        <v>8</v>
      </c>
      <c r="B12">
        <v>3</v>
      </c>
      <c r="C12">
        <v>4</v>
      </c>
      <c r="D12">
        <v>616</v>
      </c>
      <c r="E12">
        <v>1.7869999999999999</v>
      </c>
      <c r="F12" s="44">
        <v>2.3889999999999998</v>
      </c>
      <c r="G12">
        <v>0.53690000000000004</v>
      </c>
      <c r="I12" s="19">
        <f t="shared" si="2"/>
        <v>614.21299999999997</v>
      </c>
      <c r="J12">
        <f>SUM(G12:G20)</f>
        <v>111.0215</v>
      </c>
      <c r="K12">
        <f>SUM(H12:H19)</f>
        <v>83.353099999999998</v>
      </c>
      <c r="L12">
        <f t="shared" si="11"/>
        <v>194.37459999999999</v>
      </c>
      <c r="M12">
        <f t="shared" si="3"/>
        <v>8.7240000000000464</v>
      </c>
      <c r="N12">
        <f t="shared" si="12"/>
        <v>0.83999999999999986</v>
      </c>
      <c r="O12">
        <f t="shared" si="13"/>
        <v>14.510954135999995</v>
      </c>
      <c r="P12">
        <f t="shared" si="14"/>
        <v>-5.7869541359999488</v>
      </c>
      <c r="Q12">
        <f t="shared" si="0"/>
        <v>421.62540000000001</v>
      </c>
      <c r="R12">
        <f t="shared" si="4"/>
        <v>253.34790998940002</v>
      </c>
      <c r="S12">
        <f t="shared" si="5"/>
        <v>168.27749001059999</v>
      </c>
      <c r="T12">
        <f t="shared" si="6"/>
        <v>469.27563897917162</v>
      </c>
      <c r="V12">
        <f t="shared" si="1"/>
        <v>2.1691383544969356</v>
      </c>
      <c r="W12">
        <f t="shared" si="7"/>
        <v>2.2819716000000003</v>
      </c>
      <c r="X12">
        <f t="shared" si="7"/>
        <v>2.0188510086679439</v>
      </c>
      <c r="Y12">
        <f t="shared" si="8"/>
        <v>89.846002003678166</v>
      </c>
      <c r="Z12">
        <f t="shared" si="9"/>
        <v>53.987015081480635</v>
      </c>
      <c r="AA12">
        <f t="shared" si="10"/>
        <v>35.858986922197516</v>
      </c>
    </row>
    <row r="13" spans="1:28" x14ac:dyDescent="0.25">
      <c r="A13" s="1" t="s">
        <v>8</v>
      </c>
      <c r="B13">
        <v>3</v>
      </c>
      <c r="C13">
        <v>5</v>
      </c>
      <c r="D13">
        <v>592</v>
      </c>
      <c r="E13">
        <v>1.77</v>
      </c>
      <c r="F13" s="44">
        <v>2.9910000000000001</v>
      </c>
      <c r="G13">
        <v>0.54710000000000003</v>
      </c>
      <c r="I13" s="19">
        <f t="shared" si="2"/>
        <v>590.23</v>
      </c>
      <c r="J13">
        <f>SUM(G13:G20)</f>
        <v>110.4846</v>
      </c>
      <c r="K13">
        <f>SUM(H13:H19)</f>
        <v>83.353099999999998</v>
      </c>
      <c r="L13">
        <f t="shared" si="11"/>
        <v>193.83769999999998</v>
      </c>
      <c r="M13">
        <f t="shared" si="3"/>
        <v>22.212999999999965</v>
      </c>
      <c r="N13">
        <f t="shared" si="12"/>
        <v>0.60200000000000031</v>
      </c>
      <c r="O13">
        <f>N13*$F$2*J13</f>
        <v>10.349225063520004</v>
      </c>
      <c r="P13">
        <f t="shared" si="14"/>
        <v>11.863774936479961</v>
      </c>
      <c r="Q13">
        <f t="shared" si="0"/>
        <v>398.16230000000002</v>
      </c>
      <c r="R13">
        <f t="shared" si="4"/>
        <v>241.77349437384004</v>
      </c>
      <c r="S13">
        <f t="shared" si="5"/>
        <v>156.38880562615998</v>
      </c>
      <c r="T13">
        <f t="shared" si="6"/>
        <v>467.9794094791859</v>
      </c>
      <c r="V13">
        <f t="shared" si="1"/>
        <v>2.0541014467257921</v>
      </c>
      <c r="W13">
        <f t="shared" si="7"/>
        <v>2.1883004000000001</v>
      </c>
      <c r="X13">
        <f t="shared" si="7"/>
        <v>1.8762206279809628</v>
      </c>
      <c r="Y13">
        <f t="shared" si="8"/>
        <v>85.081157831947067</v>
      </c>
      <c r="Z13">
        <f t="shared" si="9"/>
        <v>51.66327609219168</v>
      </c>
      <c r="AA13">
        <f t="shared" si="10"/>
        <v>33.417881739755387</v>
      </c>
    </row>
    <row r="14" spans="1:28" x14ac:dyDescent="0.25">
      <c r="A14" s="1" t="s">
        <v>8</v>
      </c>
      <c r="B14">
        <v>3</v>
      </c>
      <c r="C14">
        <v>6</v>
      </c>
      <c r="D14">
        <v>572</v>
      </c>
      <c r="E14">
        <v>2.7789999999999999</v>
      </c>
      <c r="F14" s="47">
        <v>3.2240000000000002</v>
      </c>
      <c r="G14">
        <v>0.9002</v>
      </c>
      <c r="I14" s="19">
        <f t="shared" si="2"/>
        <v>569.221</v>
      </c>
      <c r="J14">
        <f>SUM(G14:G20)</f>
        <v>109.9375</v>
      </c>
      <c r="K14">
        <f>SUM(H14:H19)</f>
        <v>83.353099999999998</v>
      </c>
      <c r="L14">
        <f t="shared" si="11"/>
        <v>193.29059999999998</v>
      </c>
      <c r="M14">
        <f t="shared" si="3"/>
        <v>18.230000000000018</v>
      </c>
      <c r="N14">
        <f t="shared" si="12"/>
        <v>0.2330000000000001</v>
      </c>
      <c r="O14">
        <f t="shared" si="13"/>
        <v>3.9857620750000011</v>
      </c>
      <c r="P14">
        <f t="shared" si="14"/>
        <v>14.244237925000018</v>
      </c>
      <c r="Q14">
        <f t="shared" si="0"/>
        <v>378.70940000000002</v>
      </c>
      <c r="R14">
        <f>($F$4*J14)-(3.11*$F$2*J14)-($F$3*((ABS(F14)-3.11)*J14))</f>
        <v>233.35327153749998</v>
      </c>
      <c r="S14">
        <f t="shared" si="5"/>
        <v>145.35612846250004</v>
      </c>
      <c r="T14">
        <f t="shared" si="6"/>
        <v>466.65855427441375</v>
      </c>
      <c r="V14">
        <f t="shared" si="1"/>
        <v>1.9592747914280366</v>
      </c>
      <c r="W14">
        <f t="shared" si="7"/>
        <v>2.1225993999999999</v>
      </c>
      <c r="X14">
        <f t="shared" si="7"/>
        <v>1.7438598979821991</v>
      </c>
      <c r="Y14">
        <f t="shared" si="8"/>
        <v>81.153425032321138</v>
      </c>
      <c r="Z14">
        <f t="shared" si="9"/>
        <v>50.005141746588237</v>
      </c>
      <c r="AA14">
        <f t="shared" si="10"/>
        <v>31.148283285732909</v>
      </c>
    </row>
    <row r="15" spans="1:28" x14ac:dyDescent="0.25">
      <c r="A15" s="1" t="s">
        <v>8</v>
      </c>
      <c r="B15">
        <v>3</v>
      </c>
      <c r="C15">
        <v>7</v>
      </c>
      <c r="D15">
        <v>524</v>
      </c>
      <c r="E15">
        <v>18.013000000000002</v>
      </c>
      <c r="F15" s="47">
        <v>3.5070000000000001</v>
      </c>
      <c r="G15">
        <v>6.0715000000000003</v>
      </c>
      <c r="I15" s="19">
        <f t="shared" si="2"/>
        <v>505.98700000000002</v>
      </c>
      <c r="J15">
        <f>SUM(G15:G20)</f>
        <v>109.0373</v>
      </c>
      <c r="K15">
        <f>SUM(H15:H19)</f>
        <v>83.353099999999998</v>
      </c>
      <c r="L15">
        <f t="shared" si="11"/>
        <v>192.3904</v>
      </c>
      <c r="M15">
        <f t="shared" si="3"/>
        <v>45.221000000000004</v>
      </c>
      <c r="N15">
        <f t="shared" si="12"/>
        <v>0.28299999999999992</v>
      </c>
      <c r="O15">
        <f t="shared" si="13"/>
        <v>4.8014356980399988</v>
      </c>
      <c r="P15">
        <f t="shared" si="14"/>
        <v>40.419564301960008</v>
      </c>
      <c r="Q15">
        <f t="shared" si="0"/>
        <v>331.6096</v>
      </c>
      <c r="R15">
        <f t="shared" ref="R15:R19" si="15">($F$4*J15)-(3.11*$F$2*J15)-($F$3*((ABS(F15)-3.11)*J15))</f>
        <v>218.67056517060999</v>
      </c>
      <c r="S15">
        <f t="shared" si="5"/>
        <v>112.93903482939001</v>
      </c>
      <c r="T15">
        <f t="shared" si="6"/>
        <v>464.48521511276897</v>
      </c>
      <c r="V15">
        <f t="shared" si="1"/>
        <v>1.7236286218023353</v>
      </c>
      <c r="W15">
        <f t="shared" si="7"/>
        <v>2.0054656999999998</v>
      </c>
      <c r="X15">
        <f t="shared" si="7"/>
        <v>1.3549470245184643</v>
      </c>
      <c r="Y15">
        <f t="shared" si="8"/>
        <v>71.392929034240822</v>
      </c>
      <c r="Z15">
        <f t="shared" si="9"/>
        <v>47.078046416939358</v>
      </c>
      <c r="AA15">
        <f t="shared" si="10"/>
        <v>24.314882617301471</v>
      </c>
    </row>
    <row r="16" spans="1:28" x14ac:dyDescent="0.25">
      <c r="A16" s="1" t="s">
        <v>8</v>
      </c>
      <c r="B16">
        <v>3</v>
      </c>
      <c r="C16">
        <v>8</v>
      </c>
      <c r="D16">
        <v>506</v>
      </c>
      <c r="E16">
        <v>18.579999999999998</v>
      </c>
      <c r="F16" s="47">
        <v>3.6789999999999998</v>
      </c>
      <c r="G16">
        <v>5.5247999999999999</v>
      </c>
      <c r="H16">
        <v>0.59209999999999996</v>
      </c>
      <c r="I16" s="19">
        <f t="shared" si="2"/>
        <v>487.42</v>
      </c>
      <c r="J16">
        <f>SUM(G16:G20)</f>
        <v>102.9658</v>
      </c>
      <c r="K16">
        <f>SUM(H16:H19)</f>
        <v>83.353099999999998</v>
      </c>
      <c r="L16">
        <f t="shared" si="11"/>
        <v>186.31889999999999</v>
      </c>
      <c r="M16">
        <f t="shared" si="3"/>
        <v>-1.2999999999976808E-2</v>
      </c>
      <c r="N16">
        <f t="shared" si="12"/>
        <v>0.17199999999999971</v>
      </c>
      <c r="O16">
        <f t="shared" si="13"/>
        <v>2.755694298559995</v>
      </c>
      <c r="P16">
        <f t="shared" si="14"/>
        <v>-2.7686942985599718</v>
      </c>
      <c r="Q16">
        <f t="shared" si="0"/>
        <v>319.68110000000001</v>
      </c>
      <c r="R16">
        <f t="shared" si="15"/>
        <v>199.16416249842004</v>
      </c>
      <c r="S16">
        <f t="shared" si="5"/>
        <v>120.51693750157997</v>
      </c>
      <c r="T16">
        <f t="shared" si="6"/>
        <v>449.82688505286376</v>
      </c>
      <c r="V16">
        <f t="shared" si="1"/>
        <v>1.7157738694249485</v>
      </c>
      <c r="W16">
        <f t="shared" si="7"/>
        <v>1.9342749000000004</v>
      </c>
      <c r="X16">
        <f t="shared" si="7"/>
        <v>1.4458602919577073</v>
      </c>
      <c r="Y16">
        <f t="shared" si="8"/>
        <v>71.067584135712792</v>
      </c>
      <c r="Z16">
        <f t="shared" si="9"/>
        <v>44.275735647729064</v>
      </c>
      <c r="AA16">
        <f t="shared" si="10"/>
        <v>26.791848487983728</v>
      </c>
    </row>
    <row r="17" spans="1:27" x14ac:dyDescent="0.25">
      <c r="A17" s="1" t="s">
        <v>8</v>
      </c>
      <c r="B17">
        <v>3</v>
      </c>
      <c r="C17">
        <v>9</v>
      </c>
      <c r="D17">
        <v>470</v>
      </c>
      <c r="E17">
        <v>18.888000000000002</v>
      </c>
      <c r="F17" s="47">
        <v>3.8879999999999999</v>
      </c>
      <c r="G17">
        <v>6.7428999999999997</v>
      </c>
      <c r="I17" s="19">
        <f t="shared" si="2"/>
        <v>451.11200000000002</v>
      </c>
      <c r="J17">
        <f>SUM(G17:G20)</f>
        <v>97.441000000000003</v>
      </c>
      <c r="K17">
        <f>SUM(H17:H19)</f>
        <v>82.760999999999996</v>
      </c>
      <c r="L17">
        <f t="shared" si="11"/>
        <v>180.202</v>
      </c>
      <c r="M17">
        <f t="shared" si="3"/>
        <v>17.420000000000016</v>
      </c>
      <c r="N17">
        <f t="shared" si="12"/>
        <v>0.20900000000000007</v>
      </c>
      <c r="O17">
        <f t="shared" si="13"/>
        <v>3.1688202964000012</v>
      </c>
      <c r="P17">
        <f t="shared" si="14"/>
        <v>14.251179703600014</v>
      </c>
      <c r="Q17">
        <f t="shared" si="0"/>
        <v>289.798</v>
      </c>
      <c r="R17">
        <f t="shared" si="15"/>
        <v>180.04853708180005</v>
      </c>
      <c r="S17">
        <f t="shared" si="5"/>
        <v>109.74946291819995</v>
      </c>
      <c r="T17">
        <f t="shared" si="6"/>
        <v>435.05894646381103</v>
      </c>
      <c r="V17">
        <f t="shared" si="1"/>
        <v>1.6081841488995683</v>
      </c>
      <c r="W17">
        <f t="shared" si="7"/>
        <v>1.8477698000000005</v>
      </c>
      <c r="X17">
        <f t="shared" si="7"/>
        <v>1.3261012181848935</v>
      </c>
      <c r="Y17">
        <f t="shared" si="8"/>
        <v>66.611203460013414</v>
      </c>
      <c r="Z17">
        <f t="shared" si="9"/>
        <v>41.384860268992725</v>
      </c>
      <c r="AA17">
        <f t="shared" si="10"/>
        <v>25.226343191020696</v>
      </c>
    </row>
    <row r="18" spans="1:27" x14ac:dyDescent="0.25">
      <c r="A18" s="1" t="s">
        <v>8</v>
      </c>
      <c r="B18">
        <v>3</v>
      </c>
      <c r="C18">
        <v>10</v>
      </c>
      <c r="D18">
        <v>430</v>
      </c>
      <c r="E18">
        <v>24.53</v>
      </c>
      <c r="F18" s="47">
        <v>4.133</v>
      </c>
      <c r="G18">
        <v>9.2510999999999992</v>
      </c>
      <c r="I18" s="19">
        <f t="shared" si="2"/>
        <v>405.47</v>
      </c>
      <c r="J18">
        <f>SUM(G18:G20)</f>
        <v>90.698099999999997</v>
      </c>
      <c r="K18">
        <f>SUM(H18:H19)</f>
        <v>82.760999999999996</v>
      </c>
      <c r="L18">
        <f t="shared" si="11"/>
        <v>173.45909999999998</v>
      </c>
      <c r="M18">
        <f t="shared" si="3"/>
        <v>21.112000000000023</v>
      </c>
      <c r="N18">
        <f t="shared" si="12"/>
        <v>0.24500000000000011</v>
      </c>
      <c r="O18">
        <f t="shared" si="13"/>
        <v>3.4575929682000015</v>
      </c>
      <c r="P18">
        <f t="shared" si="14"/>
        <v>17.654407031800023</v>
      </c>
      <c r="Q18">
        <f t="shared" si="0"/>
        <v>256.54090000000002</v>
      </c>
      <c r="R18">
        <f t="shared" si="15"/>
        <v>158.39192391783004</v>
      </c>
      <c r="S18">
        <f t="shared" si="5"/>
        <v>98.14897608216998</v>
      </c>
      <c r="T18">
        <f t="shared" si="6"/>
        <v>418.77966560060844</v>
      </c>
      <c r="V18">
        <f t="shared" si="1"/>
        <v>1.4789705469473786</v>
      </c>
      <c r="W18">
        <f t="shared" si="7"/>
        <v>1.7463643000000004</v>
      </c>
      <c r="X18">
        <f t="shared" si="7"/>
        <v>1.1859326987611312</v>
      </c>
      <c r="Y18">
        <f t="shared" si="8"/>
        <v>61.259158711078378</v>
      </c>
      <c r="Z18">
        <f t="shared" si="9"/>
        <v>37.822257604286101</v>
      </c>
      <c r="AA18">
        <f t="shared" si="10"/>
        <v>23.436901106792273</v>
      </c>
    </row>
    <row r="19" spans="1:27" x14ac:dyDescent="0.25">
      <c r="A19" s="1" t="s">
        <v>8</v>
      </c>
      <c r="B19">
        <v>3</v>
      </c>
      <c r="C19">
        <v>11</v>
      </c>
      <c r="D19">
        <v>372</v>
      </c>
      <c r="F19" s="47">
        <v>4.93</v>
      </c>
      <c r="G19">
        <v>81.447000000000003</v>
      </c>
      <c r="H19">
        <v>82.760999999999996</v>
      </c>
      <c r="I19" s="19">
        <f t="shared" si="2"/>
        <v>372</v>
      </c>
      <c r="J19">
        <f>G19</f>
        <v>81.447000000000003</v>
      </c>
      <c r="K19">
        <f>H19</f>
        <v>82.760999999999996</v>
      </c>
      <c r="L19">
        <f>SUM(J19:K19)</f>
        <v>164.208</v>
      </c>
      <c r="M19">
        <f t="shared" si="3"/>
        <v>33.470000000000027</v>
      </c>
      <c r="N19">
        <f t="shared" si="12"/>
        <v>0.79699999999999971</v>
      </c>
      <c r="O19">
        <f>N19*$F$2*K19</f>
        <v>10.263456445199996</v>
      </c>
      <c r="P19">
        <f t="shared" si="14"/>
        <v>23.206543554800032</v>
      </c>
      <c r="Q19">
        <f t="shared" si="0"/>
        <v>207.792</v>
      </c>
      <c r="R19">
        <f t="shared" si="15"/>
        <v>115.36853524200001</v>
      </c>
      <c r="S19">
        <f t="shared" si="5"/>
        <v>92.423464757999994</v>
      </c>
      <c r="T19">
        <f t="shared" si="6"/>
        <v>396.44487564471808</v>
      </c>
      <c r="V19">
        <f t="shared" si="1"/>
        <v>1.2654194679918154</v>
      </c>
      <c r="W19">
        <f>R19/K19</f>
        <v>1.3939963901112844</v>
      </c>
      <c r="X19">
        <f>S19/J19</f>
        <v>1.1347681898412463</v>
      </c>
      <c r="Y19">
        <f t="shared" si="8"/>
        <v>52.413844336385594</v>
      </c>
      <c r="Z19">
        <f t="shared" si="9"/>
        <v>29.100776004326462</v>
      </c>
      <c r="AA19">
        <f t="shared" si="10"/>
        <v>23.313068332059135</v>
      </c>
    </row>
    <row r="20" spans="1:27" x14ac:dyDescent="0.25">
      <c r="C20" s="19"/>
      <c r="D20" s="19"/>
      <c r="E20" s="19"/>
      <c r="F20" s="19"/>
      <c r="H20" s="19"/>
      <c r="I20" s="19"/>
    </row>
    <row r="21" spans="1:27" x14ac:dyDescent="0.25">
      <c r="C21" s="19"/>
      <c r="D21" s="19"/>
      <c r="E21" s="19"/>
      <c r="F21" s="19"/>
      <c r="G21" s="19"/>
      <c r="H21" s="19"/>
      <c r="I21" s="19"/>
    </row>
    <row r="22" spans="1:27" ht="15" customHeight="1" x14ac:dyDescent="0.25">
      <c r="C22" s="19"/>
      <c r="D22" s="19"/>
      <c r="E22" s="19"/>
      <c r="F22" s="19"/>
      <c r="G22" s="19"/>
      <c r="H22" s="19"/>
      <c r="I22" s="19"/>
    </row>
    <row r="27" spans="1:27" x14ac:dyDescent="0.25">
      <c r="I27" s="15" t="s">
        <v>91</v>
      </c>
      <c r="J27" s="16"/>
      <c r="K27" s="17" t="s">
        <v>102</v>
      </c>
      <c r="L27" s="17"/>
      <c r="M27" s="17"/>
      <c r="N27" s="17"/>
      <c r="O27" s="17"/>
      <c r="P27" s="17" t="s">
        <v>20</v>
      </c>
      <c r="Q27" s="18"/>
    </row>
    <row r="28" spans="1:27" ht="27" customHeight="1" x14ac:dyDescent="0.25">
      <c r="I28" s="67" t="s">
        <v>99</v>
      </c>
      <c r="J28" s="68"/>
      <c r="K28" s="29" t="s">
        <v>87</v>
      </c>
      <c r="L28" s="29"/>
      <c r="M28" s="29"/>
      <c r="N28" s="29"/>
      <c r="O28" s="28">
        <f>SLOPE(Y9:Y13,F9:F13)</f>
        <v>-4.9646964646187044</v>
      </c>
      <c r="P28" s="20" t="s">
        <v>100</v>
      </c>
      <c r="Q28" s="21"/>
      <c r="T28" t="s">
        <v>109</v>
      </c>
    </row>
    <row r="29" spans="1:27" x14ac:dyDescent="0.25">
      <c r="I29" s="67"/>
      <c r="J29" s="68"/>
      <c r="K29" s="29" t="s">
        <v>88</v>
      </c>
      <c r="L29" s="29"/>
      <c r="M29" s="29"/>
      <c r="N29" s="29"/>
      <c r="O29" s="28">
        <f>SLOPE(Z9:Z13,F9:F13)</f>
        <v>-4.1529170965198539</v>
      </c>
      <c r="P29" s="20" t="s">
        <v>100</v>
      </c>
      <c r="Q29" s="21"/>
    </row>
    <row r="30" spans="1:27" x14ac:dyDescent="0.25">
      <c r="I30" s="67"/>
      <c r="J30" s="68"/>
      <c r="K30" s="29" t="s">
        <v>89</v>
      </c>
      <c r="L30" s="29"/>
      <c r="M30" s="29"/>
      <c r="N30" s="29"/>
      <c r="O30" s="28">
        <f>SLOPE(AA9:AA12,F9:F12)</f>
        <v>-0.44375641797973425</v>
      </c>
      <c r="P30" s="20" t="s">
        <v>100</v>
      </c>
      <c r="Q30" s="21"/>
    </row>
    <row r="31" spans="1:27" x14ac:dyDescent="0.25">
      <c r="I31" s="67"/>
      <c r="J31" s="68"/>
      <c r="K31" s="22"/>
      <c r="L31" s="22"/>
      <c r="M31" s="22"/>
      <c r="N31" s="22"/>
      <c r="O31" s="28"/>
      <c r="P31" s="19"/>
      <c r="Q31" s="21"/>
    </row>
    <row r="32" spans="1:27" x14ac:dyDescent="0.25">
      <c r="I32" s="67"/>
      <c r="J32" s="68"/>
      <c r="K32" s="29" t="s">
        <v>87</v>
      </c>
      <c r="L32" s="29"/>
      <c r="M32" s="29"/>
      <c r="N32" s="29"/>
      <c r="O32" s="28">
        <f>SLOPE(V9:V13,F9:F13)</f>
        <v>-0.11986191126677943</v>
      </c>
      <c r="P32" s="19" t="s">
        <v>101</v>
      </c>
      <c r="Q32" s="21"/>
    </row>
    <row r="33" spans="9:21" x14ac:dyDescent="0.25">
      <c r="I33" s="67"/>
      <c r="J33" s="68"/>
      <c r="K33" s="29" t="s">
        <v>88</v>
      </c>
      <c r="L33" s="29"/>
      <c r="M33" s="29"/>
      <c r="N33" s="29"/>
      <c r="O33" s="28">
        <f>SLOPE(W9:W13,F9:F13)</f>
        <v>-0.15560000000000007</v>
      </c>
      <c r="P33" s="19" t="s">
        <v>101</v>
      </c>
      <c r="Q33" s="21"/>
    </row>
    <row r="34" spans="9:21" x14ac:dyDescent="0.25">
      <c r="I34" s="67"/>
      <c r="J34" s="68"/>
      <c r="K34" s="29" t="s">
        <v>89</v>
      </c>
      <c r="L34" s="29"/>
      <c r="M34" s="29"/>
      <c r="N34" s="29"/>
      <c r="O34" s="28">
        <f>SLOPE(X9:X12,F9:F12)</f>
        <v>-5.1071759875016977E-2</v>
      </c>
      <c r="P34" s="19" t="s">
        <v>101</v>
      </c>
      <c r="Q34" s="21"/>
      <c r="T34" t="s">
        <v>128</v>
      </c>
    </row>
    <row r="35" spans="9:21" x14ac:dyDescent="0.25">
      <c r="I35" s="67"/>
      <c r="J35" s="68"/>
      <c r="K35" s="19"/>
      <c r="L35" s="19"/>
      <c r="M35" s="19"/>
      <c r="N35" s="19"/>
      <c r="O35" s="28"/>
      <c r="P35" s="19"/>
      <c r="Q35" s="21"/>
      <c r="S35" t="s">
        <v>125</v>
      </c>
      <c r="T35">
        <v>2.66</v>
      </c>
      <c r="U35">
        <f>(-0.1556*T35)+2.6537</f>
        <v>2.2398040000000004</v>
      </c>
    </row>
    <row r="36" spans="9:21" x14ac:dyDescent="0.25">
      <c r="I36" s="67"/>
      <c r="J36" s="68"/>
      <c r="K36" s="29" t="s">
        <v>103</v>
      </c>
      <c r="L36" s="29"/>
      <c r="M36" s="29"/>
      <c r="N36" s="29"/>
      <c r="O36" s="28">
        <f>INTERCEPT(V9:V13,F9:F13)</f>
        <v>2.4227261113392067</v>
      </c>
      <c r="P36" s="19" t="s">
        <v>106</v>
      </c>
      <c r="Q36" s="21"/>
      <c r="S36" t="s">
        <v>126</v>
      </c>
      <c r="T36">
        <v>2.57</v>
      </c>
      <c r="U36">
        <f>(-0.0672*T36)+2.1027</f>
        <v>1.929996</v>
      </c>
    </row>
    <row r="37" spans="9:21" x14ac:dyDescent="0.25">
      <c r="I37" s="67"/>
      <c r="J37" s="68"/>
      <c r="K37" s="29" t="s">
        <v>90</v>
      </c>
      <c r="L37" s="29"/>
      <c r="M37" s="29"/>
      <c r="N37" s="29"/>
      <c r="O37" s="28">
        <f>INTERCEPT(W9:W13,F9:F13)</f>
        <v>2.6537000000000006</v>
      </c>
      <c r="P37" s="19" t="s">
        <v>104</v>
      </c>
      <c r="Q37" s="21"/>
    </row>
    <row r="38" spans="9:21" x14ac:dyDescent="0.25">
      <c r="I38" s="23"/>
      <c r="J38" s="19"/>
      <c r="K38" s="29" t="s">
        <v>92</v>
      </c>
      <c r="L38" s="29"/>
      <c r="M38" s="29"/>
      <c r="N38" s="29"/>
      <c r="O38" s="28">
        <f>INTERCEPT(X9:X13,F9:F13)</f>
        <v>2.1026782373515771</v>
      </c>
      <c r="P38" s="19" t="s">
        <v>105</v>
      </c>
      <c r="Q38" s="21"/>
    </row>
    <row r="39" spans="9:21" x14ac:dyDescent="0.25">
      <c r="I39" s="23"/>
      <c r="J39" s="19"/>
      <c r="K39" s="22"/>
      <c r="L39" s="22"/>
      <c r="M39" s="22"/>
      <c r="N39" s="22"/>
      <c r="O39" s="28"/>
      <c r="P39" s="19"/>
      <c r="Q39" s="21"/>
    </row>
    <row r="40" spans="9:21" x14ac:dyDescent="0.25">
      <c r="I40" s="23"/>
      <c r="J40" s="19"/>
      <c r="K40" s="22" t="s">
        <v>93</v>
      </c>
      <c r="L40" s="22"/>
      <c r="M40" s="22"/>
      <c r="N40" s="22"/>
      <c r="O40" s="28">
        <f>Y9</f>
        <v>100.30234256315114</v>
      </c>
      <c r="P40" s="19"/>
      <c r="Q40" s="21"/>
    </row>
    <row r="41" spans="9:21" x14ac:dyDescent="0.25">
      <c r="I41" s="23"/>
      <c r="J41" s="19"/>
      <c r="K41" s="22" t="s">
        <v>96</v>
      </c>
      <c r="L41" s="22"/>
      <c r="M41" s="22"/>
      <c r="N41" s="22"/>
      <c r="O41" s="28">
        <f>Z9</f>
        <v>63.672594238616576</v>
      </c>
      <c r="P41" s="19"/>
      <c r="Q41" s="21"/>
    </row>
    <row r="42" spans="9:21" x14ac:dyDescent="0.25">
      <c r="I42" s="23"/>
      <c r="J42" s="19"/>
      <c r="K42" s="22" t="s">
        <v>97</v>
      </c>
      <c r="L42" s="22"/>
      <c r="M42" s="22"/>
      <c r="N42" s="22"/>
      <c r="O42" s="28">
        <f>AA9</f>
        <v>36.62974832453456</v>
      </c>
      <c r="P42" s="19"/>
      <c r="Q42" s="21"/>
    </row>
    <row r="43" spans="9:21" x14ac:dyDescent="0.25">
      <c r="I43" s="23"/>
      <c r="J43" s="19"/>
      <c r="K43" s="22"/>
      <c r="L43" s="22"/>
      <c r="M43" s="22"/>
      <c r="N43" s="22"/>
      <c r="O43" s="28"/>
      <c r="P43" s="19"/>
      <c r="Q43" s="21"/>
    </row>
    <row r="44" spans="9:21" x14ac:dyDescent="0.25">
      <c r="I44" s="23"/>
      <c r="J44" s="19"/>
      <c r="K44" s="22" t="s">
        <v>94</v>
      </c>
      <c r="L44" s="22"/>
      <c r="M44" s="22"/>
      <c r="N44" s="22"/>
      <c r="O44" s="28">
        <f>AVERAGE(Y12:Y13)</f>
        <v>87.463579917812609</v>
      </c>
      <c r="P44" s="19"/>
      <c r="Q44" s="21"/>
    </row>
    <row r="45" spans="9:21" x14ac:dyDescent="0.25">
      <c r="I45" s="23"/>
      <c r="J45" s="19"/>
      <c r="K45" s="22" t="s">
        <v>95</v>
      </c>
      <c r="L45" s="22"/>
      <c r="M45" s="22"/>
      <c r="N45" s="22"/>
      <c r="O45" s="28">
        <f>AVERAGE(Z12:Z13)</f>
        <v>52.825145586836157</v>
      </c>
      <c r="P45" s="19"/>
      <c r="Q45" s="21"/>
    </row>
    <row r="46" spans="9:21" x14ac:dyDescent="0.25">
      <c r="I46" s="24"/>
      <c r="J46" s="25"/>
      <c r="K46" s="26" t="s">
        <v>98</v>
      </c>
      <c r="L46" s="26"/>
      <c r="M46" s="26"/>
      <c r="N46" s="26"/>
      <c r="O46" s="28">
        <f>AVERAGE(AA12:AA13)</f>
        <v>34.638434330976452</v>
      </c>
      <c r="P46" s="25"/>
      <c r="Q46" s="27"/>
    </row>
  </sheetData>
  <mergeCells count="7">
    <mergeCell ref="W7:AB7"/>
    <mergeCell ref="I28:J37"/>
    <mergeCell ref="E1:F1"/>
    <mergeCell ref="K1:M3"/>
    <mergeCell ref="C2:D2"/>
    <mergeCell ref="G7:H7"/>
    <mergeCell ref="I7:S7"/>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6"/>
  <sheetViews>
    <sheetView zoomScale="87" zoomScaleNormal="87" workbookViewId="0">
      <selection activeCell="V9" sqref="V9:AA18"/>
    </sheetView>
  </sheetViews>
  <sheetFormatPr defaultRowHeight="15" x14ac:dyDescent="0.25"/>
  <cols>
    <col min="1" max="1" width="11.7109375" customWidth="1"/>
    <col min="4" max="4" width="9.28515625" customWidth="1"/>
    <col min="5" max="5" width="30.5703125" customWidth="1"/>
    <col min="6" max="6" width="12.5703125" customWidth="1"/>
    <col min="7" max="7" width="16.140625" customWidth="1"/>
    <col min="8" max="8" width="16.85546875" customWidth="1"/>
    <col min="9" max="9" width="16.28515625" customWidth="1"/>
    <col min="10" max="10" width="18" customWidth="1"/>
    <col min="11" max="11" width="11.7109375" customWidth="1"/>
    <col min="12" max="12" width="12.7109375" customWidth="1"/>
    <col min="13" max="13" width="12.5703125" customWidth="1"/>
    <col min="14" max="14" width="14.7109375" customWidth="1"/>
    <col min="16" max="16" width="19.140625" bestFit="1" customWidth="1"/>
    <col min="17" max="17" width="17.7109375" customWidth="1"/>
    <col min="18" max="18" width="13.28515625" customWidth="1"/>
    <col min="19" max="20" width="13.5703125" customWidth="1"/>
    <col min="21" max="21" width="19.5703125" customWidth="1"/>
    <col min="22" max="22" width="15.42578125" customWidth="1"/>
    <col min="23" max="23" width="13.42578125" customWidth="1"/>
    <col min="24" max="24" width="12" customWidth="1"/>
    <col min="25" max="25" width="12.140625" customWidth="1"/>
  </cols>
  <sheetData>
    <row r="1" spans="1:28" x14ac:dyDescent="0.25">
      <c r="E1" s="69" t="s">
        <v>42</v>
      </c>
      <c r="F1" s="69"/>
      <c r="G1" t="s">
        <v>20</v>
      </c>
      <c r="K1" s="70" t="s">
        <v>19</v>
      </c>
      <c r="L1" s="70"/>
      <c r="M1" s="70"/>
    </row>
    <row r="2" spans="1:28" x14ac:dyDescent="0.25">
      <c r="C2" s="63"/>
      <c r="D2" s="63"/>
      <c r="E2" t="s">
        <v>17</v>
      </c>
      <c r="F2">
        <v>0.15559999999999999</v>
      </c>
      <c r="G2" t="s">
        <v>21</v>
      </c>
      <c r="K2" s="70"/>
      <c r="L2" s="70"/>
      <c r="M2" s="70"/>
    </row>
    <row r="3" spans="1:28" x14ac:dyDescent="0.25">
      <c r="E3" t="s">
        <v>18</v>
      </c>
      <c r="F3">
        <v>0.41389999999999999</v>
      </c>
      <c r="G3" t="s">
        <v>21</v>
      </c>
      <c r="K3" s="70"/>
      <c r="L3" s="70"/>
      <c r="M3" s="70"/>
    </row>
    <row r="4" spans="1:28" x14ac:dyDescent="0.25">
      <c r="E4" t="s">
        <v>29</v>
      </c>
      <c r="F4">
        <v>2.6537000000000002</v>
      </c>
    </row>
    <row r="5" spans="1:28" x14ac:dyDescent="0.25">
      <c r="E5" t="s">
        <v>108</v>
      </c>
      <c r="F5">
        <f>(INTERCEPT(Q9:Q11,F9:F11)/L9)</f>
        <v>2.4034325118376461</v>
      </c>
    </row>
    <row r="7" spans="1:28" x14ac:dyDescent="0.25">
      <c r="D7" s="30" t="s">
        <v>25</v>
      </c>
      <c r="E7" s="30"/>
      <c r="F7" s="30"/>
      <c r="G7" s="64" t="s">
        <v>26</v>
      </c>
      <c r="H7" s="64"/>
      <c r="I7" s="65" t="s">
        <v>13</v>
      </c>
      <c r="J7" s="65"/>
      <c r="K7" s="65"/>
      <c r="L7" s="65"/>
      <c r="M7" s="65"/>
      <c r="N7" s="65"/>
      <c r="O7" s="65"/>
      <c r="P7" s="65"/>
      <c r="Q7" s="65"/>
      <c r="R7" s="65"/>
      <c r="S7" s="65"/>
      <c r="T7" s="2"/>
      <c r="U7" s="5"/>
      <c r="V7" s="5"/>
      <c r="W7" s="66" t="s">
        <v>32</v>
      </c>
      <c r="X7" s="66"/>
      <c r="Y7" s="66"/>
      <c r="Z7" s="66"/>
      <c r="AA7" s="66"/>
      <c r="AB7" s="66"/>
    </row>
    <row r="8" spans="1:28" ht="63" customHeight="1" x14ac:dyDescent="0.25">
      <c r="A8" s="3" t="s">
        <v>3</v>
      </c>
      <c r="B8" s="3" t="s">
        <v>4</v>
      </c>
      <c r="C8" s="3" t="s">
        <v>5</v>
      </c>
      <c r="D8" s="3" t="s">
        <v>6</v>
      </c>
      <c r="E8" s="3" t="s">
        <v>7</v>
      </c>
      <c r="F8" s="4" t="s">
        <v>9</v>
      </c>
      <c r="G8" s="4" t="s">
        <v>14</v>
      </c>
      <c r="H8" s="4" t="s">
        <v>11</v>
      </c>
      <c r="I8" s="4" t="s">
        <v>23</v>
      </c>
      <c r="J8" s="4" t="s">
        <v>10</v>
      </c>
      <c r="K8" s="4" t="s">
        <v>12</v>
      </c>
      <c r="L8" s="4" t="s">
        <v>15</v>
      </c>
      <c r="M8" s="4" t="s">
        <v>24</v>
      </c>
      <c r="N8" s="4" t="s">
        <v>44</v>
      </c>
      <c r="O8" s="4" t="s">
        <v>16</v>
      </c>
      <c r="P8" s="4" t="s">
        <v>22</v>
      </c>
      <c r="Q8" s="4" t="s">
        <v>28</v>
      </c>
      <c r="R8" s="4" t="s">
        <v>27</v>
      </c>
      <c r="S8" s="4" t="s">
        <v>30</v>
      </c>
      <c r="T8" s="4" t="s">
        <v>118</v>
      </c>
      <c r="U8" s="4" t="s">
        <v>107</v>
      </c>
      <c r="V8" s="4" t="s">
        <v>33</v>
      </c>
      <c r="W8" s="4" t="s">
        <v>34</v>
      </c>
      <c r="X8" s="4" t="s">
        <v>31</v>
      </c>
      <c r="Y8" s="4" t="s">
        <v>35</v>
      </c>
      <c r="Z8" s="4" t="s">
        <v>36</v>
      </c>
      <c r="AA8" s="4" t="s">
        <v>37</v>
      </c>
    </row>
    <row r="9" spans="1:28" x14ac:dyDescent="0.25">
      <c r="A9" s="1" t="s">
        <v>8</v>
      </c>
      <c r="B9">
        <v>4</v>
      </c>
      <c r="C9">
        <v>1</v>
      </c>
      <c r="D9">
        <v>796</v>
      </c>
      <c r="E9">
        <v>4.2140000000000004</v>
      </c>
      <c r="F9" s="48">
        <v>0.35</v>
      </c>
      <c r="G9">
        <v>1.4222999999999999</v>
      </c>
      <c r="I9" s="19">
        <f>D9-E9</f>
        <v>791.78599999999994</v>
      </c>
      <c r="J9">
        <f>SUM(G9:G20)</f>
        <v>144.62189999999998</v>
      </c>
      <c r="K9">
        <f>SUM(H9:H19)</f>
        <v>92.322999999999993</v>
      </c>
      <c r="L9">
        <f>SUM(J9:K9)</f>
        <v>236.94489999999996</v>
      </c>
      <c r="N9">
        <v>0</v>
      </c>
      <c r="Q9">
        <f t="shared" ref="Q9:Q18" si="0">D9-L9</f>
        <v>559.05510000000004</v>
      </c>
      <c r="R9">
        <f t="shared" ref="R9:R11" si="1">($F$4*J9)-($F$2*J9*F9)</f>
        <v>375.90702735599996</v>
      </c>
      <c r="S9">
        <f>Q9-R9</f>
        <v>183.14807264400008</v>
      </c>
      <c r="T9">
        <f>J9*$F$4</f>
        <v>383.78313602999998</v>
      </c>
      <c r="U9">
        <f>L9*$F$5</f>
        <v>569.48107617411972</v>
      </c>
      <c r="V9">
        <f t="shared" ref="V9:V18" si="2">Q9/L9</f>
        <v>2.3594308212584449</v>
      </c>
      <c r="W9">
        <f>R9/J9</f>
        <v>2.59924</v>
      </c>
      <c r="X9">
        <f>S9/K9</f>
        <v>1.9837751442652436</v>
      </c>
      <c r="Y9">
        <f>Q9/U9*100</f>
        <v>98.169214639376023</v>
      </c>
      <c r="Z9">
        <f>R9/(U9)*100</f>
        <v>66.008695123183657</v>
      </c>
      <c r="AA9">
        <f>S9/(U9)*100</f>
        <v>32.160519516192366</v>
      </c>
    </row>
    <row r="10" spans="1:28" x14ac:dyDescent="0.25">
      <c r="A10" s="1" t="s">
        <v>8</v>
      </c>
      <c r="B10">
        <v>4</v>
      </c>
      <c r="C10">
        <v>2</v>
      </c>
      <c r="D10">
        <v>726</v>
      </c>
      <c r="E10">
        <v>5.9589999999999996</v>
      </c>
      <c r="F10" s="48">
        <v>2.1859999999999999</v>
      </c>
      <c r="G10">
        <v>1.9686999999999999</v>
      </c>
      <c r="I10" s="19">
        <f t="shared" ref="I10" si="3">D10-E10</f>
        <v>720.04100000000005</v>
      </c>
      <c r="J10">
        <f>SUM(G10:G20)</f>
        <v>143.1996</v>
      </c>
      <c r="K10">
        <f>SUM(H10:H19)</f>
        <v>92.322999999999993</v>
      </c>
      <c r="L10">
        <f>SUM(J10:K10)</f>
        <v>235.52260000000001</v>
      </c>
      <c r="M10">
        <f t="shared" ref="M10:M18" si="4">I9-D10</f>
        <v>65.785999999999945</v>
      </c>
      <c r="N10">
        <f>F10-F9</f>
        <v>1.8359999999999999</v>
      </c>
      <c r="O10">
        <f>N10*$F$2*J10</f>
        <v>40.909490847359997</v>
      </c>
      <c r="P10">
        <f>M10-O10</f>
        <v>24.876509152639947</v>
      </c>
      <c r="Q10">
        <f t="shared" si="0"/>
        <v>490.47739999999999</v>
      </c>
      <c r="R10">
        <f t="shared" si="1"/>
        <v>331.30063745664</v>
      </c>
      <c r="S10">
        <f t="shared" ref="S10:S18" si="5">Q10-R10</f>
        <v>159.17676254335998</v>
      </c>
      <c r="T10">
        <f t="shared" ref="T10:T18" si="6">J10*$F$4</f>
        <v>380.00877852000002</v>
      </c>
      <c r="U10">
        <f t="shared" ref="U10" si="7">L10*$F$5</f>
        <v>566.06267411253316</v>
      </c>
      <c r="V10">
        <f t="shared" si="2"/>
        <v>2.0825067318380484</v>
      </c>
      <c r="W10">
        <f>R10/J10</f>
        <v>2.3135583999999998</v>
      </c>
      <c r="X10">
        <f>S10/K10</f>
        <v>1.7241290094923258</v>
      </c>
      <c r="Y10">
        <f>(Q10/U10)*100</f>
        <v>86.647189866204315</v>
      </c>
      <c r="Z10">
        <f t="shared" ref="Z10:Z18" si="8">R10/(U10)*100</f>
        <v>58.527200716077864</v>
      </c>
      <c r="AA10">
        <f t="shared" ref="AA10:AA18" si="9">S10/(U10)*100</f>
        <v>28.11998915012645</v>
      </c>
    </row>
    <row r="11" spans="1:28" x14ac:dyDescent="0.25">
      <c r="A11" s="1" t="s">
        <v>8</v>
      </c>
      <c r="B11">
        <v>4</v>
      </c>
      <c r="C11">
        <v>3</v>
      </c>
      <c r="D11">
        <v>698</v>
      </c>
      <c r="E11">
        <v>7.45</v>
      </c>
      <c r="F11" s="48">
        <v>3.161</v>
      </c>
      <c r="G11">
        <v>2.3313999999999999</v>
      </c>
      <c r="I11" s="19">
        <f t="shared" ref="I11:I18" si="10">D11-E11</f>
        <v>690.55</v>
      </c>
      <c r="J11">
        <f>SUM(G11:G19)</f>
        <v>141.23089999999999</v>
      </c>
      <c r="K11">
        <f>SUM(H11:H18)</f>
        <v>92.322999999999993</v>
      </c>
      <c r="L11">
        <f t="shared" ref="L11:L17" si="11">SUM(J11:K11)</f>
        <v>233.5539</v>
      </c>
      <c r="M11">
        <f t="shared" si="4"/>
        <v>22.041000000000054</v>
      </c>
      <c r="N11">
        <f t="shared" ref="N11:N18" si="12">F11-F10</f>
        <v>0.97500000000000009</v>
      </c>
      <c r="O11">
        <f t="shared" ref="O11" si="13">N11*$F$2*J11</f>
        <v>21.426139839000001</v>
      </c>
      <c r="P11">
        <f t="shared" ref="P11:P18" si="14">M11-O11</f>
        <v>0.61486016100005259</v>
      </c>
      <c r="Q11">
        <f t="shared" si="0"/>
        <v>464.4461</v>
      </c>
      <c r="R11">
        <f t="shared" si="1"/>
        <v>305.31979519556</v>
      </c>
      <c r="S11">
        <f t="shared" si="5"/>
        <v>159.12630480444</v>
      </c>
      <c r="T11">
        <f t="shared" si="6"/>
        <v>374.78443933</v>
      </c>
      <c r="U11">
        <f t="shared" ref="U11:U18" si="15">L11*$F$5</f>
        <v>561.33103652647844</v>
      </c>
      <c r="V11">
        <f t="shared" si="2"/>
        <v>1.9886034872464129</v>
      </c>
      <c r="W11">
        <f t="shared" ref="W11:W17" si="16">R11/J11</f>
        <v>2.1618484000000002</v>
      </c>
      <c r="X11">
        <f t="shared" ref="X11:X17" si="17">S11/K11</f>
        <v>1.7235824746210588</v>
      </c>
      <c r="Y11">
        <f t="shared" ref="Y11:Y18" si="18">(Q11/U11)*100</f>
        <v>82.740142585736336</v>
      </c>
      <c r="Z11">
        <f t="shared" si="8"/>
        <v>54.392110061271801</v>
      </c>
      <c r="AA11">
        <f t="shared" si="9"/>
        <v>28.348032524464532</v>
      </c>
    </row>
    <row r="12" spans="1:28" x14ac:dyDescent="0.25">
      <c r="A12" s="1" t="s">
        <v>8</v>
      </c>
      <c r="B12">
        <v>4</v>
      </c>
      <c r="C12">
        <v>4</v>
      </c>
      <c r="D12">
        <v>676</v>
      </c>
      <c r="E12">
        <v>1.794</v>
      </c>
      <c r="F12" s="47">
        <v>3.431</v>
      </c>
      <c r="G12">
        <v>0.62829999999999997</v>
      </c>
      <c r="I12" s="19">
        <f t="shared" si="10"/>
        <v>674.20600000000002</v>
      </c>
      <c r="J12">
        <f>SUM(G12:G19)</f>
        <v>138.89949999999999</v>
      </c>
      <c r="K12">
        <f>SUM(H12:H18)</f>
        <v>92.322999999999993</v>
      </c>
      <c r="L12">
        <f t="shared" si="11"/>
        <v>231.22249999999997</v>
      </c>
      <c r="M12">
        <f t="shared" si="4"/>
        <v>14.549999999999955</v>
      </c>
      <c r="N12">
        <f t="shared" si="12"/>
        <v>0.27</v>
      </c>
      <c r="O12">
        <f>N12*$F$2*J12</f>
        <v>5.835445794</v>
      </c>
      <c r="P12">
        <f t="shared" si="14"/>
        <v>8.7145542059999546</v>
      </c>
      <c r="Q12">
        <f t="shared" si="0"/>
        <v>444.77750000000003</v>
      </c>
      <c r="R12">
        <f>($F$4*J12)-(3.11*$F$2*J12)-($F$3*((ABS(F12)-3.11)*J12))</f>
        <v>282.92746122894999</v>
      </c>
      <c r="S12">
        <f t="shared" si="5"/>
        <v>161.85003877105004</v>
      </c>
      <c r="T12">
        <f t="shared" si="6"/>
        <v>368.59760315</v>
      </c>
      <c r="U12">
        <f t="shared" si="15"/>
        <v>555.72767396838003</v>
      </c>
      <c r="V12">
        <f t="shared" si="2"/>
        <v>1.9235909135140399</v>
      </c>
      <c r="W12">
        <f t="shared" si="16"/>
        <v>2.0369221</v>
      </c>
      <c r="X12">
        <f t="shared" si="17"/>
        <v>1.753084700140269</v>
      </c>
      <c r="Y12">
        <f t="shared" si="18"/>
        <v>80.035154057364281</v>
      </c>
      <c r="Z12">
        <f t="shared" si="8"/>
        <v>50.911170071593034</v>
      </c>
      <c r="AA12">
        <f t="shared" si="9"/>
        <v>29.123983985771247</v>
      </c>
    </row>
    <row r="13" spans="1:28" x14ac:dyDescent="0.25">
      <c r="A13" s="1" t="s">
        <v>8</v>
      </c>
      <c r="B13">
        <v>4</v>
      </c>
      <c r="C13">
        <v>5</v>
      </c>
      <c r="D13">
        <v>654</v>
      </c>
      <c r="E13">
        <v>3.5880000000000001</v>
      </c>
      <c r="F13" s="47">
        <v>3.673</v>
      </c>
      <c r="G13">
        <v>1.3137000000000001</v>
      </c>
      <c r="I13" s="19">
        <f t="shared" si="10"/>
        <v>650.41200000000003</v>
      </c>
      <c r="J13">
        <f>SUM(G13:G19)</f>
        <v>138.27119999999999</v>
      </c>
      <c r="K13">
        <f>SUM(H13:H18)</f>
        <v>92.322999999999993</v>
      </c>
      <c r="L13">
        <f t="shared" si="11"/>
        <v>230.5942</v>
      </c>
      <c r="M13">
        <f t="shared" si="4"/>
        <v>20.206000000000017</v>
      </c>
      <c r="N13">
        <f t="shared" si="12"/>
        <v>0.24199999999999999</v>
      </c>
      <c r="O13">
        <f t="shared" ref="O13:O17" si="19">N13*$F$2*J13</f>
        <v>5.2066296902399989</v>
      </c>
      <c r="P13">
        <f t="shared" si="14"/>
        <v>14.999370309760018</v>
      </c>
      <c r="Q13">
        <f t="shared" si="0"/>
        <v>423.4058</v>
      </c>
      <c r="R13">
        <f t="shared" ref="R13:R17" si="20">($F$4*J13)-(3.11*$F$2*J13)-($F$3*((ABS(F13)-3.11)*J13))</f>
        <v>267.79789425095998</v>
      </c>
      <c r="S13">
        <f t="shared" si="5"/>
        <v>155.60790574904001</v>
      </c>
      <c r="T13">
        <f t="shared" si="6"/>
        <v>366.93028343999998</v>
      </c>
      <c r="U13">
        <f t="shared" si="15"/>
        <v>554.21759732119256</v>
      </c>
      <c r="V13">
        <f t="shared" si="2"/>
        <v>1.836151126090769</v>
      </c>
      <c r="W13">
        <f t="shared" si="16"/>
        <v>1.9367582999999999</v>
      </c>
      <c r="X13">
        <f t="shared" si="17"/>
        <v>1.6854728047078196</v>
      </c>
      <c r="Y13">
        <f t="shared" si="18"/>
        <v>76.397032870578158</v>
      </c>
      <c r="Z13">
        <f t="shared" si="8"/>
        <v>48.31999119936998</v>
      </c>
      <c r="AA13">
        <f t="shared" si="9"/>
        <v>28.077041671208185</v>
      </c>
    </row>
    <row r="14" spans="1:28" x14ac:dyDescent="0.25">
      <c r="A14" s="1" t="s">
        <v>8</v>
      </c>
      <c r="B14">
        <v>4</v>
      </c>
      <c r="C14">
        <v>6</v>
      </c>
      <c r="D14">
        <v>622</v>
      </c>
      <c r="E14">
        <v>4.3860000000000001</v>
      </c>
      <c r="F14" s="47">
        <v>3.8780000000000001</v>
      </c>
      <c r="G14">
        <v>1.6231</v>
      </c>
      <c r="I14" s="19">
        <f t="shared" si="10"/>
        <v>617.61400000000003</v>
      </c>
      <c r="J14">
        <f>SUM(G14:G19)</f>
        <v>136.95750000000001</v>
      </c>
      <c r="K14">
        <f>SUM(H14:H18)</f>
        <v>92.322999999999993</v>
      </c>
      <c r="L14">
        <f t="shared" si="11"/>
        <v>229.28050000000002</v>
      </c>
      <c r="M14">
        <f t="shared" si="4"/>
        <v>28.412000000000035</v>
      </c>
      <c r="N14">
        <f t="shared" si="12"/>
        <v>0.20500000000000007</v>
      </c>
      <c r="O14">
        <f t="shared" si="19"/>
        <v>4.3686703350000018</v>
      </c>
      <c r="P14">
        <f t="shared" si="14"/>
        <v>24.043329665000034</v>
      </c>
      <c r="Q14">
        <f t="shared" si="0"/>
        <v>392.71949999999998</v>
      </c>
      <c r="R14">
        <f t="shared" si="20"/>
        <v>253.632799476</v>
      </c>
      <c r="S14">
        <f t="shared" si="5"/>
        <v>139.08670052399998</v>
      </c>
      <c r="T14">
        <f t="shared" si="6"/>
        <v>363.44411775000003</v>
      </c>
      <c r="U14">
        <f t="shared" si="15"/>
        <v>551.06020803039144</v>
      </c>
      <c r="V14">
        <f t="shared" si="2"/>
        <v>1.7128342794088462</v>
      </c>
      <c r="W14">
        <f t="shared" si="16"/>
        <v>1.8519087999999999</v>
      </c>
      <c r="X14">
        <f t="shared" si="17"/>
        <v>1.5065227573194111</v>
      </c>
      <c r="Y14">
        <f t="shared" si="18"/>
        <v>71.266169154848711</v>
      </c>
      <c r="Z14">
        <f t="shared" si="8"/>
        <v>46.026331747403532</v>
      </c>
      <c r="AA14">
        <f t="shared" si="9"/>
        <v>25.239837407445183</v>
      </c>
    </row>
    <row r="15" spans="1:28" x14ac:dyDescent="0.25">
      <c r="A15" s="1" t="s">
        <v>8</v>
      </c>
      <c r="B15">
        <v>4</v>
      </c>
      <c r="C15">
        <v>7</v>
      </c>
      <c r="D15">
        <v>575</v>
      </c>
      <c r="E15">
        <v>4.0369999999999999</v>
      </c>
      <c r="F15" s="47">
        <v>4.1369999999999996</v>
      </c>
      <c r="G15">
        <v>1.6305000000000001</v>
      </c>
      <c r="I15" s="19">
        <f t="shared" si="10"/>
        <v>570.96299999999997</v>
      </c>
      <c r="J15">
        <f>SUM(G15:G19)</f>
        <v>135.33439999999999</v>
      </c>
      <c r="K15">
        <f>SUM(H15:H18)</f>
        <v>92.322999999999993</v>
      </c>
      <c r="L15">
        <f t="shared" si="11"/>
        <v>227.6574</v>
      </c>
      <c r="M15">
        <f t="shared" si="4"/>
        <v>42.614000000000033</v>
      </c>
      <c r="N15">
        <f t="shared" si="12"/>
        <v>0.25899999999999945</v>
      </c>
      <c r="O15">
        <f t="shared" si="19"/>
        <v>5.4540304537599873</v>
      </c>
      <c r="P15">
        <f t="shared" si="14"/>
        <v>37.159969546240049</v>
      </c>
      <c r="Q15">
        <f t="shared" si="0"/>
        <v>347.3426</v>
      </c>
      <c r="R15">
        <f t="shared" si="20"/>
        <v>236.11910508928</v>
      </c>
      <c r="S15">
        <f t="shared" si="5"/>
        <v>111.22349491072001</v>
      </c>
      <c r="T15">
        <f t="shared" si="6"/>
        <v>359.13689727999997</v>
      </c>
      <c r="U15">
        <f t="shared" si="15"/>
        <v>547.15919672042776</v>
      </c>
      <c r="V15">
        <f t="shared" si="2"/>
        <v>1.5257250587944868</v>
      </c>
      <c r="W15">
        <f t="shared" si="16"/>
        <v>1.7447087000000001</v>
      </c>
      <c r="X15">
        <f t="shared" si="17"/>
        <v>1.2047214118986602</v>
      </c>
      <c r="Y15">
        <f t="shared" si="18"/>
        <v>63.481085958512274</v>
      </c>
      <c r="Z15">
        <f t="shared" si="8"/>
        <v>43.153639106229917</v>
      </c>
      <c r="AA15">
        <f t="shared" si="9"/>
        <v>20.327446852282353</v>
      </c>
    </row>
    <row r="16" spans="1:28" x14ac:dyDescent="0.25">
      <c r="A16" s="1" t="s">
        <v>8</v>
      </c>
      <c r="B16">
        <v>4</v>
      </c>
      <c r="C16">
        <v>8</v>
      </c>
      <c r="D16">
        <v>559</v>
      </c>
      <c r="E16">
        <v>9.4250000000000007</v>
      </c>
      <c r="F16" s="47">
        <v>5.1230000000000002</v>
      </c>
      <c r="G16">
        <v>4.0168999999999997</v>
      </c>
      <c r="I16" s="19">
        <f t="shared" si="10"/>
        <v>549.57500000000005</v>
      </c>
      <c r="J16">
        <f>SUM(G16:G19)</f>
        <v>133.7039</v>
      </c>
      <c r="K16">
        <f>SUM(H16:H18)</f>
        <v>92.322999999999993</v>
      </c>
      <c r="L16">
        <f t="shared" si="11"/>
        <v>226.02690000000001</v>
      </c>
      <c r="M16">
        <f t="shared" si="4"/>
        <v>11.962999999999965</v>
      </c>
      <c r="N16">
        <f t="shared" si="12"/>
        <v>0.98600000000000065</v>
      </c>
      <c r="O16">
        <f t="shared" si="19"/>
        <v>20.513066264240013</v>
      </c>
      <c r="P16">
        <f t="shared" si="14"/>
        <v>-8.5500662642400478</v>
      </c>
      <c r="Q16">
        <f t="shared" si="0"/>
        <v>332.97309999999999</v>
      </c>
      <c r="R16">
        <f>($F$4*J16)-(3.11*$F$2*J16)-($F$3*((ABS(F16)-3.11)*J16))</f>
        <v>178.70907396286998</v>
      </c>
      <c r="S16">
        <f t="shared" si="5"/>
        <v>154.26402603713001</v>
      </c>
      <c r="T16">
        <f t="shared" si="6"/>
        <v>354.81003943000002</v>
      </c>
      <c r="U16">
        <f t="shared" si="15"/>
        <v>543.24040000987645</v>
      </c>
      <c r="V16">
        <f t="shared" si="2"/>
        <v>1.4731569560968185</v>
      </c>
      <c r="W16">
        <f t="shared" si="16"/>
        <v>1.3366032999999997</v>
      </c>
      <c r="X16">
        <f t="shared" si="17"/>
        <v>1.6709165217457191</v>
      </c>
      <c r="Y16">
        <f t="shared" si="18"/>
        <v>61.293876522060273</v>
      </c>
      <c r="Z16">
        <f t="shared" si="8"/>
        <v>32.896867383136623</v>
      </c>
      <c r="AA16">
        <f t="shared" si="9"/>
        <v>28.39700913892365</v>
      </c>
    </row>
    <row r="17" spans="1:27" x14ac:dyDescent="0.25">
      <c r="A17" s="1" t="s">
        <v>8</v>
      </c>
      <c r="B17">
        <v>4</v>
      </c>
      <c r="C17">
        <v>9</v>
      </c>
      <c r="D17">
        <v>530</v>
      </c>
      <c r="E17">
        <v>11.101000000000001</v>
      </c>
      <c r="F17" s="47">
        <v>6.0229999999999997</v>
      </c>
      <c r="G17">
        <v>5.125</v>
      </c>
      <c r="I17" s="19">
        <f t="shared" si="10"/>
        <v>518.899</v>
      </c>
      <c r="J17">
        <f>SUM(G17:G19)</f>
        <v>129.68700000000001</v>
      </c>
      <c r="K17">
        <f>SUM(H17:H18)</f>
        <v>92.322999999999993</v>
      </c>
      <c r="L17">
        <f t="shared" si="11"/>
        <v>222.01</v>
      </c>
      <c r="M17">
        <f t="shared" si="4"/>
        <v>19.575000000000045</v>
      </c>
      <c r="N17">
        <f t="shared" si="12"/>
        <v>0.89999999999999947</v>
      </c>
      <c r="O17">
        <f t="shared" si="19"/>
        <v>18.161367479999992</v>
      </c>
      <c r="P17">
        <f t="shared" si="14"/>
        <v>1.4136325200000535</v>
      </c>
      <c r="Q17">
        <f t="shared" si="0"/>
        <v>307.99</v>
      </c>
      <c r="R17">
        <f t="shared" si="20"/>
        <v>125.03036779710007</v>
      </c>
      <c r="S17">
        <f t="shared" si="5"/>
        <v>182.95963220289994</v>
      </c>
      <c r="T17">
        <f t="shared" si="6"/>
        <v>344.15039190000005</v>
      </c>
      <c r="U17">
        <f t="shared" si="15"/>
        <v>533.58605195307575</v>
      </c>
      <c r="V17">
        <f t="shared" si="2"/>
        <v>1.3872798522589074</v>
      </c>
      <c r="W17">
        <f t="shared" si="16"/>
        <v>0.96409330000000049</v>
      </c>
      <c r="X17">
        <f t="shared" si="17"/>
        <v>1.9817340446356808</v>
      </c>
      <c r="Y17">
        <f t="shared" si="18"/>
        <v>57.720774160544408</v>
      </c>
      <c r="Z17">
        <f t="shared" si="8"/>
        <v>23.432090726407406</v>
      </c>
      <c r="AA17">
        <f t="shared" si="9"/>
        <v>34.288683434136999</v>
      </c>
    </row>
    <row r="18" spans="1:27" x14ac:dyDescent="0.25">
      <c r="A18" s="1" t="s">
        <v>8</v>
      </c>
      <c r="B18">
        <v>4</v>
      </c>
      <c r="C18">
        <v>10</v>
      </c>
      <c r="D18">
        <v>478</v>
      </c>
      <c r="F18" s="47">
        <v>7.12</v>
      </c>
      <c r="G18">
        <v>124.562</v>
      </c>
      <c r="H18">
        <v>92.322999999999993</v>
      </c>
      <c r="I18" s="19">
        <f t="shared" si="10"/>
        <v>478</v>
      </c>
      <c r="J18">
        <f>G18</f>
        <v>124.562</v>
      </c>
      <c r="K18">
        <f>H18</f>
        <v>92.322999999999993</v>
      </c>
      <c r="L18">
        <f>SUM(J18:K18)</f>
        <v>216.88499999999999</v>
      </c>
      <c r="M18">
        <f t="shared" si="4"/>
        <v>40.899000000000001</v>
      </c>
      <c r="N18">
        <f t="shared" si="12"/>
        <v>1.0970000000000004</v>
      </c>
      <c r="O18">
        <f>N18*$F$2*K18</f>
        <v>15.758908303600004</v>
      </c>
      <c r="P18">
        <f t="shared" si="14"/>
        <v>25.140091696399999</v>
      </c>
      <c r="Q18">
        <f t="shared" si="0"/>
        <v>261.11500000000001</v>
      </c>
      <c r="R18">
        <f>($F$4*J18)-(3.11*$F$2*J18)-($F$3*((ABS(F18)-3.11)*J18))</f>
        <v>63.532225289999985</v>
      </c>
      <c r="S18">
        <f t="shared" si="5"/>
        <v>197.58277471000002</v>
      </c>
      <c r="T18">
        <f t="shared" si="6"/>
        <v>330.55017939999999</v>
      </c>
      <c r="U18">
        <f t="shared" si="15"/>
        <v>521.26846032990784</v>
      </c>
      <c r="V18">
        <f t="shared" si="2"/>
        <v>1.2039329598635222</v>
      </c>
      <c r="W18">
        <f>R18/K18</f>
        <v>0.68815165549213075</v>
      </c>
      <c r="X18">
        <f>S18/J18</f>
        <v>1.5862203136590616</v>
      </c>
      <c r="Y18">
        <f t="shared" si="18"/>
        <v>50.092230754713576</v>
      </c>
      <c r="Z18">
        <f t="shared" si="8"/>
        <v>12.188004862176163</v>
      </c>
      <c r="AA18">
        <f t="shared" si="9"/>
        <v>37.904225892537404</v>
      </c>
    </row>
    <row r="19" spans="1:27" x14ac:dyDescent="0.25">
      <c r="A19" s="1" t="s">
        <v>8</v>
      </c>
      <c r="B19">
        <v>4</v>
      </c>
      <c r="C19">
        <v>11</v>
      </c>
      <c r="I19" s="19"/>
    </row>
    <row r="20" spans="1:27" x14ac:dyDescent="0.25">
      <c r="C20" s="19"/>
      <c r="D20" s="19"/>
      <c r="E20" s="19"/>
      <c r="F20" s="19"/>
      <c r="H20" s="19"/>
      <c r="I20" s="19"/>
    </row>
    <row r="21" spans="1:27" x14ac:dyDescent="0.25">
      <c r="C21" s="19"/>
      <c r="D21" s="19"/>
      <c r="E21" s="19"/>
      <c r="F21" s="19"/>
      <c r="G21" s="19"/>
      <c r="H21" s="19"/>
      <c r="I21" s="19"/>
    </row>
    <row r="22" spans="1:27" ht="15" customHeight="1" x14ac:dyDescent="0.25">
      <c r="C22" s="19"/>
      <c r="D22" s="19"/>
      <c r="E22" s="19"/>
      <c r="F22" s="19"/>
      <c r="G22" s="19"/>
      <c r="H22" s="19"/>
      <c r="I22" s="19"/>
    </row>
    <row r="27" spans="1:27" x14ac:dyDescent="0.25">
      <c r="I27" s="15" t="s">
        <v>91</v>
      </c>
      <c r="J27" s="16"/>
      <c r="K27" s="17" t="s">
        <v>102</v>
      </c>
      <c r="L27" s="17"/>
      <c r="M27" s="17"/>
      <c r="N27" s="17"/>
      <c r="O27" s="17"/>
      <c r="P27" s="17" t="s">
        <v>20</v>
      </c>
      <c r="Q27" s="18"/>
    </row>
    <row r="28" spans="1:27" ht="27" customHeight="1" x14ac:dyDescent="0.25">
      <c r="I28" s="67" t="s">
        <v>99</v>
      </c>
      <c r="J28" s="68"/>
      <c r="K28" s="29" t="s">
        <v>87</v>
      </c>
      <c r="L28" s="29"/>
      <c r="M28" s="29"/>
      <c r="N28" s="29"/>
      <c r="O28" s="28">
        <f>SLOPE(Y9:Y11,F9:F11)</f>
        <v>-5.5905732803769004</v>
      </c>
      <c r="P28" s="20" t="s">
        <v>100</v>
      </c>
      <c r="Q28" s="21"/>
      <c r="U28" t="s">
        <v>109</v>
      </c>
    </row>
    <row r="29" spans="1:27" x14ac:dyDescent="0.25">
      <c r="I29" s="67"/>
      <c r="J29" s="68"/>
      <c r="K29" s="29" t="s">
        <v>88</v>
      </c>
      <c r="L29" s="29"/>
      <c r="M29" s="29"/>
      <c r="N29" s="29"/>
      <c r="O29" s="28">
        <f>SLOPE(Z9:Z11,F9:F11)</f>
        <v>-4.1250887226904602</v>
      </c>
      <c r="P29" s="20" t="s">
        <v>100</v>
      </c>
      <c r="Q29" s="21"/>
    </row>
    <row r="30" spans="1:27" x14ac:dyDescent="0.25">
      <c r="I30" s="67"/>
      <c r="J30" s="68"/>
      <c r="K30" s="29" t="s">
        <v>89</v>
      </c>
      <c r="L30" s="29"/>
      <c r="M30" s="29"/>
      <c r="N30" s="29"/>
      <c r="O30" s="28">
        <f>SLOPE(AA9:AA11,F9:F11)</f>
        <v>-1.4654845576864417</v>
      </c>
      <c r="P30" s="20" t="s">
        <v>100</v>
      </c>
      <c r="Q30" s="21"/>
    </row>
    <row r="31" spans="1:27" x14ac:dyDescent="0.25">
      <c r="I31" s="67"/>
      <c r="J31" s="68"/>
      <c r="K31" s="22"/>
      <c r="L31" s="22"/>
      <c r="M31" s="22"/>
      <c r="N31" s="22"/>
      <c r="O31" s="28"/>
      <c r="P31" s="19"/>
      <c r="Q31" s="21"/>
    </row>
    <row r="32" spans="1:27" x14ac:dyDescent="0.25">
      <c r="I32" s="67"/>
      <c r="J32" s="68"/>
      <c r="K32" s="29" t="s">
        <v>87</v>
      </c>
      <c r="L32" s="29"/>
      <c r="M32" s="29"/>
      <c r="N32" s="29"/>
      <c r="O32" s="28">
        <f>SLOPE(V9:V13,F9:F13)</f>
        <v>-0.14642606091129659</v>
      </c>
      <c r="P32" s="19" t="s">
        <v>101</v>
      </c>
      <c r="Q32" s="21"/>
    </row>
    <row r="33" spans="9:21" x14ac:dyDescent="0.25">
      <c r="I33" s="67"/>
      <c r="J33" s="68"/>
      <c r="K33" s="29" t="s">
        <v>88</v>
      </c>
      <c r="L33" s="29"/>
      <c r="M33" s="29"/>
      <c r="N33" s="29"/>
      <c r="O33" s="28">
        <f>SLOPE(W9:W13,F9:F13)</f>
        <v>-0.18730005065974975</v>
      </c>
      <c r="P33" s="19" t="s">
        <v>101</v>
      </c>
      <c r="Q33" s="21"/>
    </row>
    <row r="34" spans="9:21" x14ac:dyDescent="0.25">
      <c r="I34" s="67"/>
      <c r="J34" s="68"/>
      <c r="K34" s="29" t="s">
        <v>89</v>
      </c>
      <c r="L34" s="29"/>
      <c r="M34" s="29"/>
      <c r="N34" s="29"/>
      <c r="O34" s="28">
        <f>SLOPE(X9:X13,F9:F13)</f>
        <v>-8.0188729307419687E-2</v>
      </c>
      <c r="P34" s="19" t="s">
        <v>101</v>
      </c>
      <c r="Q34" s="21"/>
    </row>
    <row r="35" spans="9:21" x14ac:dyDescent="0.25">
      <c r="I35" s="67"/>
      <c r="J35" s="68"/>
      <c r="K35" s="19"/>
      <c r="L35" s="19"/>
      <c r="M35" s="19"/>
      <c r="N35" s="19"/>
      <c r="O35" s="28"/>
      <c r="P35" s="19"/>
      <c r="Q35" s="21"/>
      <c r="T35" t="s">
        <v>128</v>
      </c>
    </row>
    <row r="36" spans="9:21" x14ac:dyDescent="0.25">
      <c r="I36" s="67"/>
      <c r="J36" s="68"/>
      <c r="K36" s="29" t="s">
        <v>103</v>
      </c>
      <c r="L36" s="29"/>
      <c r="M36" s="29"/>
      <c r="N36" s="29"/>
      <c r="O36" s="28">
        <f>INTERCEPT(V9:V13,F9:F13)</f>
        <v>2.4129366171346445</v>
      </c>
      <c r="P36" s="19" t="s">
        <v>106</v>
      </c>
      <c r="Q36" s="21"/>
      <c r="S36" t="s">
        <v>125</v>
      </c>
      <c r="T36">
        <v>2.66</v>
      </c>
      <c r="U36">
        <f>(-0.1556*T36)+2.6537</f>
        <v>2.2398040000000004</v>
      </c>
    </row>
    <row r="37" spans="9:21" x14ac:dyDescent="0.25">
      <c r="I37" s="67"/>
      <c r="J37" s="68"/>
      <c r="K37" s="29" t="s">
        <v>90</v>
      </c>
      <c r="L37" s="29"/>
      <c r="M37" s="29"/>
      <c r="N37" s="29"/>
      <c r="O37" s="28">
        <f>INTERCEPT(W9:W13,F9:F13)</f>
        <v>2.6891910296990913</v>
      </c>
      <c r="P37" s="19" t="s">
        <v>104</v>
      </c>
      <c r="Q37" s="21"/>
      <c r="S37" t="s">
        <v>126</v>
      </c>
      <c r="T37">
        <v>2.57</v>
      </c>
      <c r="U37">
        <f>(-0.0989*T37)+1.9983</f>
        <v>1.744127</v>
      </c>
    </row>
    <row r="38" spans="9:21" x14ac:dyDescent="0.25">
      <c r="I38" s="23"/>
      <c r="J38" s="19"/>
      <c r="K38" s="29" t="s">
        <v>92</v>
      </c>
      <c r="L38" s="29"/>
      <c r="M38" s="29"/>
      <c r="N38" s="29"/>
      <c r="O38" s="28">
        <f>INTERCEPT(X9:X13,F9:F13)</f>
        <v>1.9793080114181991</v>
      </c>
      <c r="P38" s="19" t="s">
        <v>105</v>
      </c>
      <c r="Q38" s="21"/>
    </row>
    <row r="39" spans="9:21" x14ac:dyDescent="0.25">
      <c r="I39" s="23"/>
      <c r="J39" s="19"/>
      <c r="K39" s="22"/>
      <c r="L39" s="22"/>
      <c r="M39" s="22"/>
      <c r="N39" s="22"/>
      <c r="O39" s="28"/>
      <c r="P39" s="19"/>
      <c r="Q39" s="21"/>
    </row>
    <row r="40" spans="9:21" x14ac:dyDescent="0.25">
      <c r="I40" s="23"/>
      <c r="J40" s="19"/>
      <c r="K40" s="22" t="s">
        <v>93</v>
      </c>
      <c r="L40" s="22"/>
      <c r="M40" s="22"/>
      <c r="N40" s="22"/>
      <c r="O40" s="28">
        <f>Y9</f>
        <v>98.169214639376023</v>
      </c>
      <c r="P40" s="19"/>
      <c r="Q40" s="21"/>
    </row>
    <row r="41" spans="9:21" x14ac:dyDescent="0.25">
      <c r="I41" s="23"/>
      <c r="J41" s="19"/>
      <c r="K41" s="22" t="s">
        <v>96</v>
      </c>
      <c r="L41" s="22"/>
      <c r="M41" s="22"/>
      <c r="N41" s="22"/>
      <c r="O41" s="28">
        <f>Z9</f>
        <v>66.008695123183657</v>
      </c>
      <c r="P41" s="19"/>
      <c r="Q41" s="21"/>
    </row>
    <row r="42" spans="9:21" x14ac:dyDescent="0.25">
      <c r="I42" s="23"/>
      <c r="J42" s="19"/>
      <c r="K42" s="22" t="s">
        <v>97</v>
      </c>
      <c r="L42" s="22"/>
      <c r="M42" s="22"/>
      <c r="N42" s="22"/>
      <c r="O42" s="28">
        <f>AA9</f>
        <v>32.160519516192366</v>
      </c>
      <c r="P42" s="19"/>
      <c r="Q42" s="21"/>
    </row>
    <row r="43" spans="9:21" x14ac:dyDescent="0.25">
      <c r="I43" s="23"/>
      <c r="J43" s="19"/>
      <c r="K43" s="22"/>
      <c r="L43" s="22"/>
      <c r="M43" s="22"/>
      <c r="N43" s="22"/>
      <c r="O43" s="28"/>
      <c r="P43" s="19"/>
      <c r="Q43" s="21"/>
    </row>
    <row r="44" spans="9:21" x14ac:dyDescent="0.25">
      <c r="I44" s="23"/>
      <c r="J44" s="19"/>
      <c r="K44" s="22" t="s">
        <v>94</v>
      </c>
      <c r="L44" s="22"/>
      <c r="M44" s="22"/>
      <c r="N44" s="22"/>
      <c r="O44" s="28">
        <f>AVERAGE(Y12:Y13)</f>
        <v>78.21609346397122</v>
      </c>
      <c r="P44" s="19"/>
      <c r="Q44" s="21"/>
    </row>
    <row r="45" spans="9:21" x14ac:dyDescent="0.25">
      <c r="I45" s="23"/>
      <c r="J45" s="19"/>
      <c r="K45" s="22" t="s">
        <v>95</v>
      </c>
      <c r="L45" s="22"/>
      <c r="M45" s="22"/>
      <c r="N45" s="22"/>
      <c r="O45" s="28">
        <f>AVERAGE(Z12:Z13)</f>
        <v>49.615580635481507</v>
      </c>
      <c r="P45" s="19"/>
      <c r="Q45" s="21"/>
    </row>
    <row r="46" spans="9:21" x14ac:dyDescent="0.25">
      <c r="I46" s="24"/>
      <c r="J46" s="25"/>
      <c r="K46" s="26" t="s">
        <v>98</v>
      </c>
      <c r="L46" s="26"/>
      <c r="M46" s="26"/>
      <c r="N46" s="26"/>
      <c r="O46" s="28">
        <f>AVERAGE(AA12:AA13)</f>
        <v>28.600512828489716</v>
      </c>
      <c r="P46" s="25"/>
      <c r="Q46" s="27"/>
    </row>
  </sheetData>
  <mergeCells count="7">
    <mergeCell ref="W7:AB7"/>
    <mergeCell ref="I28:J37"/>
    <mergeCell ref="E1:F1"/>
    <mergeCell ref="K1:M3"/>
    <mergeCell ref="C2:D2"/>
    <mergeCell ref="G7:H7"/>
    <mergeCell ref="I7:S7"/>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6"/>
  <sheetViews>
    <sheetView topLeftCell="A6" zoomScale="112" zoomScaleNormal="112" workbookViewId="0">
      <selection activeCell="F28" sqref="F28"/>
    </sheetView>
  </sheetViews>
  <sheetFormatPr defaultRowHeight="15" x14ac:dyDescent="0.25"/>
  <cols>
    <col min="1" max="1" width="11.7109375" customWidth="1"/>
    <col min="4" max="4" width="9.28515625" customWidth="1"/>
    <col min="5" max="5" width="30.5703125" customWidth="1"/>
    <col min="6" max="6" width="12.5703125" customWidth="1"/>
    <col min="7" max="7" width="16.140625" customWidth="1"/>
    <col min="8" max="8" width="16.85546875" customWidth="1"/>
    <col min="9" max="9" width="16.28515625" customWidth="1"/>
    <col min="10" max="10" width="18" customWidth="1"/>
    <col min="11" max="11" width="11.7109375" customWidth="1"/>
    <col min="12" max="12" width="12.7109375" customWidth="1"/>
    <col min="13" max="13" width="12.5703125" customWidth="1"/>
    <col min="14" max="14" width="14.7109375" customWidth="1"/>
    <col min="16" max="16" width="19.140625" bestFit="1" customWidth="1"/>
    <col min="17" max="18" width="17.7109375" customWidth="1"/>
    <col min="19" max="19" width="13.28515625" customWidth="1"/>
    <col min="20" max="20" width="13.5703125" customWidth="1"/>
    <col min="21" max="21" width="19.5703125" customWidth="1"/>
    <col min="22" max="22" width="15.42578125" customWidth="1"/>
    <col min="23" max="23" width="13.42578125" customWidth="1"/>
    <col min="24" max="24" width="12" customWidth="1"/>
    <col min="25" max="25" width="12.140625" customWidth="1"/>
  </cols>
  <sheetData>
    <row r="1" spans="1:28" x14ac:dyDescent="0.25">
      <c r="E1" s="69" t="s">
        <v>42</v>
      </c>
      <c r="F1" s="69"/>
      <c r="G1" t="s">
        <v>20</v>
      </c>
      <c r="K1" s="70" t="s">
        <v>19</v>
      </c>
      <c r="L1" s="70"/>
      <c r="M1" s="70"/>
    </row>
    <row r="2" spans="1:28" x14ac:dyDescent="0.25">
      <c r="C2" s="63"/>
      <c r="D2" s="63"/>
      <c r="E2" t="s">
        <v>17</v>
      </c>
      <c r="F2">
        <v>0.15559999999999999</v>
      </c>
      <c r="G2" t="s">
        <v>21</v>
      </c>
      <c r="K2" s="70"/>
      <c r="L2" s="70"/>
      <c r="M2" s="70"/>
    </row>
    <row r="3" spans="1:28" x14ac:dyDescent="0.25">
      <c r="E3" t="s">
        <v>18</v>
      </c>
      <c r="F3">
        <v>0.41389999999999999</v>
      </c>
      <c r="G3" t="s">
        <v>21</v>
      </c>
      <c r="K3" s="70"/>
      <c r="L3" s="70"/>
      <c r="M3" s="70"/>
    </row>
    <row r="4" spans="1:28" x14ac:dyDescent="0.25">
      <c r="E4" t="s">
        <v>29</v>
      </c>
      <c r="F4">
        <v>2.6537000000000002</v>
      </c>
    </row>
    <row r="5" spans="1:28" x14ac:dyDescent="0.25">
      <c r="E5" t="s">
        <v>108</v>
      </c>
      <c r="F5">
        <f>INTERCEPT(Q9:Q13,F9:F13)/L9</f>
        <v>2.2496766330197824</v>
      </c>
    </row>
    <row r="7" spans="1:28" x14ac:dyDescent="0.25">
      <c r="D7" s="30" t="s">
        <v>25</v>
      </c>
      <c r="E7" s="30"/>
      <c r="F7" s="30"/>
      <c r="G7" s="64" t="s">
        <v>26</v>
      </c>
      <c r="H7" s="64"/>
      <c r="I7" s="65" t="s">
        <v>13</v>
      </c>
      <c r="J7" s="65"/>
      <c r="K7" s="65"/>
      <c r="L7" s="65"/>
      <c r="M7" s="65"/>
      <c r="N7" s="65"/>
      <c r="O7" s="65"/>
      <c r="P7" s="65"/>
      <c r="Q7" s="65"/>
      <c r="R7" s="65"/>
      <c r="S7" s="65"/>
      <c r="T7" s="65"/>
      <c r="U7" s="5"/>
      <c r="V7" s="5"/>
      <c r="W7" s="66" t="s">
        <v>32</v>
      </c>
      <c r="X7" s="66"/>
      <c r="Y7" s="66"/>
      <c r="Z7" s="66"/>
      <c r="AA7" s="66"/>
      <c r="AB7" s="66"/>
    </row>
    <row r="8" spans="1:28" ht="63" customHeight="1" x14ac:dyDescent="0.25">
      <c r="A8" s="3" t="s">
        <v>3</v>
      </c>
      <c r="B8" s="3" t="s">
        <v>4</v>
      </c>
      <c r="C8" s="3" t="s">
        <v>5</v>
      </c>
      <c r="D8" s="3" t="s">
        <v>6</v>
      </c>
      <c r="E8" s="3" t="s">
        <v>7</v>
      </c>
      <c r="F8" s="4" t="s">
        <v>9</v>
      </c>
      <c r="G8" s="4" t="s">
        <v>14</v>
      </c>
      <c r="H8" s="4" t="s">
        <v>11</v>
      </c>
      <c r="I8" s="4" t="s">
        <v>23</v>
      </c>
      <c r="J8" s="4" t="s">
        <v>10</v>
      </c>
      <c r="K8" s="4" t="s">
        <v>12</v>
      </c>
      <c r="L8" s="4" t="s">
        <v>15</v>
      </c>
      <c r="M8" s="4" t="s">
        <v>24</v>
      </c>
      <c r="N8" s="4" t="s">
        <v>44</v>
      </c>
      <c r="O8" s="4" t="s">
        <v>16</v>
      </c>
      <c r="P8" s="4" t="s">
        <v>22</v>
      </c>
      <c r="Q8" s="4" t="s">
        <v>28</v>
      </c>
      <c r="R8" s="4" t="s">
        <v>117</v>
      </c>
      <c r="S8" s="4" t="s">
        <v>27</v>
      </c>
      <c r="T8" s="4" t="s">
        <v>30</v>
      </c>
      <c r="U8" s="4" t="s">
        <v>107</v>
      </c>
      <c r="V8" s="4" t="s">
        <v>33</v>
      </c>
      <c r="W8" s="4" t="s">
        <v>34</v>
      </c>
      <c r="X8" s="4" t="s">
        <v>31</v>
      </c>
      <c r="Y8" s="4" t="s">
        <v>35</v>
      </c>
      <c r="Z8" s="4" t="s">
        <v>36</v>
      </c>
      <c r="AA8" s="4" t="s">
        <v>37</v>
      </c>
    </row>
    <row r="9" spans="1:28" x14ac:dyDescent="0.25">
      <c r="A9" s="1" t="s">
        <v>8</v>
      </c>
      <c r="B9">
        <v>5</v>
      </c>
      <c r="C9">
        <v>1</v>
      </c>
      <c r="D9">
        <v>956</v>
      </c>
      <c r="E9">
        <v>5.03</v>
      </c>
      <c r="F9" s="44">
        <v>0.59699999999999998</v>
      </c>
      <c r="G9">
        <v>1.5489999999999999</v>
      </c>
      <c r="I9" s="19">
        <f>D9-E9</f>
        <v>950.97</v>
      </c>
      <c r="J9">
        <f>SUM(G9:G20)</f>
        <v>137.58199999999999</v>
      </c>
      <c r="K9">
        <f>SUM(H9:H19)</f>
        <v>163.5326</v>
      </c>
      <c r="L9">
        <f>SUM(J9:K9)</f>
        <v>301.1146</v>
      </c>
      <c r="N9">
        <v>0</v>
      </c>
      <c r="Q9">
        <f t="shared" ref="Q9:Q19" si="0">D9-L9</f>
        <v>654.8854</v>
      </c>
      <c r="R9">
        <f>J9*$F$4</f>
        <v>365.10135339999999</v>
      </c>
      <c r="S9">
        <f>($F$4*J9)-($F$2*J9*F9)</f>
        <v>352.32092115759997</v>
      </c>
      <c r="T9">
        <f>Q9-S9</f>
        <v>302.56447884240004</v>
      </c>
      <c r="U9">
        <f>L9*$F$5</f>
        <v>677.4104794810986</v>
      </c>
      <c r="V9">
        <f t="shared" ref="V9:V19" si="1">Q9/L9</f>
        <v>2.1748709627497305</v>
      </c>
      <c r="W9">
        <f t="shared" ref="W9:W18" si="2">S9/J9</f>
        <v>2.5608067999999999</v>
      </c>
      <c r="X9">
        <f t="shared" ref="X9:X18" si="3">T9/K9</f>
        <v>1.8501783671414753</v>
      </c>
      <c r="Y9">
        <f>Q9/U9*100</f>
        <v>96.674825653959033</v>
      </c>
      <c r="Z9">
        <f>S9/(U9)*100</f>
        <v>52.009960257402632</v>
      </c>
      <c r="AA9">
        <f>T9/(U9)*100</f>
        <v>44.664865396556401</v>
      </c>
    </row>
    <row r="10" spans="1:28" x14ac:dyDescent="0.25">
      <c r="A10" s="1" t="s">
        <v>8</v>
      </c>
      <c r="B10">
        <v>5</v>
      </c>
      <c r="C10">
        <v>2</v>
      </c>
      <c r="D10">
        <v>912</v>
      </c>
      <c r="E10">
        <v>4.4420000000000002</v>
      </c>
      <c r="F10" s="44">
        <v>1.7589999999999999</v>
      </c>
      <c r="G10">
        <v>1.3627</v>
      </c>
      <c r="I10" s="19">
        <f t="shared" ref="I10:I19" si="4">D10-E10</f>
        <v>907.55799999999999</v>
      </c>
      <c r="J10">
        <f>SUM(G10:G20)</f>
        <v>136.03300000000002</v>
      </c>
      <c r="K10">
        <f>SUM(H10:H19)</f>
        <v>163.5326</v>
      </c>
      <c r="L10">
        <f>SUM(J10:K10)</f>
        <v>299.56560000000002</v>
      </c>
      <c r="M10">
        <f t="shared" ref="M10:M19" si="5">I9-D10</f>
        <v>38.970000000000027</v>
      </c>
      <c r="N10">
        <f>F10-F9</f>
        <v>1.1619999999999999</v>
      </c>
      <c r="O10">
        <f>N10*$F$2*J10</f>
        <v>24.595745837599999</v>
      </c>
      <c r="P10">
        <f>M10-O10</f>
        <v>14.374254162400028</v>
      </c>
      <c r="Q10">
        <f t="shared" si="0"/>
        <v>612.43439999999998</v>
      </c>
      <c r="R10">
        <f t="shared" ref="R10:R19" si="6">J10*$F$4</f>
        <v>360.99077210000007</v>
      </c>
      <c r="S10">
        <f t="shared" ref="S10:S13" si="7">($F$4*J10)-($F$2*J10*F10)</f>
        <v>323.75848558680008</v>
      </c>
      <c r="T10">
        <f t="shared" ref="T10:T19" si="8">Q10-S10</f>
        <v>288.67591441319991</v>
      </c>
      <c r="U10">
        <f t="shared" ref="U10:U19" si="9">L10*$F$5</f>
        <v>673.92573037655097</v>
      </c>
      <c r="V10">
        <f t="shared" si="1"/>
        <v>2.0444083032230669</v>
      </c>
      <c r="W10">
        <f t="shared" si="2"/>
        <v>2.3799996000000001</v>
      </c>
      <c r="X10">
        <f t="shared" si="3"/>
        <v>1.7652499526895549</v>
      </c>
      <c r="Y10">
        <f t="shared" ref="Y10:Y19" si="10">Q10/U10*100</f>
        <v>90.875651781065969</v>
      </c>
      <c r="Z10">
        <f t="shared" ref="Z10:Z19" si="11">S10/(U10)*100</f>
        <v>48.040677331892709</v>
      </c>
      <c r="AA10">
        <f t="shared" ref="AA10:AA19" si="12">T10/(U10)*100</f>
        <v>42.834974449173266</v>
      </c>
    </row>
    <row r="11" spans="1:28" x14ac:dyDescent="0.25">
      <c r="A11" s="1" t="s">
        <v>8</v>
      </c>
      <c r="B11">
        <v>5</v>
      </c>
      <c r="C11">
        <v>3</v>
      </c>
      <c r="D11">
        <v>906</v>
      </c>
      <c r="E11">
        <v>3.5190000000000001</v>
      </c>
      <c r="F11" s="44">
        <v>2.2679999999999998</v>
      </c>
      <c r="G11">
        <v>1.0767</v>
      </c>
      <c r="I11" s="19">
        <f t="shared" si="4"/>
        <v>902.48099999999999</v>
      </c>
      <c r="J11">
        <f>SUM(G11:G20)</f>
        <v>134.6703</v>
      </c>
      <c r="K11">
        <f>SUM(H11:H19)</f>
        <v>163.5326</v>
      </c>
      <c r="L11">
        <f t="shared" ref="L11:L18" si="13">SUM(J11:K11)</f>
        <v>298.2029</v>
      </c>
      <c r="M11">
        <f t="shared" si="5"/>
        <v>1.5579999999999927</v>
      </c>
      <c r="N11">
        <f t="shared" ref="N11:N19" si="14">F11-F10</f>
        <v>0.5089999999999999</v>
      </c>
      <c r="O11">
        <f t="shared" ref="O11:O18" si="15">N11*$F$2*J11</f>
        <v>10.665941628119997</v>
      </c>
      <c r="P11">
        <f t="shared" ref="P11:P19" si="16">M11-O11</f>
        <v>-9.1079416281200043</v>
      </c>
      <c r="Q11">
        <f t="shared" si="0"/>
        <v>607.7971</v>
      </c>
      <c r="R11">
        <f t="shared" si="6"/>
        <v>357.37457511000002</v>
      </c>
      <c r="S11">
        <f t="shared" si="7"/>
        <v>309.84931850376006</v>
      </c>
      <c r="T11">
        <f t="shared" si="8"/>
        <v>297.94778149623994</v>
      </c>
      <c r="U11">
        <f t="shared" si="9"/>
        <v>670.86009602873492</v>
      </c>
      <c r="V11">
        <f t="shared" si="1"/>
        <v>2.0381998297132591</v>
      </c>
      <c r="W11">
        <f t="shared" si="2"/>
        <v>2.3007992000000006</v>
      </c>
      <c r="X11">
        <f t="shared" si="3"/>
        <v>1.8219473150689216</v>
      </c>
      <c r="Y11">
        <f t="shared" si="10"/>
        <v>90.59967996277517</v>
      </c>
      <c r="Z11">
        <f t="shared" si="11"/>
        <v>46.186875674669473</v>
      </c>
      <c r="AA11">
        <f t="shared" si="12"/>
        <v>44.41280428810569</v>
      </c>
    </row>
    <row r="12" spans="1:28" x14ac:dyDescent="0.25">
      <c r="A12" s="1" t="s">
        <v>8</v>
      </c>
      <c r="B12">
        <v>5</v>
      </c>
      <c r="C12">
        <v>4</v>
      </c>
      <c r="D12">
        <v>882</v>
      </c>
      <c r="E12">
        <v>11.132999999999999</v>
      </c>
      <c r="F12" s="44">
        <v>3.0609999999999999</v>
      </c>
      <c r="G12">
        <v>3.5646</v>
      </c>
      <c r="I12" s="19">
        <f t="shared" si="4"/>
        <v>870.86699999999996</v>
      </c>
      <c r="J12">
        <f>SUM(G12:G20)</f>
        <v>133.59360000000001</v>
      </c>
      <c r="K12">
        <f>SUM(H12:H19)</f>
        <v>163.5326</v>
      </c>
      <c r="L12">
        <f t="shared" si="13"/>
        <v>297.12620000000004</v>
      </c>
      <c r="M12">
        <f t="shared" si="5"/>
        <v>20.480999999999995</v>
      </c>
      <c r="N12">
        <f t="shared" si="14"/>
        <v>0.79300000000000015</v>
      </c>
      <c r="O12">
        <f t="shared" si="15"/>
        <v>16.484221178880002</v>
      </c>
      <c r="P12">
        <f t="shared" si="16"/>
        <v>3.9967788211199924</v>
      </c>
      <c r="Q12">
        <f t="shared" si="0"/>
        <v>584.87379999999996</v>
      </c>
      <c r="R12">
        <f t="shared" si="6"/>
        <v>354.51733632000003</v>
      </c>
      <c r="S12">
        <f t="shared" si="7"/>
        <v>290.88782682624003</v>
      </c>
      <c r="T12">
        <f t="shared" si="8"/>
        <v>293.98597317375993</v>
      </c>
      <c r="U12">
        <f t="shared" si="9"/>
        <v>668.43786919796253</v>
      </c>
      <c r="V12">
        <f t="shared" si="1"/>
        <v>1.9684356344206599</v>
      </c>
      <c r="W12">
        <f t="shared" si="2"/>
        <v>2.1774084</v>
      </c>
      <c r="X12">
        <f t="shared" si="3"/>
        <v>1.7977209019715943</v>
      </c>
      <c r="Y12">
        <f t="shared" si="10"/>
        <v>87.498603378317199</v>
      </c>
      <c r="Z12">
        <f t="shared" si="11"/>
        <v>43.517556414819396</v>
      </c>
      <c r="AA12">
        <f t="shared" si="12"/>
        <v>43.981046963497803</v>
      </c>
    </row>
    <row r="13" spans="1:28" x14ac:dyDescent="0.25">
      <c r="A13" s="1" t="s">
        <v>8</v>
      </c>
      <c r="B13">
        <v>5</v>
      </c>
      <c r="C13">
        <v>5</v>
      </c>
      <c r="D13">
        <v>843</v>
      </c>
      <c r="E13">
        <v>3.3780000000000001</v>
      </c>
      <c r="F13" s="44">
        <v>3.1819999999999999</v>
      </c>
      <c r="G13">
        <v>1.1528</v>
      </c>
      <c r="I13" s="19">
        <f t="shared" si="4"/>
        <v>839.62199999999996</v>
      </c>
      <c r="J13">
        <f>SUM(G13:G20)</f>
        <v>130.029</v>
      </c>
      <c r="K13">
        <f>SUM(H13:H19)</f>
        <v>163.5326</v>
      </c>
      <c r="L13">
        <f t="shared" si="13"/>
        <v>293.5616</v>
      </c>
      <c r="M13">
        <f t="shared" si="5"/>
        <v>27.866999999999962</v>
      </c>
      <c r="N13">
        <f t="shared" si="14"/>
        <v>0.121</v>
      </c>
      <c r="O13">
        <f>N13*$F$2*J13</f>
        <v>2.4481340003999996</v>
      </c>
      <c r="P13">
        <f t="shared" si="16"/>
        <v>25.418865999599962</v>
      </c>
      <c r="Q13">
        <f t="shared" si="0"/>
        <v>549.4384</v>
      </c>
      <c r="R13">
        <f t="shared" si="6"/>
        <v>345.0579573</v>
      </c>
      <c r="S13">
        <f t="shared" si="7"/>
        <v>280.67810284320001</v>
      </c>
      <c r="T13">
        <f t="shared" si="8"/>
        <v>268.76029715679999</v>
      </c>
      <c r="U13">
        <f t="shared" si="9"/>
        <v>660.41867187190019</v>
      </c>
      <c r="V13">
        <f t="shared" si="1"/>
        <v>1.8716289868974689</v>
      </c>
      <c r="W13">
        <f t="shared" si="2"/>
        <v>2.1585808000000002</v>
      </c>
      <c r="X13">
        <f t="shared" si="3"/>
        <v>1.6434661783448681</v>
      </c>
      <c r="Y13">
        <f t="shared" si="10"/>
        <v>83.195467269673628</v>
      </c>
      <c r="Z13">
        <f t="shared" si="11"/>
        <v>42.500025332058215</v>
      </c>
      <c r="AA13">
        <f t="shared" si="12"/>
        <v>40.695441937615414</v>
      </c>
    </row>
    <row r="14" spans="1:28" x14ac:dyDescent="0.25">
      <c r="A14" s="1" t="s">
        <v>8</v>
      </c>
      <c r="B14">
        <v>5</v>
      </c>
      <c r="C14">
        <v>6</v>
      </c>
      <c r="D14">
        <v>829</v>
      </c>
      <c r="E14">
        <v>3.0670000000000002</v>
      </c>
      <c r="F14" s="47">
        <v>3.2709999999999999</v>
      </c>
      <c r="G14">
        <v>1.0665</v>
      </c>
      <c r="I14" s="19">
        <f t="shared" si="4"/>
        <v>825.93299999999999</v>
      </c>
      <c r="J14">
        <f>SUM(G14:G20)</f>
        <v>128.87620000000001</v>
      </c>
      <c r="K14">
        <f>SUM(H14:H19)</f>
        <v>163.5326</v>
      </c>
      <c r="L14">
        <f t="shared" si="13"/>
        <v>292.40880000000004</v>
      </c>
      <c r="M14">
        <f t="shared" si="5"/>
        <v>10.621999999999957</v>
      </c>
      <c r="N14">
        <f t="shared" si="14"/>
        <v>8.8999999999999968E-2</v>
      </c>
      <c r="O14">
        <f t="shared" si="15"/>
        <v>1.7847291680799993</v>
      </c>
      <c r="P14">
        <f t="shared" si="16"/>
        <v>8.8372708319199589</v>
      </c>
      <c r="Q14">
        <f t="shared" si="0"/>
        <v>536.59119999999996</v>
      </c>
      <c r="R14">
        <f t="shared" si="6"/>
        <v>341.99877194000004</v>
      </c>
      <c r="S14">
        <f>($F$4*J12)-(3.11*$F$2*J12)-($F$3*((ABS(F12)-3.11)*J12))</f>
        <v>292.57868094336004</v>
      </c>
      <c r="T14">
        <f t="shared" si="8"/>
        <v>244.01251905663992</v>
      </c>
      <c r="U14">
        <f t="shared" si="9"/>
        <v>657.825244649355</v>
      </c>
      <c r="V14">
        <f t="shared" si="1"/>
        <v>1.8350719950972745</v>
      </c>
      <c r="W14">
        <f t="shared" si="2"/>
        <v>2.270230507598455</v>
      </c>
      <c r="X14">
        <f t="shared" si="3"/>
        <v>1.4921337950759659</v>
      </c>
      <c r="Y14">
        <f t="shared" si="10"/>
        <v>81.570478537354205</v>
      </c>
      <c r="Z14">
        <f t="shared" si="11"/>
        <v>44.476657489682566</v>
      </c>
      <c r="AA14">
        <f t="shared" si="12"/>
        <v>37.093821047671646</v>
      </c>
    </row>
    <row r="15" spans="1:28" x14ac:dyDescent="0.25">
      <c r="A15" s="1" t="s">
        <v>8</v>
      </c>
      <c r="B15">
        <v>5</v>
      </c>
      <c r="C15">
        <v>7</v>
      </c>
      <c r="D15">
        <v>785</v>
      </c>
      <c r="E15">
        <v>13.648999999999999</v>
      </c>
      <c r="F15" s="47">
        <v>3.52</v>
      </c>
      <c r="G15">
        <v>4.5904999999999996</v>
      </c>
      <c r="I15" s="19">
        <f t="shared" si="4"/>
        <v>771.351</v>
      </c>
      <c r="J15">
        <f>SUM(G15:G20)</f>
        <v>127.80969999999999</v>
      </c>
      <c r="K15">
        <f>SUM(H15:H19)</f>
        <v>163.5326</v>
      </c>
      <c r="L15">
        <f t="shared" si="13"/>
        <v>291.34230000000002</v>
      </c>
      <c r="M15">
        <f t="shared" si="5"/>
        <v>40.932999999999993</v>
      </c>
      <c r="N15">
        <f t="shared" si="14"/>
        <v>0.24900000000000011</v>
      </c>
      <c r="O15">
        <f t="shared" si="15"/>
        <v>4.9519101406800017</v>
      </c>
      <c r="P15">
        <f t="shared" si="16"/>
        <v>35.981089859319994</v>
      </c>
      <c r="Q15">
        <f t="shared" si="0"/>
        <v>493.65769999999998</v>
      </c>
      <c r="R15">
        <f t="shared" si="6"/>
        <v>339.16860088999999</v>
      </c>
      <c r="S15">
        <f t="shared" ref="S15:S19" si="17">($F$4*J13)-(3.11*$F$2*J13)-($F$3*((ABS(F13)-3.11)*J13))</f>
        <v>278.25987551279997</v>
      </c>
      <c r="T15">
        <f t="shared" si="8"/>
        <v>215.39782448720001</v>
      </c>
      <c r="U15">
        <f t="shared" si="9"/>
        <v>655.4259645202394</v>
      </c>
      <c r="V15">
        <f t="shared" si="1"/>
        <v>1.6944250800518839</v>
      </c>
      <c r="W15">
        <f t="shared" si="2"/>
        <v>2.1771420753886441</v>
      </c>
      <c r="X15">
        <f t="shared" si="3"/>
        <v>1.31715526131915</v>
      </c>
      <c r="Y15">
        <f t="shared" si="10"/>
        <v>75.318606024610119</v>
      </c>
      <c r="Z15">
        <f t="shared" si="11"/>
        <v>42.454814208723249</v>
      </c>
      <c r="AA15">
        <f t="shared" si="12"/>
        <v>32.86379181588687</v>
      </c>
    </row>
    <row r="16" spans="1:28" x14ac:dyDescent="0.25">
      <c r="A16" s="1" t="s">
        <v>8</v>
      </c>
      <c r="B16">
        <v>5</v>
      </c>
      <c r="C16">
        <v>8</v>
      </c>
      <c r="D16">
        <v>748</v>
      </c>
      <c r="E16">
        <v>20.806999999999999</v>
      </c>
      <c r="F16" s="47">
        <v>3.6280000000000001</v>
      </c>
      <c r="G16">
        <v>7.3109000000000002</v>
      </c>
      <c r="I16" s="19">
        <f t="shared" si="4"/>
        <v>727.19299999999998</v>
      </c>
      <c r="J16">
        <f>SUM(G16:G20)</f>
        <v>123.2192</v>
      </c>
      <c r="K16">
        <f>SUM(H16:H19)</f>
        <v>163.5326</v>
      </c>
      <c r="L16">
        <f t="shared" si="13"/>
        <v>286.7518</v>
      </c>
      <c r="M16">
        <f t="shared" si="5"/>
        <v>23.350999999999999</v>
      </c>
      <c r="N16">
        <f t="shared" si="14"/>
        <v>0.1080000000000001</v>
      </c>
      <c r="O16">
        <f t="shared" si="15"/>
        <v>2.0706740121600014</v>
      </c>
      <c r="P16">
        <f t="shared" si="16"/>
        <v>21.280325987839998</v>
      </c>
      <c r="Q16">
        <f t="shared" si="0"/>
        <v>461.2482</v>
      </c>
      <c r="R16">
        <f t="shared" si="6"/>
        <v>326.98679104000001</v>
      </c>
      <c r="S16">
        <f t="shared" si="17"/>
        <v>271.04547741281999</v>
      </c>
      <c r="T16">
        <f t="shared" si="8"/>
        <v>190.20272258718001</v>
      </c>
      <c r="U16">
        <f t="shared" si="9"/>
        <v>645.09882393636201</v>
      </c>
      <c r="V16">
        <f t="shared" si="1"/>
        <v>1.6085276535317301</v>
      </c>
      <c r="W16">
        <f t="shared" si="2"/>
        <v>2.1997016488730652</v>
      </c>
      <c r="X16">
        <f t="shared" si="3"/>
        <v>1.1630874980718218</v>
      </c>
      <c r="Y16">
        <f t="shared" si="10"/>
        <v>71.500393875388838</v>
      </c>
      <c r="Z16">
        <f t="shared" si="11"/>
        <v>42.016117121236327</v>
      </c>
      <c r="AA16">
        <f t="shared" si="12"/>
        <v>29.484276754152511</v>
      </c>
    </row>
    <row r="17" spans="1:27" x14ac:dyDescent="0.25">
      <c r="A17" s="1" t="s">
        <v>8</v>
      </c>
      <c r="B17">
        <v>5</v>
      </c>
      <c r="C17">
        <v>9</v>
      </c>
      <c r="D17">
        <v>700</v>
      </c>
      <c r="E17">
        <v>36.44</v>
      </c>
      <c r="F17" s="47">
        <v>3.9020000000000001</v>
      </c>
      <c r="G17">
        <v>13.006399999999999</v>
      </c>
      <c r="H17">
        <v>0.41689999999999999</v>
      </c>
      <c r="I17" s="19">
        <f t="shared" si="4"/>
        <v>663.56</v>
      </c>
      <c r="J17">
        <f>SUM(G17:G20)</f>
        <v>115.9083</v>
      </c>
      <c r="K17">
        <f>SUM(H17:H19)</f>
        <v>163.5326</v>
      </c>
      <c r="L17">
        <f t="shared" si="13"/>
        <v>279.4409</v>
      </c>
      <c r="M17">
        <f t="shared" si="5"/>
        <v>27.192999999999984</v>
      </c>
      <c r="N17">
        <f t="shared" si="14"/>
        <v>0.27400000000000002</v>
      </c>
      <c r="O17">
        <f t="shared" si="15"/>
        <v>4.9416808255199998</v>
      </c>
      <c r="P17">
        <f t="shared" si="16"/>
        <v>22.251319174479985</v>
      </c>
      <c r="Q17">
        <f t="shared" si="0"/>
        <v>420.5591</v>
      </c>
      <c r="R17">
        <f t="shared" si="6"/>
        <v>307.58585571000003</v>
      </c>
      <c r="S17">
        <f t="shared" si="17"/>
        <v>255.63026382450002</v>
      </c>
      <c r="T17">
        <f t="shared" si="8"/>
        <v>164.92883617549998</v>
      </c>
      <c r="U17">
        <f t="shared" si="9"/>
        <v>628.65166304001775</v>
      </c>
      <c r="V17">
        <f t="shared" si="1"/>
        <v>1.5050019521122355</v>
      </c>
      <c r="W17">
        <f t="shared" si="2"/>
        <v>2.2054526192214019</v>
      </c>
      <c r="X17">
        <f t="shared" si="3"/>
        <v>1.0085379684264788</v>
      </c>
      <c r="Y17">
        <f t="shared" si="10"/>
        <v>66.89859022503353</v>
      </c>
      <c r="Z17">
        <f t="shared" si="11"/>
        <v>40.663260570779322</v>
      </c>
      <c r="AA17">
        <f t="shared" si="12"/>
        <v>26.235329654254201</v>
      </c>
    </row>
    <row r="18" spans="1:27" x14ac:dyDescent="0.25">
      <c r="A18" s="1" t="s">
        <v>8</v>
      </c>
      <c r="B18">
        <v>5</v>
      </c>
      <c r="C18">
        <v>10</v>
      </c>
      <c r="D18">
        <v>634</v>
      </c>
      <c r="E18">
        <v>31.771000000000001</v>
      </c>
      <c r="F18" s="47">
        <v>4.3369999999999997</v>
      </c>
      <c r="G18">
        <v>10.219900000000001</v>
      </c>
      <c r="H18">
        <v>1.6797</v>
      </c>
      <c r="I18" s="19">
        <f t="shared" si="4"/>
        <v>602.22900000000004</v>
      </c>
      <c r="J18">
        <f>SUM(G18:G20)</f>
        <v>102.9019</v>
      </c>
      <c r="K18">
        <f>SUM(H18:H19)</f>
        <v>163.1157</v>
      </c>
      <c r="L18">
        <f t="shared" si="13"/>
        <v>266.01760000000002</v>
      </c>
      <c r="M18">
        <f t="shared" si="5"/>
        <v>29.559999999999945</v>
      </c>
      <c r="N18">
        <f t="shared" si="14"/>
        <v>0.43499999999999961</v>
      </c>
      <c r="O18">
        <f t="shared" si="15"/>
        <v>6.9650180033999938</v>
      </c>
      <c r="P18">
        <f t="shared" si="16"/>
        <v>22.594981996599952</v>
      </c>
      <c r="Q18">
        <f t="shared" si="0"/>
        <v>367.98239999999998</v>
      </c>
      <c r="R18">
        <f t="shared" si="6"/>
        <v>273.07077203</v>
      </c>
      <c r="S18">
        <f t="shared" si="17"/>
        <v>240.94082752896003</v>
      </c>
      <c r="T18">
        <f t="shared" si="8"/>
        <v>127.04157247103996</v>
      </c>
      <c r="U18">
        <f t="shared" si="9"/>
        <v>598.45357869200325</v>
      </c>
      <c r="V18">
        <f t="shared" si="1"/>
        <v>1.3833009545233097</v>
      </c>
      <c r="W18">
        <f t="shared" si="2"/>
        <v>2.3414614067277673</v>
      </c>
      <c r="X18">
        <f t="shared" si="3"/>
        <v>0.77884331472102286</v>
      </c>
      <c r="Y18">
        <f t="shared" si="10"/>
        <v>61.488879522497385</v>
      </c>
      <c r="Z18">
        <f t="shared" si="11"/>
        <v>40.260570929422293</v>
      </c>
      <c r="AA18">
        <f t="shared" si="12"/>
        <v>21.228308593075095</v>
      </c>
    </row>
    <row r="19" spans="1:27" x14ac:dyDescent="0.25">
      <c r="A19" s="1" t="s">
        <v>8</v>
      </c>
      <c r="B19">
        <v>5</v>
      </c>
      <c r="C19">
        <v>11</v>
      </c>
      <c r="D19">
        <v>580</v>
      </c>
      <c r="F19" s="47">
        <v>5.0570000000000004</v>
      </c>
      <c r="G19">
        <v>92.682000000000002</v>
      </c>
      <c r="H19">
        <v>161.43600000000001</v>
      </c>
      <c r="I19" s="19">
        <f t="shared" si="4"/>
        <v>580</v>
      </c>
      <c r="J19">
        <f>G19</f>
        <v>92.682000000000002</v>
      </c>
      <c r="K19">
        <f>H19</f>
        <v>161.43600000000001</v>
      </c>
      <c r="L19">
        <f>SUM(J19:K19)</f>
        <v>254.11799999999999</v>
      </c>
      <c r="M19">
        <f t="shared" si="5"/>
        <v>22.229000000000042</v>
      </c>
      <c r="N19">
        <f t="shared" si="14"/>
        <v>0.72000000000000064</v>
      </c>
      <c r="O19">
        <f>N19*$F$2*K19</f>
        <v>18.085997952000014</v>
      </c>
      <c r="P19">
        <f t="shared" si="16"/>
        <v>4.143002048000028</v>
      </c>
      <c r="Q19">
        <f t="shared" si="0"/>
        <v>325.88200000000001</v>
      </c>
      <c r="R19">
        <f t="shared" si="6"/>
        <v>245.95022340000003</v>
      </c>
      <c r="S19">
        <f t="shared" si="17"/>
        <v>213.50021407416003</v>
      </c>
      <c r="T19">
        <f t="shared" si="8"/>
        <v>112.38178592583998</v>
      </c>
      <c r="U19">
        <f t="shared" si="9"/>
        <v>571.68332662972102</v>
      </c>
      <c r="V19">
        <f t="shared" si="1"/>
        <v>1.2824042374015221</v>
      </c>
      <c r="W19">
        <f>S19/K19</f>
        <v>1.3225068390827326</v>
      </c>
      <c r="X19">
        <f>T19/J19</f>
        <v>1.2125524473559048</v>
      </c>
      <c r="Y19">
        <f t="shared" si="10"/>
        <v>57.003936413747049</v>
      </c>
      <c r="Z19">
        <f t="shared" si="11"/>
        <v>37.345887859423968</v>
      </c>
      <c r="AA19">
        <f t="shared" si="12"/>
        <v>19.658048554323081</v>
      </c>
    </row>
    <row r="20" spans="1:27" x14ac:dyDescent="0.25">
      <c r="C20" s="19"/>
      <c r="D20" s="19"/>
      <c r="E20" s="19"/>
      <c r="F20" s="19"/>
      <c r="H20" s="19"/>
      <c r="I20" s="19"/>
    </row>
    <row r="21" spans="1:27" x14ac:dyDescent="0.25">
      <c r="C21" s="19"/>
      <c r="D21" s="19"/>
      <c r="E21" s="19"/>
      <c r="F21" s="19"/>
      <c r="G21" s="19"/>
      <c r="H21" s="19"/>
      <c r="I21" s="19"/>
    </row>
    <row r="22" spans="1:27" ht="15" customHeight="1" x14ac:dyDescent="0.25">
      <c r="C22" s="19"/>
      <c r="D22" s="19"/>
      <c r="E22" s="19"/>
      <c r="F22" s="19"/>
      <c r="G22" s="19"/>
      <c r="H22" s="19"/>
      <c r="I22" s="19"/>
    </row>
    <row r="27" spans="1:27" x14ac:dyDescent="0.25">
      <c r="I27" s="15" t="s">
        <v>91</v>
      </c>
      <c r="J27" s="16"/>
      <c r="K27" s="17" t="s">
        <v>102</v>
      </c>
      <c r="L27" s="17"/>
      <c r="M27" s="17"/>
      <c r="N27" s="17"/>
      <c r="O27" s="17"/>
      <c r="P27" s="17" t="s">
        <v>20</v>
      </c>
      <c r="Q27" s="18"/>
      <c r="R27" s="49"/>
    </row>
    <row r="28" spans="1:27" ht="27" customHeight="1" x14ac:dyDescent="0.25">
      <c r="I28" s="67" t="s">
        <v>99</v>
      </c>
      <c r="J28" s="68"/>
      <c r="K28" s="29" t="s">
        <v>87</v>
      </c>
      <c r="L28" s="29"/>
      <c r="M28" s="29"/>
      <c r="N28" s="29"/>
      <c r="O28" s="28">
        <f>SLOPE(Y9:Y12,F9:F12)</f>
        <v>-3.6334507640955294</v>
      </c>
      <c r="P28" s="20" t="s">
        <v>100</v>
      </c>
      <c r="Q28" s="21"/>
      <c r="R28" s="19"/>
      <c r="U28" t="s">
        <v>109</v>
      </c>
    </row>
    <row r="29" spans="1:27" x14ac:dyDescent="0.25">
      <c r="I29" s="67"/>
      <c r="J29" s="68"/>
      <c r="K29" s="29" t="s">
        <v>88</v>
      </c>
      <c r="L29" s="29"/>
      <c r="M29" s="29"/>
      <c r="N29" s="29"/>
      <c r="O29" s="28">
        <f>SLOPE(Z9:Z12,F9:F12)</f>
        <v>-3.4553189433493872</v>
      </c>
      <c r="P29" s="20" t="s">
        <v>100</v>
      </c>
      <c r="Q29" s="21"/>
      <c r="R29" s="19"/>
    </row>
    <row r="30" spans="1:27" x14ac:dyDescent="0.25">
      <c r="I30" s="67"/>
      <c r="J30" s="68"/>
      <c r="K30" s="29" t="s">
        <v>89</v>
      </c>
      <c r="L30" s="29"/>
      <c r="M30" s="29"/>
      <c r="N30" s="29"/>
      <c r="O30" s="28">
        <f>SLOPE(AA9:AA12,F9:F12)</f>
        <v>-0.17813182074614295</v>
      </c>
      <c r="P30" s="20" t="s">
        <v>100</v>
      </c>
      <c r="Q30" s="21"/>
      <c r="R30" s="19"/>
    </row>
    <row r="31" spans="1:27" x14ac:dyDescent="0.25">
      <c r="I31" s="67"/>
      <c r="J31" s="68"/>
      <c r="K31" s="22"/>
      <c r="L31" s="22"/>
      <c r="M31" s="22"/>
      <c r="N31" s="22"/>
      <c r="O31" s="28"/>
      <c r="P31" s="19"/>
      <c r="Q31" s="21"/>
      <c r="R31" s="19"/>
    </row>
    <row r="32" spans="1:27" x14ac:dyDescent="0.25">
      <c r="I32" s="67"/>
      <c r="J32" s="68"/>
      <c r="K32" s="29" t="s">
        <v>87</v>
      </c>
      <c r="L32" s="29"/>
      <c r="M32" s="29"/>
      <c r="N32" s="29"/>
      <c r="O32" s="28">
        <f>SLOPE(V9:V12,F9:F12)</f>
        <v>-8.1740892812135854E-2</v>
      </c>
      <c r="P32" s="19" t="s">
        <v>101</v>
      </c>
      <c r="Q32" s="21"/>
      <c r="R32" s="19"/>
    </row>
    <row r="33" spans="9:21" x14ac:dyDescent="0.25">
      <c r="I33" s="67"/>
      <c r="J33" s="68"/>
      <c r="K33" s="29" t="s">
        <v>88</v>
      </c>
      <c r="L33" s="29"/>
      <c r="M33" s="29"/>
      <c r="N33" s="29"/>
      <c r="O33" s="28">
        <f>SLOPE(W9:W12,F9:F12)</f>
        <v>-0.15559999999999988</v>
      </c>
      <c r="P33" s="19" t="s">
        <v>101</v>
      </c>
      <c r="Q33" s="21"/>
      <c r="R33" s="19"/>
    </row>
    <row r="34" spans="9:21" x14ac:dyDescent="0.25">
      <c r="I34" s="67"/>
      <c r="J34" s="68"/>
      <c r="K34" s="29" t="s">
        <v>89</v>
      </c>
      <c r="L34" s="29"/>
      <c r="M34" s="29"/>
      <c r="N34" s="29"/>
      <c r="O34" s="28">
        <f>SLOPE(X9:X12,F9:F12)</f>
        <v>-1.7441040434731596E-2</v>
      </c>
      <c r="P34" s="19" t="s">
        <v>101</v>
      </c>
      <c r="Q34" s="21"/>
      <c r="R34" s="19"/>
      <c r="T34" t="s">
        <v>128</v>
      </c>
    </row>
    <row r="35" spans="9:21" x14ac:dyDescent="0.25">
      <c r="I35" s="67"/>
      <c r="J35" s="68"/>
      <c r="K35" s="19"/>
      <c r="L35" s="19"/>
      <c r="M35" s="19"/>
      <c r="N35" s="19"/>
      <c r="O35" s="28"/>
      <c r="P35" s="19"/>
      <c r="Q35" s="21"/>
      <c r="R35" s="19"/>
      <c r="S35" t="s">
        <v>125</v>
      </c>
      <c r="T35">
        <v>2.66</v>
      </c>
      <c r="U35">
        <f>-(0.1556*T35)+2.6537</f>
        <v>2.2398040000000004</v>
      </c>
    </row>
    <row r="36" spans="9:21" x14ac:dyDescent="0.25">
      <c r="I36" s="67"/>
      <c r="J36" s="68"/>
      <c r="K36" s="29" t="s">
        <v>103</v>
      </c>
      <c r="L36" s="29"/>
      <c r="M36" s="29"/>
      <c r="N36" s="29"/>
      <c r="O36" s="28">
        <f>INTERCEPT(V9:V13,F9:F13)</f>
        <v>2.2372692931140969</v>
      </c>
      <c r="P36" s="19" t="s">
        <v>106</v>
      </c>
      <c r="Q36" s="21"/>
      <c r="R36" s="19"/>
      <c r="S36" t="s">
        <v>126</v>
      </c>
      <c r="T36">
        <v>2.57</v>
      </c>
      <c r="U36">
        <f>(-0.0498*T36)+1.8839</f>
        <v>1.755914</v>
      </c>
    </row>
    <row r="37" spans="9:21" x14ac:dyDescent="0.25">
      <c r="I37" s="67"/>
      <c r="J37" s="68"/>
      <c r="K37" s="29" t="s">
        <v>90</v>
      </c>
      <c r="L37" s="29"/>
      <c r="M37" s="29"/>
      <c r="N37" s="29"/>
      <c r="O37" s="28">
        <f>INTERCEPT(W9:W13,F9:F13)</f>
        <v>2.6536999999999997</v>
      </c>
      <c r="P37" s="19" t="s">
        <v>104</v>
      </c>
      <c r="Q37" s="21"/>
      <c r="R37" s="19"/>
      <c r="U37">
        <v>1.75</v>
      </c>
    </row>
    <row r="38" spans="9:21" x14ac:dyDescent="0.25">
      <c r="I38" s="23"/>
      <c r="J38" s="19"/>
      <c r="K38" s="29" t="s">
        <v>92</v>
      </c>
      <c r="L38" s="29"/>
      <c r="M38" s="29"/>
      <c r="N38" s="29"/>
      <c r="O38" s="28">
        <f>INTERCEPT(X9:X13,F9:F13)</f>
        <v>1.8838898125776145</v>
      </c>
      <c r="P38" s="19" t="s">
        <v>105</v>
      </c>
      <c r="Q38" s="21"/>
      <c r="R38" s="19"/>
    </row>
    <row r="39" spans="9:21" x14ac:dyDescent="0.25">
      <c r="I39" s="23"/>
      <c r="J39" s="19"/>
      <c r="K39" s="22"/>
      <c r="L39" s="22"/>
      <c r="M39" s="22"/>
      <c r="N39" s="22"/>
      <c r="O39" s="28"/>
      <c r="P39" s="19"/>
      <c r="Q39" s="21"/>
      <c r="R39" s="19"/>
    </row>
    <row r="40" spans="9:21" x14ac:dyDescent="0.25">
      <c r="I40" s="23"/>
      <c r="J40" s="19"/>
      <c r="K40" s="22" t="s">
        <v>93</v>
      </c>
      <c r="L40" s="22"/>
      <c r="M40" s="22"/>
      <c r="N40" s="22"/>
      <c r="O40" s="28">
        <f>Y9</f>
        <v>96.674825653959033</v>
      </c>
      <c r="P40" s="19"/>
      <c r="Q40" s="21"/>
      <c r="R40" s="19"/>
    </row>
    <row r="41" spans="9:21" x14ac:dyDescent="0.25">
      <c r="I41" s="23"/>
      <c r="J41" s="19"/>
      <c r="K41" s="22" t="s">
        <v>96</v>
      </c>
      <c r="L41" s="22"/>
      <c r="M41" s="22"/>
      <c r="N41" s="22"/>
      <c r="O41" s="28">
        <f>Z9</f>
        <v>52.009960257402632</v>
      </c>
      <c r="P41" s="19"/>
      <c r="Q41" s="21"/>
      <c r="R41" s="19"/>
    </row>
    <row r="42" spans="9:21" x14ac:dyDescent="0.25">
      <c r="I42" s="23"/>
      <c r="J42" s="19"/>
      <c r="K42" s="22" t="s">
        <v>97</v>
      </c>
      <c r="L42" s="22"/>
      <c r="M42" s="22"/>
      <c r="N42" s="22"/>
      <c r="O42" s="28">
        <f>AA9</f>
        <v>44.664865396556401</v>
      </c>
      <c r="P42" s="19"/>
      <c r="Q42" s="21"/>
      <c r="R42" s="19"/>
    </row>
    <row r="43" spans="9:21" x14ac:dyDescent="0.25">
      <c r="I43" s="23"/>
      <c r="J43" s="19"/>
      <c r="K43" s="22"/>
      <c r="L43" s="22"/>
      <c r="M43" s="22"/>
      <c r="N43" s="22"/>
      <c r="O43" s="28"/>
      <c r="P43" s="19"/>
      <c r="Q43" s="21"/>
      <c r="R43" s="19"/>
    </row>
    <row r="44" spans="9:21" x14ac:dyDescent="0.25">
      <c r="I44" s="23"/>
      <c r="J44" s="19"/>
      <c r="K44" s="22" t="s">
        <v>94</v>
      </c>
      <c r="L44" s="22"/>
      <c r="M44" s="22"/>
      <c r="N44" s="22"/>
      <c r="O44" s="28">
        <f>AVERAGE(Y12:Y13)</f>
        <v>85.347035323995414</v>
      </c>
      <c r="P44" s="19"/>
      <c r="Q44" s="21"/>
      <c r="R44" s="19"/>
    </row>
    <row r="45" spans="9:21" x14ac:dyDescent="0.25">
      <c r="I45" s="23"/>
      <c r="J45" s="19"/>
      <c r="K45" s="22" t="s">
        <v>95</v>
      </c>
      <c r="L45" s="22"/>
      <c r="M45" s="22"/>
      <c r="N45" s="22"/>
      <c r="O45" s="28">
        <f>AVERAGE(Z12:Z13)</f>
        <v>43.008790873438805</v>
      </c>
      <c r="P45" s="19"/>
      <c r="Q45" s="21"/>
      <c r="R45" s="19"/>
    </row>
    <row r="46" spans="9:21" x14ac:dyDescent="0.25">
      <c r="I46" s="24"/>
      <c r="J46" s="25"/>
      <c r="K46" s="26" t="s">
        <v>98</v>
      </c>
      <c r="L46" s="26"/>
      <c r="M46" s="26"/>
      <c r="N46" s="26"/>
      <c r="O46" s="28">
        <f>AVERAGE(AA12:AA13)</f>
        <v>42.338244450556608</v>
      </c>
      <c r="P46" s="25"/>
      <c r="Q46" s="27"/>
      <c r="R46" s="19"/>
    </row>
  </sheetData>
  <mergeCells count="7">
    <mergeCell ref="W7:AB7"/>
    <mergeCell ref="I28:J37"/>
    <mergeCell ref="E1:F1"/>
    <mergeCell ref="K1:M3"/>
    <mergeCell ref="C2:D2"/>
    <mergeCell ref="G7:H7"/>
    <mergeCell ref="I7:T7"/>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6"/>
  <sheetViews>
    <sheetView zoomScale="98" zoomScaleNormal="98" workbookViewId="0">
      <selection activeCell="H35" sqref="H35"/>
    </sheetView>
  </sheetViews>
  <sheetFormatPr defaultRowHeight="15" x14ac:dyDescent="0.25"/>
  <cols>
    <col min="1" max="1" width="11.7109375" customWidth="1"/>
    <col min="4" max="4" width="9.28515625" customWidth="1"/>
    <col min="5" max="5" width="30.5703125" customWidth="1"/>
    <col min="6" max="6" width="12.5703125" customWidth="1"/>
    <col min="7" max="7" width="16.140625" customWidth="1"/>
    <col min="8" max="8" width="16.85546875" customWidth="1"/>
    <col min="9" max="9" width="16.28515625" customWidth="1"/>
    <col min="10" max="10" width="18" customWidth="1"/>
    <col min="11" max="11" width="11.7109375" customWidth="1"/>
    <col min="12" max="12" width="12.7109375" customWidth="1"/>
    <col min="13" max="13" width="12.5703125" customWidth="1"/>
    <col min="14" max="14" width="14.7109375" customWidth="1"/>
    <col min="16" max="16" width="19.140625" bestFit="1" customWidth="1"/>
    <col min="17" max="18" width="17.7109375" customWidth="1"/>
    <col min="19" max="19" width="13.28515625" customWidth="1"/>
    <col min="20" max="20" width="13.5703125" customWidth="1"/>
    <col min="21" max="21" width="19.5703125" customWidth="1"/>
    <col min="22" max="22" width="15.42578125" customWidth="1"/>
    <col min="23" max="23" width="13.42578125" customWidth="1"/>
    <col min="24" max="24" width="12" customWidth="1"/>
    <col min="25" max="25" width="12.140625" customWidth="1"/>
  </cols>
  <sheetData>
    <row r="1" spans="1:28" x14ac:dyDescent="0.25">
      <c r="E1" s="69" t="s">
        <v>42</v>
      </c>
      <c r="F1" s="69"/>
      <c r="G1" t="s">
        <v>20</v>
      </c>
      <c r="K1" s="70" t="s">
        <v>19</v>
      </c>
      <c r="L1" s="70"/>
      <c r="M1" s="70"/>
    </row>
    <row r="2" spans="1:28" x14ac:dyDescent="0.25">
      <c r="C2" s="63"/>
      <c r="D2" s="63"/>
      <c r="E2" t="s">
        <v>17</v>
      </c>
      <c r="F2">
        <v>0.15559999999999999</v>
      </c>
      <c r="G2" t="s">
        <v>21</v>
      </c>
      <c r="K2" s="70"/>
      <c r="L2" s="70"/>
      <c r="M2" s="70"/>
    </row>
    <row r="3" spans="1:28" x14ac:dyDescent="0.25">
      <c r="E3" t="s">
        <v>18</v>
      </c>
      <c r="F3">
        <v>0.41389999999999999</v>
      </c>
      <c r="G3" t="s">
        <v>21</v>
      </c>
      <c r="K3" s="70"/>
      <c r="L3" s="70"/>
      <c r="M3" s="70"/>
    </row>
    <row r="4" spans="1:28" x14ac:dyDescent="0.25">
      <c r="E4" t="s">
        <v>29</v>
      </c>
      <c r="F4">
        <v>2.6537000000000002</v>
      </c>
    </row>
    <row r="5" spans="1:28" x14ac:dyDescent="0.25">
      <c r="E5" t="s">
        <v>108</v>
      </c>
      <c r="F5">
        <f>(INTERCEPT(Q9:Q11,F9:F11)/L9)</f>
        <v>2.0374557879674353</v>
      </c>
    </row>
    <row r="7" spans="1:28" x14ac:dyDescent="0.25">
      <c r="D7" s="30" t="s">
        <v>25</v>
      </c>
      <c r="E7" s="30"/>
      <c r="F7" s="30"/>
      <c r="G7" s="64" t="s">
        <v>26</v>
      </c>
      <c r="H7" s="64"/>
      <c r="I7" s="65" t="s">
        <v>13</v>
      </c>
      <c r="J7" s="65"/>
      <c r="K7" s="65"/>
      <c r="L7" s="65"/>
      <c r="M7" s="65"/>
      <c r="N7" s="65"/>
      <c r="O7" s="65"/>
      <c r="P7" s="65"/>
      <c r="Q7" s="65"/>
      <c r="R7" s="65"/>
      <c r="S7" s="65"/>
      <c r="T7" s="65"/>
      <c r="U7" s="5"/>
      <c r="V7" s="5"/>
      <c r="W7" s="66" t="s">
        <v>32</v>
      </c>
      <c r="X7" s="66"/>
      <c r="Y7" s="66"/>
      <c r="Z7" s="66"/>
      <c r="AA7" s="66"/>
      <c r="AB7" s="66"/>
    </row>
    <row r="8" spans="1:28" ht="63" customHeight="1" x14ac:dyDescent="0.25">
      <c r="A8" s="3" t="s">
        <v>3</v>
      </c>
      <c r="B8" s="3" t="s">
        <v>4</v>
      </c>
      <c r="C8" s="3" t="s">
        <v>5</v>
      </c>
      <c r="D8" s="3" t="s">
        <v>6</v>
      </c>
      <c r="E8" s="3" t="s">
        <v>7</v>
      </c>
      <c r="F8" s="4" t="s">
        <v>9</v>
      </c>
      <c r="G8" s="4" t="s">
        <v>14</v>
      </c>
      <c r="H8" s="4" t="s">
        <v>11</v>
      </c>
      <c r="I8" s="4" t="s">
        <v>23</v>
      </c>
      <c r="J8" s="4" t="s">
        <v>10</v>
      </c>
      <c r="K8" s="4" t="s">
        <v>12</v>
      </c>
      <c r="L8" s="4" t="s">
        <v>15</v>
      </c>
      <c r="M8" s="4" t="s">
        <v>24</v>
      </c>
      <c r="N8" s="4" t="s">
        <v>44</v>
      </c>
      <c r="O8" s="4" t="s">
        <v>16</v>
      </c>
      <c r="P8" s="4" t="s">
        <v>22</v>
      </c>
      <c r="Q8" s="4" t="s">
        <v>28</v>
      </c>
      <c r="R8" s="4" t="s">
        <v>118</v>
      </c>
      <c r="S8" s="4" t="s">
        <v>27</v>
      </c>
      <c r="T8" s="4" t="s">
        <v>30</v>
      </c>
      <c r="U8" s="4" t="s">
        <v>107</v>
      </c>
      <c r="V8" s="4" t="s">
        <v>33</v>
      </c>
      <c r="W8" s="4" t="s">
        <v>34</v>
      </c>
      <c r="X8" s="4" t="s">
        <v>31</v>
      </c>
      <c r="Y8" s="4" t="s">
        <v>35</v>
      </c>
      <c r="Z8" s="4" t="s">
        <v>36</v>
      </c>
      <c r="AA8" s="4" t="s">
        <v>37</v>
      </c>
    </row>
    <row r="9" spans="1:28" x14ac:dyDescent="0.25">
      <c r="A9" s="1" t="s">
        <v>8</v>
      </c>
      <c r="B9">
        <v>6</v>
      </c>
      <c r="C9">
        <v>1</v>
      </c>
      <c r="D9">
        <v>906</v>
      </c>
      <c r="E9">
        <v>1.3049999999999999</v>
      </c>
      <c r="F9" s="47">
        <v>0.61</v>
      </c>
      <c r="G9">
        <v>0.45779999999999998</v>
      </c>
      <c r="I9" s="19">
        <f>D9-E9</f>
        <v>904.69500000000005</v>
      </c>
      <c r="J9">
        <f>SUM(G9:G20)</f>
        <v>158.47829999999999</v>
      </c>
      <c r="K9">
        <f>SUM(H9:H19)</f>
        <v>145.60320000000002</v>
      </c>
      <c r="L9">
        <f>SUM(J9:K9)</f>
        <v>304.08150000000001</v>
      </c>
      <c r="N9">
        <v>0</v>
      </c>
      <c r="Q9">
        <f t="shared" ref="Q9:Q19" si="0">D9-L9</f>
        <v>601.91849999999999</v>
      </c>
      <c r="R9">
        <f>J9*$F$4</f>
        <v>420.55386471000003</v>
      </c>
      <c r="S9">
        <f>($F$4*J9)-($F$2*J9*F9)</f>
        <v>405.51173838720001</v>
      </c>
      <c r="T9">
        <f>Q9-S9</f>
        <v>196.40676161279998</v>
      </c>
      <c r="U9">
        <f>L9*$F$5</f>
        <v>619.55261218881969</v>
      </c>
      <c r="V9">
        <f t="shared" ref="V9:V19" si="1">Q9/L9</f>
        <v>1.9794643870146653</v>
      </c>
      <c r="W9">
        <f t="shared" ref="W9:W18" si="2">S9/J9</f>
        <v>2.5587840000000002</v>
      </c>
      <c r="X9">
        <f t="shared" ref="X9:X18" si="3">T9/K9</f>
        <v>1.3489178920023732</v>
      </c>
      <c r="Y9">
        <f>Q9/U9*100</f>
        <v>97.153734510694733</v>
      </c>
      <c r="Z9">
        <f>S9/(U9)*100</f>
        <v>65.452349067590248</v>
      </c>
      <c r="AA9">
        <f>T9/(U9)*100</f>
        <v>31.701385443104467</v>
      </c>
    </row>
    <row r="10" spans="1:28" x14ac:dyDescent="0.25">
      <c r="A10" s="1" t="s">
        <v>8</v>
      </c>
      <c r="B10">
        <v>6</v>
      </c>
      <c r="C10">
        <v>2</v>
      </c>
      <c r="D10">
        <v>862</v>
      </c>
      <c r="E10">
        <v>4.9969999999999999</v>
      </c>
      <c r="F10" s="47">
        <v>2.476</v>
      </c>
      <c r="G10">
        <v>1.6997</v>
      </c>
      <c r="I10" s="19">
        <f t="shared" ref="I10:I19" si="4">D10-E10</f>
        <v>857.00300000000004</v>
      </c>
      <c r="J10">
        <f>SUM(G10:G20)</f>
        <v>158.0205</v>
      </c>
      <c r="K10">
        <f>SUM(H10:H19)</f>
        <v>145.60320000000002</v>
      </c>
      <c r="L10">
        <f>SUM(J10:K10)</f>
        <v>303.62369999999999</v>
      </c>
      <c r="M10">
        <f t="shared" ref="M10:M19" si="5">I9-D10</f>
        <v>42.69500000000005</v>
      </c>
      <c r="N10">
        <f>F10-F9</f>
        <v>1.8660000000000001</v>
      </c>
      <c r="O10">
        <f>N10*$F$2*J10</f>
        <v>45.881188966799996</v>
      </c>
      <c r="P10">
        <f>M10-O10</f>
        <v>-3.1861889667999463</v>
      </c>
      <c r="Q10">
        <f t="shared" si="0"/>
        <v>558.37630000000001</v>
      </c>
      <c r="R10">
        <f t="shared" ref="R10:R19" si="6">J10*$F$4</f>
        <v>419.33900085000005</v>
      </c>
      <c r="S10">
        <f t="shared" ref="S10:S11" si="7">($F$4*J10)-($F$2*J10*F10)</f>
        <v>358.45913810520005</v>
      </c>
      <c r="T10">
        <f t="shared" ref="T10:T19" si="8">Q10-S10</f>
        <v>199.91716189479996</v>
      </c>
      <c r="U10">
        <f t="shared" ref="U10:U19" si="9">L10*$F$5</f>
        <v>618.61986492908818</v>
      </c>
      <c r="V10">
        <f t="shared" si="1"/>
        <v>1.8390405623803414</v>
      </c>
      <c r="W10">
        <f t="shared" si="2"/>
        <v>2.2684344000000003</v>
      </c>
      <c r="X10">
        <f t="shared" si="3"/>
        <v>1.3730272541729849</v>
      </c>
      <c r="Y10">
        <f t="shared" ref="Y10:Y19" si="10">Q10/U10*100</f>
        <v>90.261618104359798</v>
      </c>
      <c r="Z10">
        <f t="shared" ref="Z10:Z19" si="11">S10/(U10)*100</f>
        <v>57.944976944167458</v>
      </c>
      <c r="AA10">
        <f t="shared" ref="AA10:AA19" si="12">T10/(U10)*100</f>
        <v>32.31664116019234</v>
      </c>
    </row>
    <row r="11" spans="1:28" x14ac:dyDescent="0.25">
      <c r="A11" s="1" t="s">
        <v>8</v>
      </c>
      <c r="B11">
        <v>6</v>
      </c>
      <c r="C11">
        <v>3</v>
      </c>
      <c r="D11">
        <v>838</v>
      </c>
      <c r="E11">
        <v>3.4369999999999998</v>
      </c>
      <c r="F11" s="47">
        <v>2.9020000000000001</v>
      </c>
      <c r="G11">
        <v>0.71970000000000001</v>
      </c>
      <c r="H11">
        <v>0.42720000000000002</v>
      </c>
      <c r="I11" s="19">
        <f t="shared" si="4"/>
        <v>834.56299999999999</v>
      </c>
      <c r="J11">
        <f>SUM(G11:G20)</f>
        <v>156.32080000000002</v>
      </c>
      <c r="K11">
        <f>SUM(H11:H19)</f>
        <v>145.60320000000002</v>
      </c>
      <c r="L11">
        <f t="shared" ref="L11:L18" si="13">SUM(J11:K11)</f>
        <v>301.92400000000004</v>
      </c>
      <c r="M11">
        <f t="shared" si="5"/>
        <v>19.003000000000043</v>
      </c>
      <c r="N11">
        <f t="shared" ref="N11:N19" si="14">F11-F10</f>
        <v>0.42600000000000016</v>
      </c>
      <c r="O11">
        <f t="shared" ref="O11:O18" si="15">N11*$F$2*J11</f>
        <v>10.361818020480003</v>
      </c>
      <c r="P11">
        <f t="shared" ref="P11:P19" si="16">M11-O11</f>
        <v>8.6411819795200397</v>
      </c>
      <c r="Q11">
        <f t="shared" si="0"/>
        <v>536.07600000000002</v>
      </c>
      <c r="R11">
        <f t="shared" si="6"/>
        <v>414.82850696000008</v>
      </c>
      <c r="S11">
        <f t="shared" si="7"/>
        <v>344.24166213504009</v>
      </c>
      <c r="T11">
        <f t="shared" si="8"/>
        <v>191.83433786495993</v>
      </c>
      <c r="U11">
        <f t="shared" si="9"/>
        <v>615.15680132628006</v>
      </c>
      <c r="V11">
        <f t="shared" si="1"/>
        <v>1.7755329155681561</v>
      </c>
      <c r="W11">
        <f t="shared" si="2"/>
        <v>2.2021488000000002</v>
      </c>
      <c r="X11">
        <f t="shared" si="3"/>
        <v>1.3175145729280668</v>
      </c>
      <c r="Y11">
        <f t="shared" si="10"/>
        <v>87.144610747084059</v>
      </c>
      <c r="Z11">
        <f t="shared" si="11"/>
        <v>55.959986363290461</v>
      </c>
      <c r="AA11">
        <f t="shared" si="12"/>
        <v>31.184624383793608</v>
      </c>
    </row>
    <row r="12" spans="1:28" x14ac:dyDescent="0.25">
      <c r="A12" s="1" t="s">
        <v>8</v>
      </c>
      <c r="B12">
        <v>6</v>
      </c>
      <c r="C12">
        <v>4</v>
      </c>
      <c r="D12">
        <v>810</v>
      </c>
      <c r="E12">
        <v>1.4530000000000001</v>
      </c>
      <c r="F12" s="44">
        <v>3.5920000000000001</v>
      </c>
      <c r="G12">
        <v>0.54469999999999996</v>
      </c>
      <c r="I12" s="19">
        <f t="shared" si="4"/>
        <v>808.54700000000003</v>
      </c>
      <c r="J12">
        <f>SUM(G12:G20)</f>
        <v>155.6011</v>
      </c>
      <c r="K12">
        <f>SUM(H12:H19)</f>
        <v>145.17600000000002</v>
      </c>
      <c r="L12">
        <f t="shared" si="13"/>
        <v>300.77710000000002</v>
      </c>
      <c r="M12">
        <f t="shared" si="5"/>
        <v>24.562999999999988</v>
      </c>
      <c r="N12">
        <f t="shared" si="14"/>
        <v>0.69</v>
      </c>
      <c r="O12">
        <f t="shared" si="15"/>
        <v>16.705956500399999</v>
      </c>
      <c r="P12">
        <f t="shared" si="16"/>
        <v>7.8570434995999889</v>
      </c>
      <c r="Q12">
        <f t="shared" si="0"/>
        <v>509.22289999999998</v>
      </c>
      <c r="R12">
        <f t="shared" si="6"/>
        <v>412.91863907000004</v>
      </c>
      <c r="S12">
        <f>($F$4*J12)-(3.11*$F$2*J12)-($F$3*((ABS(F12)-3.11)*J12))</f>
        <v>306.57838883262002</v>
      </c>
      <c r="T12">
        <f t="shared" si="8"/>
        <v>202.64451116737996</v>
      </c>
      <c r="U12">
        <f t="shared" si="9"/>
        <v>612.82004328306016</v>
      </c>
      <c r="V12">
        <f t="shared" si="1"/>
        <v>1.6930241697256871</v>
      </c>
      <c r="W12">
        <f t="shared" si="2"/>
        <v>1.9702842</v>
      </c>
      <c r="X12">
        <f t="shared" si="3"/>
        <v>1.3958540748290347</v>
      </c>
      <c r="Y12">
        <f t="shared" si="10"/>
        <v>83.095013875842028</v>
      </c>
      <c r="Z12">
        <f t="shared" si="11"/>
        <v>50.027474165203202</v>
      </c>
      <c r="AA12">
        <f t="shared" si="12"/>
        <v>33.067539710638826</v>
      </c>
    </row>
    <row r="13" spans="1:28" x14ac:dyDescent="0.25">
      <c r="A13" s="1" t="s">
        <v>8</v>
      </c>
      <c r="B13">
        <v>6</v>
      </c>
      <c r="C13">
        <v>5</v>
      </c>
      <c r="D13">
        <v>794</v>
      </c>
      <c r="E13">
        <v>4.0069999999999997</v>
      </c>
      <c r="F13" s="44">
        <v>3.9540000000000002</v>
      </c>
      <c r="G13">
        <v>1.4332</v>
      </c>
      <c r="H13">
        <v>8.72E-2</v>
      </c>
      <c r="I13" s="19">
        <f t="shared" si="4"/>
        <v>789.99300000000005</v>
      </c>
      <c r="J13">
        <f>SUM(G13:G20)</f>
        <v>155.0564</v>
      </c>
      <c r="K13">
        <f>SUM(H13:H19)</f>
        <v>145.17600000000002</v>
      </c>
      <c r="L13">
        <f t="shared" si="13"/>
        <v>300.23239999999998</v>
      </c>
      <c r="M13">
        <f t="shared" si="5"/>
        <v>14.547000000000025</v>
      </c>
      <c r="N13">
        <f t="shared" si="14"/>
        <v>0.3620000000000001</v>
      </c>
      <c r="O13">
        <f>N13*$F$2*J13</f>
        <v>8.7338928540800005</v>
      </c>
      <c r="P13">
        <f t="shared" si="16"/>
        <v>5.813107145920025</v>
      </c>
      <c r="Q13">
        <f t="shared" si="0"/>
        <v>493.76760000000002</v>
      </c>
      <c r="R13">
        <f t="shared" si="6"/>
        <v>411.47316868000001</v>
      </c>
      <c r="S13">
        <f t="shared" ref="S13:S19" si="17">($F$4*J13)-(3.11*$F$2*J13)-($F$3*((ABS(F13)-3.11)*J13))</f>
        <v>282.27279551536003</v>
      </c>
      <c r="T13">
        <f t="shared" si="8"/>
        <v>211.49480448463999</v>
      </c>
      <c r="U13">
        <f t="shared" si="9"/>
        <v>611.71024111535417</v>
      </c>
      <c r="V13">
        <f t="shared" si="1"/>
        <v>1.644617969279798</v>
      </c>
      <c r="W13">
        <f t="shared" si="2"/>
        <v>1.8204524000000002</v>
      </c>
      <c r="X13">
        <f t="shared" si="3"/>
        <v>1.4568165845913923</v>
      </c>
      <c r="Y13">
        <f t="shared" si="10"/>
        <v>80.719197883575575</v>
      </c>
      <c r="Z13">
        <f t="shared" si="11"/>
        <v>46.144853648466224</v>
      </c>
      <c r="AA13">
        <f t="shared" si="12"/>
        <v>34.574344235109358</v>
      </c>
    </row>
    <row r="14" spans="1:28" x14ac:dyDescent="0.25">
      <c r="A14" s="1" t="s">
        <v>8</v>
      </c>
      <c r="B14">
        <v>6</v>
      </c>
      <c r="C14">
        <v>6</v>
      </c>
      <c r="D14">
        <v>764</v>
      </c>
      <c r="E14">
        <v>30.763999999999999</v>
      </c>
      <c r="F14" s="44">
        <v>4.0469999999999997</v>
      </c>
      <c r="G14">
        <v>9.766</v>
      </c>
      <c r="H14">
        <v>2.4258999999999999</v>
      </c>
      <c r="I14" s="19">
        <f t="shared" si="4"/>
        <v>733.23599999999999</v>
      </c>
      <c r="J14">
        <f>SUM(G14:G20)</f>
        <v>153.6232</v>
      </c>
      <c r="K14">
        <f>SUM(H14:H19)</f>
        <v>145.08880000000002</v>
      </c>
      <c r="L14">
        <f t="shared" si="13"/>
        <v>298.71199999999999</v>
      </c>
      <c r="M14">
        <f t="shared" si="5"/>
        <v>25.993000000000052</v>
      </c>
      <c r="N14">
        <f t="shared" si="14"/>
        <v>9.2999999999999527E-2</v>
      </c>
      <c r="O14">
        <f t="shared" si="15"/>
        <v>2.2230506025599888</v>
      </c>
      <c r="P14">
        <f t="shared" si="16"/>
        <v>23.769949397440062</v>
      </c>
      <c r="Q14">
        <f t="shared" si="0"/>
        <v>465.28800000000001</v>
      </c>
      <c r="R14">
        <f t="shared" si="6"/>
        <v>407.66988584000001</v>
      </c>
      <c r="S14">
        <f t="shared" si="17"/>
        <v>273.75035138504001</v>
      </c>
      <c r="T14">
        <f t="shared" si="8"/>
        <v>191.53764861496001</v>
      </c>
      <c r="U14">
        <f t="shared" si="9"/>
        <v>608.61249333532851</v>
      </c>
      <c r="V14">
        <f t="shared" si="1"/>
        <v>1.5576474999330461</v>
      </c>
      <c r="W14">
        <f t="shared" si="2"/>
        <v>1.7819597</v>
      </c>
      <c r="X14">
        <f t="shared" si="3"/>
        <v>1.3201408283407126</v>
      </c>
      <c r="Y14">
        <f t="shared" si="10"/>
        <v>76.450615965853871</v>
      </c>
      <c r="Z14">
        <f t="shared" si="11"/>
        <v>44.979417015386701</v>
      </c>
      <c r="AA14">
        <f t="shared" si="12"/>
        <v>31.471198950467173</v>
      </c>
    </row>
    <row r="15" spans="1:28" x14ac:dyDescent="0.25">
      <c r="A15" s="1" t="s">
        <v>8</v>
      </c>
      <c r="B15">
        <v>6</v>
      </c>
      <c r="C15">
        <v>7</v>
      </c>
      <c r="D15">
        <v>700</v>
      </c>
      <c r="E15">
        <v>9.1370000000000005</v>
      </c>
      <c r="F15" s="44">
        <v>4.2069999999999999</v>
      </c>
      <c r="G15">
        <v>3.2547999999999999</v>
      </c>
      <c r="I15" s="19">
        <f t="shared" si="4"/>
        <v>690.86300000000006</v>
      </c>
      <c r="J15">
        <f>SUM(G15:G20)</f>
        <v>143.85720000000001</v>
      </c>
      <c r="K15">
        <f>SUM(H15:H19)</f>
        <v>142.66290000000001</v>
      </c>
      <c r="L15">
        <f t="shared" si="13"/>
        <v>286.52010000000001</v>
      </c>
      <c r="M15">
        <f t="shared" si="5"/>
        <v>33.23599999999999</v>
      </c>
      <c r="N15">
        <f t="shared" si="14"/>
        <v>0.16000000000000014</v>
      </c>
      <c r="O15">
        <f t="shared" si="15"/>
        <v>3.581468851200003</v>
      </c>
      <c r="P15">
        <f t="shared" si="16"/>
        <v>29.654531148799986</v>
      </c>
      <c r="Q15">
        <f t="shared" si="0"/>
        <v>413.47989999999999</v>
      </c>
      <c r="R15">
        <f t="shared" si="6"/>
        <v>381.75385164000005</v>
      </c>
      <c r="S15">
        <f t="shared" si="17"/>
        <v>246.82093374204007</v>
      </c>
      <c r="T15">
        <f t="shared" si="8"/>
        <v>166.65896625795992</v>
      </c>
      <c r="U15">
        <f t="shared" si="9"/>
        <v>583.77203611400842</v>
      </c>
      <c r="V15">
        <f t="shared" si="1"/>
        <v>1.4431095759075889</v>
      </c>
      <c r="W15">
        <f t="shared" si="2"/>
        <v>1.7157357000000004</v>
      </c>
      <c r="X15">
        <f t="shared" si="3"/>
        <v>1.1682011669323973</v>
      </c>
      <c r="Y15">
        <f t="shared" si="10"/>
        <v>70.829000777839411</v>
      </c>
      <c r="Z15">
        <f t="shared" si="11"/>
        <v>42.280362619808137</v>
      </c>
      <c r="AA15">
        <f t="shared" si="12"/>
        <v>28.548638158031274</v>
      </c>
    </row>
    <row r="16" spans="1:28" x14ac:dyDescent="0.25">
      <c r="A16" s="1" t="s">
        <v>8</v>
      </c>
      <c r="B16">
        <v>6</v>
      </c>
      <c r="C16">
        <v>8</v>
      </c>
      <c r="D16">
        <v>684</v>
      </c>
      <c r="E16">
        <v>20.646000000000001</v>
      </c>
      <c r="F16" s="44">
        <v>4.3070000000000004</v>
      </c>
      <c r="G16">
        <v>8.0184999999999995</v>
      </c>
      <c r="I16" s="19">
        <f t="shared" si="4"/>
        <v>663.35400000000004</v>
      </c>
      <c r="J16">
        <f>SUM(G16:G20)</f>
        <v>140.60239999999999</v>
      </c>
      <c r="K16">
        <f>SUM(H16:H19)</f>
        <v>142.66290000000001</v>
      </c>
      <c r="L16">
        <f t="shared" si="13"/>
        <v>283.26530000000002</v>
      </c>
      <c r="M16">
        <f t="shared" si="5"/>
        <v>6.8630000000000564</v>
      </c>
      <c r="N16">
        <f t="shared" si="14"/>
        <v>0.10000000000000053</v>
      </c>
      <c r="O16">
        <f t="shared" si="15"/>
        <v>2.1877733440000116</v>
      </c>
      <c r="P16">
        <f t="shared" si="16"/>
        <v>4.6752266560000448</v>
      </c>
      <c r="Q16">
        <f t="shared" si="0"/>
        <v>400.73469999999998</v>
      </c>
      <c r="R16">
        <f t="shared" si="6"/>
        <v>373.11658887999999</v>
      </c>
      <c r="S16">
        <f t="shared" si="17"/>
        <v>235.41702384967999</v>
      </c>
      <c r="T16">
        <f t="shared" si="8"/>
        <v>165.31767615031998</v>
      </c>
      <c r="U16">
        <f t="shared" si="9"/>
        <v>577.14052501533206</v>
      </c>
      <c r="V16">
        <f t="shared" si="1"/>
        <v>1.4146974585309247</v>
      </c>
      <c r="W16">
        <f t="shared" si="2"/>
        <v>1.6743457000000002</v>
      </c>
      <c r="X16">
        <f t="shared" si="3"/>
        <v>1.1587993525318774</v>
      </c>
      <c r="Y16">
        <f t="shared" si="10"/>
        <v>69.434510770033725</v>
      </c>
      <c r="Z16">
        <f t="shared" si="11"/>
        <v>40.790243215623441</v>
      </c>
      <c r="AA16">
        <f t="shared" si="12"/>
        <v>28.644267554410291</v>
      </c>
    </row>
    <row r="17" spans="1:27" x14ac:dyDescent="0.25">
      <c r="A17" s="1" t="s">
        <v>8</v>
      </c>
      <c r="B17">
        <v>6</v>
      </c>
      <c r="C17">
        <v>9</v>
      </c>
      <c r="D17">
        <v>616</v>
      </c>
      <c r="E17">
        <v>11.598000000000001</v>
      </c>
      <c r="F17" s="44">
        <v>4.6970000000000001</v>
      </c>
      <c r="G17">
        <v>4.5499000000000001</v>
      </c>
      <c r="I17" s="19">
        <f t="shared" si="4"/>
        <v>604.40200000000004</v>
      </c>
      <c r="J17">
        <f>SUM(G17:G20)</f>
        <v>132.5839</v>
      </c>
      <c r="K17">
        <f>SUM(H17:H19)</f>
        <v>142.66290000000001</v>
      </c>
      <c r="L17">
        <f t="shared" si="13"/>
        <v>275.24680000000001</v>
      </c>
      <c r="M17">
        <f t="shared" si="5"/>
        <v>47.354000000000042</v>
      </c>
      <c r="N17">
        <f t="shared" si="14"/>
        <v>0.38999999999999968</v>
      </c>
      <c r="O17">
        <f t="shared" si="15"/>
        <v>8.0457213875999933</v>
      </c>
      <c r="P17">
        <f t="shared" si="16"/>
        <v>39.308278612400045</v>
      </c>
      <c r="Q17">
        <f t="shared" si="0"/>
        <v>340.75319999999999</v>
      </c>
      <c r="R17">
        <f t="shared" si="6"/>
        <v>351.83789543</v>
      </c>
      <c r="S17">
        <f t="shared" si="17"/>
        <v>200.58945713233004</v>
      </c>
      <c r="T17">
        <f t="shared" si="8"/>
        <v>140.16374286766995</v>
      </c>
      <c r="U17">
        <f t="shared" si="9"/>
        <v>560.80318577951505</v>
      </c>
      <c r="V17">
        <f t="shared" si="1"/>
        <v>1.2379915043517309</v>
      </c>
      <c r="W17">
        <f t="shared" si="2"/>
        <v>1.5129247000000003</v>
      </c>
      <c r="X17">
        <f t="shared" si="3"/>
        <v>0.98248208095916978</v>
      </c>
      <c r="Y17">
        <f t="shared" si="10"/>
        <v>60.761637708308292</v>
      </c>
      <c r="Z17">
        <f t="shared" si="11"/>
        <v>35.768244942030989</v>
      </c>
      <c r="AA17">
        <f t="shared" si="12"/>
        <v>24.993392766277296</v>
      </c>
    </row>
    <row r="18" spans="1:27" x14ac:dyDescent="0.25">
      <c r="A18" s="1" t="s">
        <v>8</v>
      </c>
      <c r="B18">
        <v>6</v>
      </c>
      <c r="C18">
        <v>10</v>
      </c>
      <c r="D18">
        <v>590</v>
      </c>
      <c r="E18">
        <v>16.497</v>
      </c>
      <c r="F18" s="44">
        <v>5.1230000000000002</v>
      </c>
      <c r="G18">
        <v>7.0780000000000003</v>
      </c>
      <c r="I18" s="19">
        <f t="shared" si="4"/>
        <v>573.50300000000004</v>
      </c>
      <c r="J18">
        <f>SUM(G18:G20)</f>
        <v>128.03399999999999</v>
      </c>
      <c r="K18">
        <f>SUM(H18:H19)</f>
        <v>142.66290000000001</v>
      </c>
      <c r="L18">
        <f t="shared" si="13"/>
        <v>270.69690000000003</v>
      </c>
      <c r="M18">
        <f t="shared" si="5"/>
        <v>14.402000000000044</v>
      </c>
      <c r="N18">
        <f t="shared" si="14"/>
        <v>0.42600000000000016</v>
      </c>
      <c r="O18">
        <f t="shared" si="15"/>
        <v>8.4868105104000016</v>
      </c>
      <c r="P18">
        <f t="shared" si="16"/>
        <v>5.9151894896000421</v>
      </c>
      <c r="Q18">
        <f t="shared" si="0"/>
        <v>319.30309999999997</v>
      </c>
      <c r="R18">
        <f t="shared" si="6"/>
        <v>339.76382580000001</v>
      </c>
      <c r="S18">
        <f t="shared" si="17"/>
        <v>171.13066691219998</v>
      </c>
      <c r="T18">
        <f t="shared" si="8"/>
        <v>148.17243308779999</v>
      </c>
      <c r="U18">
        <f t="shared" si="9"/>
        <v>551.53296568984206</v>
      </c>
      <c r="V18">
        <f t="shared" si="1"/>
        <v>1.1795594999425554</v>
      </c>
      <c r="W18">
        <f t="shared" si="2"/>
        <v>1.3366032999999999</v>
      </c>
      <c r="X18">
        <f t="shared" si="3"/>
        <v>1.0386192421982168</v>
      </c>
      <c r="Y18">
        <f t="shared" si="10"/>
        <v>57.893747040238033</v>
      </c>
      <c r="Z18">
        <f t="shared" si="11"/>
        <v>31.028184634105148</v>
      </c>
      <c r="AA18">
        <f t="shared" si="12"/>
        <v>26.865562406132888</v>
      </c>
    </row>
    <row r="19" spans="1:27" x14ac:dyDescent="0.25">
      <c r="A19" s="1" t="s">
        <v>8</v>
      </c>
      <c r="B19">
        <v>6</v>
      </c>
      <c r="C19">
        <v>11</v>
      </c>
      <c r="D19">
        <v>552</v>
      </c>
      <c r="F19" s="44">
        <v>5.3230000000000004</v>
      </c>
      <c r="G19">
        <v>120.956</v>
      </c>
      <c r="H19">
        <v>142.66290000000001</v>
      </c>
      <c r="I19" s="19">
        <f t="shared" si="4"/>
        <v>552</v>
      </c>
      <c r="J19">
        <f>G19</f>
        <v>120.956</v>
      </c>
      <c r="K19">
        <f>H19</f>
        <v>142.66290000000001</v>
      </c>
      <c r="L19">
        <f>SUM(J19:K19)</f>
        <v>263.6189</v>
      </c>
      <c r="M19">
        <f t="shared" si="5"/>
        <v>21.503000000000043</v>
      </c>
      <c r="N19">
        <f t="shared" si="14"/>
        <v>0.20000000000000018</v>
      </c>
      <c r="O19">
        <f>N19*$F$2*K19</f>
        <v>4.4396694480000036</v>
      </c>
      <c r="P19">
        <f t="shared" si="16"/>
        <v>17.063330552000039</v>
      </c>
      <c r="Q19">
        <f t="shared" si="0"/>
        <v>288.3811</v>
      </c>
      <c r="R19">
        <f t="shared" si="6"/>
        <v>320.98093720000003</v>
      </c>
      <c r="S19">
        <f t="shared" si="17"/>
        <v>151.65745107480001</v>
      </c>
      <c r="T19">
        <f t="shared" si="8"/>
        <v>136.7236489252</v>
      </c>
      <c r="U19">
        <f t="shared" si="9"/>
        <v>537.11185362260858</v>
      </c>
      <c r="V19">
        <f t="shared" si="1"/>
        <v>1.0939318083794447</v>
      </c>
      <c r="W19">
        <f>S19/K19</f>
        <v>1.0630475833226438</v>
      </c>
      <c r="X19">
        <f>T19/J19</f>
        <v>1.1303585512516947</v>
      </c>
      <c r="Y19">
        <f t="shared" si="10"/>
        <v>53.691069756696429</v>
      </c>
      <c r="Z19">
        <f t="shared" si="11"/>
        <v>28.235729681244244</v>
      </c>
      <c r="AA19">
        <f t="shared" si="12"/>
        <v>25.455340075452192</v>
      </c>
    </row>
    <row r="20" spans="1:27" x14ac:dyDescent="0.25">
      <c r="C20" s="19"/>
      <c r="D20" s="19"/>
      <c r="E20" s="19"/>
      <c r="F20" s="19"/>
      <c r="H20" s="19"/>
      <c r="I20" s="19"/>
    </row>
    <row r="21" spans="1:27" x14ac:dyDescent="0.25">
      <c r="C21" s="19"/>
      <c r="D21" s="19"/>
      <c r="E21" s="19"/>
      <c r="F21" s="19"/>
      <c r="G21" s="19"/>
      <c r="H21" s="19"/>
      <c r="I21" s="19"/>
    </row>
    <row r="22" spans="1:27" ht="15" customHeight="1" x14ac:dyDescent="0.25">
      <c r="C22" s="19"/>
      <c r="D22" s="19"/>
      <c r="E22" s="19"/>
      <c r="F22" s="19"/>
      <c r="G22" s="19"/>
      <c r="H22" s="19"/>
      <c r="I22" s="19"/>
    </row>
    <row r="27" spans="1:27" x14ac:dyDescent="0.25">
      <c r="I27" s="15" t="s">
        <v>91</v>
      </c>
      <c r="J27" s="16"/>
      <c r="K27" s="17" t="s">
        <v>102</v>
      </c>
      <c r="L27" s="17"/>
      <c r="M27" s="17"/>
      <c r="N27" s="17"/>
      <c r="O27" s="17"/>
      <c r="P27" s="17" t="s">
        <v>20</v>
      </c>
      <c r="Q27" s="18"/>
      <c r="R27" s="49"/>
    </row>
    <row r="28" spans="1:27" ht="27" customHeight="1" x14ac:dyDescent="0.25">
      <c r="I28" s="67" t="s">
        <v>99</v>
      </c>
      <c r="J28" s="68"/>
      <c r="K28" s="29" t="s">
        <v>87</v>
      </c>
      <c r="L28" s="29"/>
      <c r="M28" s="29"/>
      <c r="N28" s="29"/>
      <c r="O28" s="28">
        <f>SLOPE(Y9:Y12,F9:F12)</f>
        <v>-4.6002075467681918</v>
      </c>
      <c r="P28" s="20" t="s">
        <v>100</v>
      </c>
      <c r="Q28" s="21"/>
      <c r="R28" s="19"/>
      <c r="U28" t="s">
        <v>109</v>
      </c>
    </row>
    <row r="29" spans="1:27" x14ac:dyDescent="0.25">
      <c r="I29" s="67"/>
      <c r="J29" s="68"/>
      <c r="K29" s="29" t="s">
        <v>88</v>
      </c>
      <c r="L29" s="29"/>
      <c r="M29" s="29"/>
      <c r="N29" s="29"/>
      <c r="O29" s="28">
        <f>SLOPE(Z9:Z12,F9:F12)</f>
        <v>-4.8916735054274953</v>
      </c>
      <c r="P29" s="20" t="s">
        <v>100</v>
      </c>
      <c r="Q29" s="21"/>
      <c r="R29" s="19"/>
    </row>
    <row r="30" spans="1:27" x14ac:dyDescent="0.25">
      <c r="I30" s="67"/>
      <c r="J30" s="68"/>
      <c r="K30" s="29" t="s">
        <v>89</v>
      </c>
      <c r="L30" s="29"/>
      <c r="M30" s="29"/>
      <c r="N30" s="29"/>
      <c r="O30" s="28">
        <f>SLOPE(AA9:AA12,F9:F12)</f>
        <v>0.2914659586593123</v>
      </c>
      <c r="P30" s="20" t="s">
        <v>100</v>
      </c>
      <c r="Q30" s="21"/>
      <c r="R30" s="19"/>
    </row>
    <row r="31" spans="1:27" x14ac:dyDescent="0.25">
      <c r="I31" s="67"/>
      <c r="J31" s="68"/>
      <c r="K31" s="22"/>
      <c r="L31" s="22"/>
      <c r="M31" s="22"/>
      <c r="N31" s="22"/>
      <c r="O31" s="28"/>
      <c r="P31" s="19"/>
      <c r="Q31" s="21"/>
      <c r="R31" s="19"/>
    </row>
    <row r="32" spans="1:27" x14ac:dyDescent="0.25">
      <c r="I32" s="67"/>
      <c r="J32" s="68"/>
      <c r="K32" s="29" t="s">
        <v>87</v>
      </c>
      <c r="L32" s="29"/>
      <c r="M32" s="29"/>
      <c r="N32" s="29"/>
      <c r="O32" s="28">
        <f>SLOPE(V9:V12,F9:F12)</f>
        <v>-9.3727194920143128E-2</v>
      </c>
      <c r="P32" s="19" t="s">
        <v>101</v>
      </c>
      <c r="Q32" s="21"/>
      <c r="R32" s="19"/>
    </row>
    <row r="33" spans="9:21" x14ac:dyDescent="0.25">
      <c r="I33" s="67"/>
      <c r="J33" s="68"/>
      <c r="K33" s="29" t="s">
        <v>88</v>
      </c>
      <c r="L33" s="29"/>
      <c r="M33" s="29"/>
      <c r="N33" s="29"/>
      <c r="O33" s="28">
        <f>SLOPE(W9:W12,F9:F12)</f>
        <v>-0.18612182755900289</v>
      </c>
      <c r="P33" s="19" t="s">
        <v>101</v>
      </c>
      <c r="Q33" s="21"/>
      <c r="R33" s="19"/>
      <c r="T33" t="s">
        <v>128</v>
      </c>
    </row>
    <row r="34" spans="9:21" x14ac:dyDescent="0.25">
      <c r="I34" s="67"/>
      <c r="J34" s="68"/>
      <c r="K34" s="29" t="s">
        <v>89</v>
      </c>
      <c r="L34" s="29"/>
      <c r="M34" s="29"/>
      <c r="N34" s="29"/>
      <c r="O34" s="28">
        <f>SLOPE(X9:X12,F9:F12)</f>
        <v>8.6457227700114866E-3</v>
      </c>
      <c r="P34" s="19" t="s">
        <v>101</v>
      </c>
      <c r="Q34" s="21"/>
      <c r="R34" s="19"/>
      <c r="S34" t="s">
        <v>125</v>
      </c>
      <c r="T34">
        <v>2.66</v>
      </c>
      <c r="U34">
        <f>(-0.1556*T34)+2.6537</f>
        <v>2.2398040000000004</v>
      </c>
    </row>
    <row r="35" spans="9:21" x14ac:dyDescent="0.25">
      <c r="I35" s="67"/>
      <c r="J35" s="68"/>
      <c r="K35" s="19"/>
      <c r="L35" s="19"/>
      <c r="M35" s="19"/>
      <c r="N35" s="19"/>
      <c r="O35" s="28"/>
      <c r="P35" s="19"/>
      <c r="Q35" s="21"/>
      <c r="R35" s="19"/>
      <c r="S35" t="s">
        <v>126</v>
      </c>
      <c r="T35">
        <v>2.57</v>
      </c>
      <c r="U35">
        <f>(-0.0057*T35)+1.3578</f>
        <v>1.343151</v>
      </c>
    </row>
    <row r="36" spans="9:21" x14ac:dyDescent="0.25">
      <c r="I36" s="67"/>
      <c r="J36" s="68"/>
      <c r="K36" s="29" t="s">
        <v>103</v>
      </c>
      <c r="L36" s="29"/>
      <c r="M36" s="29"/>
      <c r="N36" s="29"/>
      <c r="O36" s="28">
        <f>INTERCEPT(V9:V13,F9:F13)</f>
        <v>2.0553793421064821</v>
      </c>
      <c r="P36" s="19" t="s">
        <v>106</v>
      </c>
      <c r="Q36" s="21"/>
      <c r="R36" s="19"/>
    </row>
    <row r="37" spans="9:21" x14ac:dyDescent="0.25">
      <c r="I37" s="67"/>
      <c r="J37" s="68"/>
      <c r="K37" s="29" t="s">
        <v>90</v>
      </c>
      <c r="L37" s="29"/>
      <c r="M37" s="29"/>
      <c r="N37" s="29"/>
      <c r="O37" s="28">
        <f>INTERCEPT(W9:W13,F9:F13)</f>
        <v>2.7366965386803708</v>
      </c>
      <c r="P37" s="19" t="s">
        <v>104</v>
      </c>
      <c r="Q37" s="21"/>
      <c r="R37" s="19"/>
    </row>
    <row r="38" spans="9:21" x14ac:dyDescent="0.25">
      <c r="I38" s="23"/>
      <c r="J38" s="19"/>
      <c r="K38" s="29" t="s">
        <v>92</v>
      </c>
      <c r="L38" s="29"/>
      <c r="M38" s="29"/>
      <c r="N38" s="29"/>
      <c r="O38" s="28">
        <f>INTERCEPT(X9:X13,F9:F13)</f>
        <v>1.313234462490801</v>
      </c>
      <c r="P38" s="19" t="s">
        <v>105</v>
      </c>
      <c r="Q38" s="21"/>
      <c r="R38" s="19"/>
    </row>
    <row r="39" spans="9:21" x14ac:dyDescent="0.25">
      <c r="I39" s="23"/>
      <c r="J39" s="19"/>
      <c r="K39" s="22"/>
      <c r="L39" s="22"/>
      <c r="M39" s="22"/>
      <c r="N39" s="22"/>
      <c r="O39" s="28"/>
      <c r="P39" s="19"/>
      <c r="Q39" s="21"/>
      <c r="R39" s="19"/>
    </row>
    <row r="40" spans="9:21" x14ac:dyDescent="0.25">
      <c r="I40" s="23"/>
      <c r="J40" s="19"/>
      <c r="K40" s="22" t="s">
        <v>93</v>
      </c>
      <c r="L40" s="22"/>
      <c r="M40" s="22"/>
      <c r="N40" s="22"/>
      <c r="O40" s="28">
        <f>Y9</f>
        <v>97.153734510694733</v>
      </c>
      <c r="P40" s="19"/>
      <c r="Q40" s="21"/>
      <c r="R40" s="19"/>
    </row>
    <row r="41" spans="9:21" x14ac:dyDescent="0.25">
      <c r="I41" s="23"/>
      <c r="J41" s="19"/>
      <c r="K41" s="22" t="s">
        <v>96</v>
      </c>
      <c r="L41" s="22"/>
      <c r="M41" s="22"/>
      <c r="N41" s="22"/>
      <c r="O41" s="28">
        <f>Z9</f>
        <v>65.452349067590248</v>
      </c>
      <c r="P41" s="19"/>
      <c r="Q41" s="21"/>
      <c r="R41" s="19"/>
    </row>
    <row r="42" spans="9:21" x14ac:dyDescent="0.25">
      <c r="I42" s="23"/>
      <c r="J42" s="19"/>
      <c r="K42" s="22" t="s">
        <v>97</v>
      </c>
      <c r="L42" s="22"/>
      <c r="M42" s="22"/>
      <c r="N42" s="22"/>
      <c r="O42" s="28">
        <f>AA9</f>
        <v>31.701385443104467</v>
      </c>
      <c r="P42" s="19"/>
      <c r="Q42" s="21"/>
      <c r="R42" s="19"/>
    </row>
    <row r="43" spans="9:21" x14ac:dyDescent="0.25">
      <c r="I43" s="23"/>
      <c r="J43" s="19"/>
      <c r="K43" s="22"/>
      <c r="L43" s="22"/>
      <c r="M43" s="22"/>
      <c r="N43" s="22"/>
      <c r="O43" s="28"/>
      <c r="P43" s="19"/>
      <c r="Q43" s="21"/>
      <c r="R43" s="19"/>
    </row>
    <row r="44" spans="9:21" x14ac:dyDescent="0.25">
      <c r="I44" s="23"/>
      <c r="J44" s="19"/>
      <c r="K44" s="22" t="s">
        <v>94</v>
      </c>
      <c r="L44" s="22"/>
      <c r="M44" s="22"/>
      <c r="N44" s="22"/>
      <c r="O44" s="28">
        <f>AVERAGE(Y12:Y13)</f>
        <v>81.907105879708809</v>
      </c>
      <c r="P44" s="19"/>
      <c r="Q44" s="21"/>
      <c r="R44" s="19"/>
    </row>
    <row r="45" spans="9:21" x14ac:dyDescent="0.25">
      <c r="I45" s="23"/>
      <c r="J45" s="19"/>
      <c r="K45" s="22" t="s">
        <v>95</v>
      </c>
      <c r="L45" s="22"/>
      <c r="M45" s="22"/>
      <c r="N45" s="22"/>
      <c r="O45" s="28">
        <f>AVERAGE(Z12:Z13)</f>
        <v>48.086163906834713</v>
      </c>
      <c r="P45" s="19"/>
      <c r="Q45" s="21"/>
      <c r="R45" s="19"/>
    </row>
    <row r="46" spans="9:21" x14ac:dyDescent="0.25">
      <c r="I46" s="24"/>
      <c r="J46" s="25"/>
      <c r="K46" s="26" t="s">
        <v>98</v>
      </c>
      <c r="L46" s="26"/>
      <c r="M46" s="26"/>
      <c r="N46" s="26"/>
      <c r="O46" s="28">
        <f>AVERAGE(AA12:AA13)</f>
        <v>33.820941972874095</v>
      </c>
      <c r="P46" s="25"/>
      <c r="Q46" s="27"/>
      <c r="R46" s="19"/>
    </row>
  </sheetData>
  <mergeCells count="7">
    <mergeCell ref="W7:AB7"/>
    <mergeCell ref="I28:J37"/>
    <mergeCell ref="E1:F1"/>
    <mergeCell ref="K1:M3"/>
    <mergeCell ref="C2:D2"/>
    <mergeCell ref="G7:H7"/>
    <mergeCell ref="I7:T7"/>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Overview</vt:lpstr>
      <vt:lpstr>Metadata</vt:lpstr>
      <vt:lpstr>Protocol Metadata</vt:lpstr>
      <vt:lpstr>Late r1</vt:lpstr>
      <vt:lpstr>Late r2</vt:lpstr>
      <vt:lpstr>Late r3</vt:lpstr>
      <vt:lpstr>Late r4</vt:lpstr>
      <vt:lpstr>Late r5</vt:lpstr>
      <vt:lpstr>Late r6</vt:lpstr>
      <vt:lpstr>Late summary values</vt:lpstr>
      <vt:lpstr>Early r1</vt:lpstr>
      <vt:lpstr>Early r2</vt:lpstr>
      <vt:lpstr>Early r3</vt:lpstr>
      <vt:lpstr>Early r4</vt:lpstr>
      <vt:lpstr>Early summary values</vt:lpstr>
      <vt:lpstr>Ttests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dc:creator>
  <cp:lastModifiedBy>c</cp:lastModifiedBy>
  <dcterms:created xsi:type="dcterms:W3CDTF">2019-07-29T04:21:46Z</dcterms:created>
  <dcterms:modified xsi:type="dcterms:W3CDTF">2019-12-16T01:26:26Z</dcterms:modified>
</cp:coreProperties>
</file>