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Desktop\S. alba files for data archive\"/>
    </mc:Choice>
  </mc:AlternateContent>
  <bookViews>
    <workbookView xWindow="0" yWindow="0" windowWidth="20490" windowHeight="7905"/>
  </bookViews>
  <sheets>
    <sheet name="Overview" sheetId="8" r:id="rId1"/>
    <sheet name="Metadata" sheetId="7" r:id="rId2"/>
    <sheet name="PV summary values" sheetId="5" r:id="rId3"/>
    <sheet name="Calculation sheet" sheetId="2" r:id="rId4"/>
    <sheet name="Propagating error" sheetId="4" r:id="rId5"/>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 i="5" l="1"/>
  <c r="E2" i="5"/>
  <c r="F2" i="2"/>
  <c r="G2" i="5"/>
  <c r="L2" i="5"/>
  <c r="I3" i="5"/>
  <c r="E3" i="5"/>
  <c r="G3" i="5"/>
  <c r="L3" i="5"/>
  <c r="I4" i="5"/>
  <c r="E4" i="5"/>
  <c r="G4" i="5"/>
  <c r="L4" i="5"/>
  <c r="I5" i="5"/>
  <c r="E5" i="5"/>
  <c r="G5" i="5"/>
  <c r="L5" i="5"/>
  <c r="I6" i="5"/>
  <c r="E6" i="5"/>
  <c r="G6" i="5"/>
  <c r="L6" i="5"/>
  <c r="I7" i="5"/>
  <c r="E7" i="5"/>
  <c r="G7" i="5"/>
  <c r="L7" i="5"/>
  <c r="C8" i="5"/>
  <c r="D8" i="5"/>
  <c r="E8" i="5"/>
  <c r="F8" i="5"/>
  <c r="G8" i="5"/>
  <c r="H8" i="5"/>
  <c r="I8" i="5"/>
  <c r="J8" i="5"/>
  <c r="K8" i="5"/>
  <c r="L8" i="5"/>
  <c r="M8" i="5"/>
  <c r="N8" i="5"/>
  <c r="O8" i="5"/>
  <c r="P8" i="5"/>
  <c r="Q8" i="5"/>
  <c r="R8" i="5"/>
  <c r="C9" i="5"/>
  <c r="D9" i="5"/>
  <c r="E9" i="5"/>
  <c r="F9" i="5"/>
  <c r="G9" i="5"/>
  <c r="H9" i="5"/>
  <c r="I9" i="5"/>
  <c r="J9" i="5"/>
  <c r="K9" i="5"/>
  <c r="L9" i="5"/>
  <c r="M9" i="5"/>
  <c r="N9" i="5"/>
  <c r="O9" i="5"/>
  <c r="P9" i="5"/>
  <c r="Q9" i="5"/>
  <c r="R9" i="5"/>
  <c r="C10" i="5"/>
  <c r="D10" i="5"/>
  <c r="E10" i="5"/>
  <c r="F10" i="5"/>
  <c r="G10" i="5"/>
  <c r="H10" i="5"/>
  <c r="I10" i="5"/>
  <c r="J10" i="5"/>
  <c r="K10" i="5"/>
  <c r="L10" i="5"/>
  <c r="M10" i="5"/>
  <c r="N10" i="5"/>
  <c r="O10" i="5"/>
  <c r="P10" i="5"/>
  <c r="Q10" i="5"/>
  <c r="I11" i="5"/>
  <c r="E11" i="5"/>
  <c r="G11" i="5"/>
  <c r="L11" i="5"/>
  <c r="I12" i="5"/>
  <c r="E12" i="5"/>
  <c r="G12" i="5"/>
  <c r="L12" i="5"/>
  <c r="I13" i="5"/>
  <c r="E13" i="5"/>
  <c r="G13" i="5"/>
  <c r="L13" i="5"/>
  <c r="I14" i="5"/>
  <c r="E14" i="5"/>
  <c r="G14" i="5"/>
  <c r="L14" i="5"/>
  <c r="I15" i="5"/>
  <c r="E15" i="5"/>
  <c r="G15" i="5"/>
  <c r="L15" i="5"/>
  <c r="I16" i="5"/>
  <c r="E16" i="5"/>
  <c r="G16" i="5"/>
  <c r="L16" i="5"/>
  <c r="I17" i="5"/>
  <c r="E17" i="5"/>
  <c r="G17" i="5"/>
  <c r="L17" i="5"/>
  <c r="C18" i="5"/>
  <c r="D18" i="5"/>
  <c r="E18" i="5"/>
  <c r="F18" i="5"/>
  <c r="G18" i="5"/>
  <c r="H18" i="5"/>
  <c r="I18" i="5"/>
  <c r="J18" i="5"/>
  <c r="K18" i="5"/>
  <c r="L18" i="5"/>
  <c r="M18" i="5"/>
  <c r="N18" i="5"/>
  <c r="O18" i="5"/>
  <c r="P18" i="5"/>
  <c r="Q18" i="5"/>
  <c r="R18" i="5"/>
  <c r="C19" i="5"/>
  <c r="D19" i="5"/>
  <c r="E19" i="5"/>
  <c r="F19" i="5"/>
  <c r="G19" i="5"/>
  <c r="H19" i="5"/>
  <c r="I19" i="5"/>
  <c r="J19" i="5"/>
  <c r="K19" i="5"/>
  <c r="L19" i="5"/>
  <c r="M19" i="5"/>
  <c r="N19" i="5"/>
  <c r="O19" i="5"/>
  <c r="P19" i="5"/>
  <c r="Q19" i="5"/>
  <c r="R19" i="5"/>
  <c r="C20" i="5"/>
  <c r="D20" i="5"/>
  <c r="E20" i="5"/>
  <c r="F20" i="5"/>
  <c r="G20" i="5"/>
  <c r="H20" i="5"/>
  <c r="I20" i="5"/>
  <c r="J20" i="5"/>
  <c r="K20" i="5"/>
  <c r="L20" i="5"/>
  <c r="M20" i="5"/>
  <c r="N20" i="5"/>
  <c r="O20" i="5"/>
  <c r="P20" i="5"/>
  <c r="Q20" i="5"/>
  <c r="F24" i="5"/>
  <c r="G24" i="5"/>
  <c r="J24" i="5"/>
  <c r="K24" i="5"/>
  <c r="F25" i="5"/>
  <c r="G25" i="5"/>
  <c r="F27" i="5"/>
  <c r="G27" i="5"/>
  <c r="J27" i="5"/>
  <c r="K27" i="5"/>
  <c r="F28" i="5"/>
  <c r="G28" i="5"/>
  <c r="F31" i="5"/>
  <c r="G31" i="5"/>
  <c r="J31" i="5"/>
  <c r="K31" i="5"/>
  <c r="F32" i="5"/>
  <c r="G32" i="5"/>
  <c r="F34" i="5"/>
  <c r="G34" i="5"/>
  <c r="J34" i="5"/>
  <c r="K34" i="5"/>
  <c r="F35" i="5"/>
  <c r="G35" i="5"/>
  <c r="F37" i="5"/>
  <c r="G37" i="5"/>
  <c r="J37" i="5"/>
  <c r="K37" i="5"/>
  <c r="F38" i="5"/>
  <c r="G38" i="5"/>
  <c r="F41" i="5"/>
  <c r="G41" i="5"/>
  <c r="J41" i="5"/>
  <c r="K41" i="5"/>
  <c r="F42" i="5"/>
  <c r="G42" i="5"/>
  <c r="F44" i="5"/>
  <c r="G44" i="5"/>
  <c r="J44" i="5"/>
  <c r="K44" i="5"/>
  <c r="F45" i="5"/>
  <c r="G45" i="5"/>
  <c r="F47" i="5"/>
  <c r="G47" i="5"/>
  <c r="J47" i="5"/>
  <c r="K47" i="5"/>
  <c r="F48" i="5"/>
  <c r="G48" i="5"/>
  <c r="F50" i="5"/>
  <c r="G50" i="5"/>
  <c r="J50" i="5"/>
  <c r="K50" i="5"/>
  <c r="F51" i="5"/>
  <c r="G51" i="5"/>
  <c r="F53" i="5"/>
  <c r="G53" i="5"/>
  <c r="J53" i="5"/>
  <c r="K53" i="5"/>
  <c r="F54" i="5"/>
  <c r="G54" i="5"/>
  <c r="F56" i="5"/>
  <c r="G56" i="5"/>
  <c r="J56" i="5"/>
  <c r="K56" i="5"/>
  <c r="F57" i="5"/>
  <c r="G57" i="5"/>
  <c r="F59" i="5"/>
  <c r="G59" i="5"/>
  <c r="J59" i="5"/>
  <c r="K59" i="5"/>
  <c r="F60" i="5"/>
  <c r="G60" i="5"/>
  <c r="I11" i="4"/>
  <c r="I12" i="4"/>
  <c r="I13" i="4"/>
  <c r="I14" i="4"/>
  <c r="I15" i="4"/>
  <c r="I16" i="4"/>
  <c r="I17" i="4"/>
  <c r="I19" i="4"/>
  <c r="K19" i="4"/>
  <c r="L19" i="4"/>
  <c r="I18" i="4"/>
  <c r="K18" i="4"/>
  <c r="L18" i="4"/>
  <c r="M19" i="4"/>
  <c r="M18" i="4"/>
  <c r="M9" i="4"/>
  <c r="M8" i="4"/>
  <c r="O12" i="4"/>
  <c r="Q12" i="4"/>
  <c r="U12" i="4"/>
  <c r="Q32" i="4"/>
  <c r="R32" i="4"/>
  <c r="V12" i="4"/>
  <c r="W12" i="4"/>
  <c r="X12" i="4"/>
  <c r="Y12" i="4"/>
  <c r="Z12" i="4"/>
  <c r="O13" i="4"/>
  <c r="Q13" i="4"/>
  <c r="U13" i="4"/>
  <c r="V13" i="4"/>
  <c r="W13" i="4"/>
  <c r="X13" i="4"/>
  <c r="Y13" i="4"/>
  <c r="Z13" i="4"/>
  <c r="O14" i="4"/>
  <c r="Q14" i="4"/>
  <c r="U14" i="4"/>
  <c r="V14" i="4"/>
  <c r="W14" i="4"/>
  <c r="X14" i="4"/>
  <c r="Y14" i="4"/>
  <c r="Z14" i="4"/>
  <c r="O15" i="4"/>
  <c r="Q15" i="4"/>
  <c r="U15" i="4"/>
  <c r="V15" i="4"/>
  <c r="W15" i="4"/>
  <c r="X15" i="4"/>
  <c r="Y15" i="4"/>
  <c r="Z15" i="4"/>
  <c r="O16" i="4"/>
  <c r="Q16" i="4"/>
  <c r="U16" i="4"/>
  <c r="V16" i="4"/>
  <c r="W16" i="4"/>
  <c r="X16" i="4"/>
  <c r="Y16" i="4"/>
  <c r="Z16" i="4"/>
  <c r="O17" i="4"/>
  <c r="Q17" i="4"/>
  <c r="U17" i="4"/>
  <c r="V17" i="4"/>
  <c r="W17" i="4"/>
  <c r="X17" i="4"/>
  <c r="Y17" i="4"/>
  <c r="Z17" i="4"/>
  <c r="O11" i="4"/>
  <c r="Q11" i="4"/>
  <c r="U11" i="4"/>
  <c r="V11" i="4"/>
  <c r="W11" i="4"/>
  <c r="X11" i="4"/>
  <c r="Y11" i="4"/>
  <c r="Z11" i="4"/>
  <c r="Z18" i="4"/>
  <c r="X18" i="4"/>
  <c r="Y18" i="4"/>
  <c r="O2" i="4"/>
  <c r="Q2" i="4"/>
  <c r="U2" i="4"/>
  <c r="V2" i="4"/>
  <c r="X2" i="4"/>
  <c r="O3" i="4"/>
  <c r="Q3" i="4"/>
  <c r="U3" i="4"/>
  <c r="V3" i="4"/>
  <c r="X3" i="4"/>
  <c r="O4" i="4"/>
  <c r="Q4" i="4"/>
  <c r="U4" i="4"/>
  <c r="V4" i="4"/>
  <c r="X4" i="4"/>
  <c r="O5" i="4"/>
  <c r="Q5" i="4"/>
  <c r="U5" i="4"/>
  <c r="V5" i="4"/>
  <c r="X5" i="4"/>
  <c r="O6" i="4"/>
  <c r="Q6" i="4"/>
  <c r="U6" i="4"/>
  <c r="V6" i="4"/>
  <c r="X6" i="4"/>
  <c r="O7" i="4"/>
  <c r="Q7" i="4"/>
  <c r="U7" i="4"/>
  <c r="V7" i="4"/>
  <c r="X7" i="4"/>
  <c r="X9" i="4"/>
  <c r="Y2" i="4"/>
  <c r="Y3" i="4"/>
  <c r="Y4" i="4"/>
  <c r="Y5" i="4"/>
  <c r="Y6" i="4"/>
  <c r="Y7" i="4"/>
  <c r="Y9" i="4"/>
  <c r="Z2" i="4"/>
  <c r="Z3" i="4"/>
  <c r="Z4" i="4"/>
  <c r="Z5" i="4"/>
  <c r="Z6" i="4"/>
  <c r="Z7" i="4"/>
  <c r="Z9" i="4"/>
  <c r="X8" i="4"/>
  <c r="Y8" i="4"/>
  <c r="Z8" i="4"/>
  <c r="W19" i="4"/>
  <c r="V19" i="4"/>
  <c r="V9" i="4"/>
  <c r="W2" i="4"/>
  <c r="W3" i="4"/>
  <c r="W4" i="4"/>
  <c r="W5" i="4"/>
  <c r="W6" i="4"/>
  <c r="W7" i="4"/>
  <c r="W9" i="4"/>
  <c r="W18" i="4"/>
  <c r="W8" i="4"/>
  <c r="Q9" i="4"/>
  <c r="G2" i="4"/>
  <c r="R2" i="4"/>
  <c r="G3" i="4"/>
  <c r="R3" i="4"/>
  <c r="G4" i="4"/>
  <c r="R4" i="4"/>
  <c r="G5" i="4"/>
  <c r="R5" i="4"/>
  <c r="G6" i="4"/>
  <c r="R6" i="4"/>
  <c r="G7" i="4"/>
  <c r="R7" i="4"/>
  <c r="R9" i="4"/>
  <c r="S9" i="4"/>
  <c r="T2" i="4"/>
  <c r="T3" i="4"/>
  <c r="T4" i="4"/>
  <c r="T5" i="4"/>
  <c r="T6" i="4"/>
  <c r="T7" i="4"/>
  <c r="T9" i="4"/>
  <c r="U9" i="4"/>
  <c r="Q19" i="4"/>
  <c r="G11" i="4"/>
  <c r="R11" i="4"/>
  <c r="G12" i="4"/>
  <c r="R12" i="4"/>
  <c r="G13" i="4"/>
  <c r="R13" i="4"/>
  <c r="G14" i="4"/>
  <c r="R14" i="4"/>
  <c r="G15" i="4"/>
  <c r="R15" i="4"/>
  <c r="G16" i="4"/>
  <c r="R16" i="4"/>
  <c r="G17" i="4"/>
  <c r="R17" i="4"/>
  <c r="R19" i="4"/>
  <c r="S19" i="4"/>
  <c r="T11" i="4"/>
  <c r="T12" i="4"/>
  <c r="T13" i="4"/>
  <c r="T14" i="4"/>
  <c r="T15" i="4"/>
  <c r="T16" i="4"/>
  <c r="T17" i="4"/>
  <c r="T19" i="4"/>
  <c r="U19" i="4"/>
  <c r="Q18" i="4"/>
  <c r="R18" i="4"/>
  <c r="S18" i="4"/>
  <c r="T18" i="4"/>
  <c r="U18" i="4"/>
  <c r="Q8" i="4"/>
  <c r="R8" i="4"/>
  <c r="S8" i="4"/>
  <c r="T8" i="4"/>
  <c r="U8" i="4"/>
  <c r="N11" i="4"/>
  <c r="N12" i="4"/>
  <c r="N13" i="4"/>
  <c r="N14" i="4"/>
  <c r="N15" i="4"/>
  <c r="N16" i="4"/>
  <c r="N17" i="4"/>
  <c r="N19" i="4"/>
  <c r="O19" i="4"/>
  <c r="N18" i="4"/>
  <c r="O18" i="4"/>
  <c r="N2" i="4"/>
  <c r="N3" i="4"/>
  <c r="N4" i="4"/>
  <c r="N5" i="4"/>
  <c r="N6" i="4"/>
  <c r="N7" i="4"/>
  <c r="N9" i="4"/>
  <c r="O9" i="4"/>
  <c r="N8" i="4"/>
  <c r="O8" i="4"/>
  <c r="G39" i="4"/>
  <c r="I2" i="4"/>
  <c r="I3" i="4"/>
  <c r="I4" i="4"/>
  <c r="I5" i="4"/>
  <c r="I6" i="4"/>
  <c r="I7" i="4"/>
  <c r="I9" i="4"/>
  <c r="G38" i="4"/>
  <c r="I8" i="4"/>
  <c r="P19" i="4"/>
  <c r="P18" i="4"/>
  <c r="P20" i="4"/>
  <c r="P9" i="4"/>
  <c r="P8" i="4"/>
  <c r="P10" i="4"/>
  <c r="G45" i="4"/>
  <c r="F45" i="4"/>
  <c r="G44" i="4"/>
  <c r="F44" i="4"/>
  <c r="F42" i="4"/>
  <c r="K41" i="4"/>
  <c r="J41" i="4"/>
  <c r="I41" i="4"/>
  <c r="F41" i="4"/>
  <c r="F39" i="4"/>
  <c r="F38" i="4"/>
  <c r="H11" i="4"/>
  <c r="H12" i="4"/>
  <c r="H13" i="4"/>
  <c r="H14" i="4"/>
  <c r="H15" i="4"/>
  <c r="H16" i="4"/>
  <c r="H17" i="4"/>
  <c r="F35" i="4"/>
  <c r="H2" i="4"/>
  <c r="H3" i="4"/>
  <c r="H4" i="4"/>
  <c r="H5" i="4"/>
  <c r="H6" i="4"/>
  <c r="H7" i="4"/>
  <c r="F34" i="4"/>
  <c r="F31" i="4"/>
  <c r="K30" i="4"/>
  <c r="J30" i="4"/>
  <c r="I30" i="4"/>
  <c r="F30" i="4"/>
  <c r="F11" i="4"/>
  <c r="F12" i="4"/>
  <c r="F13" i="4"/>
  <c r="F14" i="4"/>
  <c r="F15" i="4"/>
  <c r="F16" i="4"/>
  <c r="F17" i="4"/>
  <c r="G28" i="4"/>
  <c r="F28" i="4"/>
  <c r="F2" i="4"/>
  <c r="F3" i="4"/>
  <c r="F4" i="4"/>
  <c r="F5" i="4"/>
  <c r="F6" i="4"/>
  <c r="F7" i="4"/>
  <c r="G27" i="4"/>
  <c r="F27" i="4"/>
  <c r="L2" i="2"/>
  <c r="F8" i="2"/>
  <c r="F9" i="2"/>
  <c r="F10" i="2"/>
  <c r="F13" i="2"/>
  <c r="F14" i="2"/>
  <c r="F15" i="2"/>
  <c r="F16" i="2"/>
  <c r="G25" i="2"/>
  <c r="F3" i="2"/>
  <c r="F4" i="2"/>
  <c r="F5" i="2"/>
  <c r="F6" i="2"/>
  <c r="E7" i="2"/>
  <c r="F7" i="2"/>
  <c r="G24" i="2"/>
  <c r="K24" i="2"/>
  <c r="G2" i="2"/>
  <c r="G3" i="2"/>
  <c r="G4" i="2"/>
  <c r="G5" i="2"/>
  <c r="G6" i="2"/>
  <c r="G7" i="2"/>
  <c r="G8" i="2"/>
  <c r="G9" i="2"/>
  <c r="G10" i="2"/>
  <c r="G13" i="2"/>
  <c r="G14" i="2"/>
  <c r="G15" i="2"/>
  <c r="G16" i="2"/>
  <c r="J24" i="2"/>
  <c r="I24" i="2"/>
  <c r="L8" i="2"/>
  <c r="N8" i="2"/>
  <c r="L9" i="2"/>
  <c r="N9" i="2"/>
  <c r="L10" i="2"/>
  <c r="N10" i="2"/>
  <c r="L13" i="2"/>
  <c r="N13" i="2"/>
  <c r="L14" i="2"/>
  <c r="N14" i="2"/>
  <c r="L15" i="2"/>
  <c r="N15" i="2"/>
  <c r="L16" i="2"/>
  <c r="N16" i="2"/>
  <c r="F39" i="2"/>
  <c r="N2" i="2"/>
  <c r="L3" i="2"/>
  <c r="N3" i="2"/>
  <c r="L4" i="2"/>
  <c r="N4" i="2"/>
  <c r="L5" i="2"/>
  <c r="N5" i="2"/>
  <c r="L6" i="2"/>
  <c r="N6" i="2"/>
  <c r="L7" i="2"/>
  <c r="N7" i="2"/>
  <c r="F38" i="2"/>
  <c r="I8" i="2"/>
  <c r="I9" i="2"/>
  <c r="I10" i="2"/>
  <c r="I13" i="2"/>
  <c r="I14" i="2"/>
  <c r="I15" i="2"/>
  <c r="I16" i="2"/>
  <c r="F36" i="2"/>
  <c r="I2" i="2"/>
  <c r="I3" i="2"/>
  <c r="I4" i="2"/>
  <c r="I5" i="2"/>
  <c r="I6" i="2"/>
  <c r="I7" i="2"/>
  <c r="F35" i="2"/>
  <c r="H8" i="2"/>
  <c r="H9" i="2"/>
  <c r="H10" i="2"/>
  <c r="H13" i="2"/>
  <c r="H14" i="2"/>
  <c r="H15" i="2"/>
  <c r="H16" i="2"/>
  <c r="F32" i="2"/>
  <c r="H2" i="2"/>
  <c r="H3" i="2"/>
  <c r="H4" i="2"/>
  <c r="H5" i="2"/>
  <c r="H6" i="2"/>
  <c r="H7" i="2"/>
  <c r="F31" i="2"/>
  <c r="F28" i="2"/>
  <c r="F27" i="2"/>
  <c r="F25" i="2"/>
  <c r="F24" i="2"/>
  <c r="P8" i="2"/>
  <c r="P9" i="2"/>
  <c r="P10" i="2"/>
  <c r="P13" i="2"/>
  <c r="P14" i="2"/>
  <c r="P15" i="2"/>
  <c r="P16" i="2"/>
  <c r="G42" i="2"/>
  <c r="P2" i="2"/>
  <c r="P3" i="2"/>
  <c r="P4" i="2"/>
  <c r="P5" i="2"/>
  <c r="P6" i="2"/>
  <c r="P7" i="2"/>
  <c r="G41" i="2"/>
  <c r="F42" i="2"/>
  <c r="F41" i="2"/>
  <c r="I41" i="2"/>
  <c r="I38" i="2"/>
  <c r="J38" i="2"/>
  <c r="K38" i="2"/>
  <c r="K41" i="2"/>
  <c r="J41" i="2"/>
  <c r="I27" i="4"/>
  <c r="J27" i="4"/>
  <c r="K27" i="4"/>
  <c r="I34" i="4"/>
  <c r="J34" i="4"/>
  <c r="K34" i="4"/>
  <c r="I38" i="4"/>
  <c r="J38" i="4"/>
  <c r="K38" i="4"/>
  <c r="I44" i="4"/>
  <c r="J44" i="4"/>
  <c r="K44" i="4"/>
  <c r="I31" i="2"/>
  <c r="I35" i="2"/>
  <c r="J31" i="2"/>
  <c r="J35" i="2"/>
  <c r="K27" i="2"/>
  <c r="J27" i="2"/>
  <c r="I27" i="2"/>
  <c r="K31" i="2"/>
  <c r="K35" i="2"/>
</calcChain>
</file>

<file path=xl/sharedStrings.xml><?xml version="1.0" encoding="utf-8"?>
<sst xmlns="http://schemas.openxmlformats.org/spreadsheetml/2006/main" count="441" uniqueCount="198">
  <si>
    <t>RWC50</t>
  </si>
  <si>
    <t>Season/Age</t>
  </si>
  <si>
    <t>Rep</t>
  </si>
  <si>
    <t>LDM</t>
  </si>
  <si>
    <t xml:space="preserve">LDM </t>
  </si>
  <si>
    <t>EDM</t>
  </si>
  <si>
    <t>Late Dry season</t>
  </si>
  <si>
    <t>Early Dry season</t>
  </si>
  <si>
    <t>SE</t>
  </si>
  <si>
    <t>RWC70</t>
  </si>
  <si>
    <t>Ftest</t>
  </si>
  <si>
    <t>(0.0021*x)+0.1132</t>
  </si>
  <si>
    <t>((0.0049*x)-0.1088)</t>
  </si>
  <si>
    <t>((0.0037*x)-0.012)</t>
  </si>
  <si>
    <t>((0.0043*x)-0.0601)</t>
  </si>
  <si>
    <t>((0.0034*x)+0.037)</t>
  </si>
  <si>
    <t>((0.0092*x)-0.4237)</t>
  </si>
  <si>
    <t>((0.0069*x)-0.3238)</t>
  </si>
  <si>
    <t>((0.0124*x)-0.8103)</t>
  </si>
  <si>
    <t>((0.0085*x)-0.4728)</t>
  </si>
  <si>
    <t>((0.0084*x)-0.425)</t>
  </si>
  <si>
    <t>((0.014*x)-0.9252)</t>
  </si>
  <si>
    <t>((0.0133*x)-0.827)</t>
  </si>
  <si>
    <t>((0.0081*x)-0.3673)</t>
  </si>
  <si>
    <t>Constants</t>
  </si>
  <si>
    <t>Ψstem P50 mean</t>
  </si>
  <si>
    <t>Ψstem P50 upper CI</t>
  </si>
  <si>
    <t>Ψstem P50 lower CI</t>
  </si>
  <si>
    <t>m</t>
  </si>
  <si>
    <t>Ψstem P12 mean</t>
  </si>
  <si>
    <t>RWCLeaf at P12 stem</t>
  </si>
  <si>
    <r>
      <rPr>
        <b/>
        <sz val="11"/>
        <color theme="1"/>
        <rFont val="Calibri"/>
        <family val="2"/>
      </rPr>
      <t>Ψ</t>
    </r>
    <r>
      <rPr>
        <b/>
        <sz val="11"/>
        <color theme="1"/>
        <rFont val="Calibri"/>
        <family val="2"/>
        <scheme val="minor"/>
      </rPr>
      <t>Leaf @ RWC70</t>
    </r>
  </si>
  <si>
    <r>
      <t xml:space="preserve">RWCleaf @ </t>
    </r>
    <r>
      <rPr>
        <b/>
        <sz val="11"/>
        <color theme="1"/>
        <rFont val="Calibri"/>
        <family val="2"/>
      </rPr>
      <t>ψ50 stem</t>
    </r>
  </si>
  <si>
    <t>RWCleaf @ P12 Stem</t>
  </si>
  <si>
    <t>Apoplastic fraction</t>
  </si>
  <si>
    <t>Apoplastic fraction (%RWC)</t>
  </si>
  <si>
    <r>
      <t>RWCLeaf at P</t>
    </r>
    <r>
      <rPr>
        <b/>
        <sz val="11"/>
        <color theme="1"/>
        <rFont val="Calibri"/>
        <family val="2"/>
      </rPr>
      <t>50 stem</t>
    </r>
  </si>
  <si>
    <t>c  yintercept</t>
  </si>
  <si>
    <t>Linear  region in 1/BP plot</t>
  </si>
  <si>
    <t>Linear function of RWC Cleaf plot</t>
  </si>
  <si>
    <t>Ψpd late mean</t>
  </si>
  <si>
    <t>Ψpd late se</t>
  </si>
  <si>
    <t>Ψpd early mean</t>
  </si>
  <si>
    <t>Ψpd early se</t>
  </si>
  <si>
    <r>
      <rPr>
        <b/>
        <sz val="11"/>
        <color theme="1"/>
        <rFont val="Calibri"/>
        <family val="2"/>
      </rPr>
      <t>Ψ</t>
    </r>
    <r>
      <rPr>
        <b/>
        <sz val="11"/>
        <color theme="1"/>
        <rFont val="Calibri"/>
        <family val="2"/>
        <scheme val="minor"/>
      </rPr>
      <t>PD RWC</t>
    </r>
  </si>
  <si>
    <t>%RWC before P50</t>
  </si>
  <si>
    <t>Conversion factor (% RWC : kg/m2)</t>
  </si>
  <si>
    <t>ABS water available From PD to P50 (kg/m2)</t>
  </si>
  <si>
    <t>Ttest (twotail)</t>
  </si>
  <si>
    <t>Ttest (onetail)</t>
  </si>
  <si>
    <t>Stem P50 se</t>
  </si>
  <si>
    <r>
      <rPr>
        <b/>
        <sz val="11"/>
        <color theme="1"/>
        <rFont val="Calibri"/>
        <family val="2"/>
      </rPr>
      <t>δ Ψ</t>
    </r>
    <r>
      <rPr>
        <b/>
        <sz val="11"/>
        <color theme="1"/>
        <rFont val="Calibri"/>
        <family val="2"/>
        <scheme val="minor"/>
      </rPr>
      <t>PD</t>
    </r>
  </si>
  <si>
    <t xml:space="preserve">Mean </t>
  </si>
  <si>
    <t>% RWC at TLP</t>
  </si>
  <si>
    <t>RWC before TLP</t>
  </si>
  <si>
    <t>RWCs at TLP</t>
  </si>
  <si>
    <t>Es</t>
  </si>
  <si>
    <t>πo</t>
  </si>
  <si>
    <t>Ttest Es</t>
  </si>
  <si>
    <t>ABS water available before TLP (kg/m2)</t>
  </si>
  <si>
    <t>ABS w available from pd to TLP (mmol)</t>
  </si>
  <si>
    <t>mols/kg</t>
  </si>
  <si>
    <t>mmol/kg</t>
  </si>
  <si>
    <t>Net carbon from canopy water umol/ m2</t>
  </si>
  <si>
    <t>sustain max trainspiration</t>
  </si>
  <si>
    <t>max trasnpiration in minutes</t>
  </si>
  <si>
    <t>max transpiration in hours</t>
  </si>
  <si>
    <t>E</t>
  </si>
  <si>
    <t>Cleaf mass</t>
  </si>
  <si>
    <t>Se</t>
  </si>
  <si>
    <t>Cleaf area</t>
  </si>
  <si>
    <t>R Cleaf</t>
  </si>
  <si>
    <t>Os FT</t>
  </si>
  <si>
    <t>RWCTLP</t>
  </si>
  <si>
    <t>Bulk TLP</t>
  </si>
  <si>
    <t>Wcsat dm</t>
  </si>
  <si>
    <t>Wcsat area</t>
  </si>
  <si>
    <t>Leaf sat FM</t>
  </si>
  <si>
    <t>LMA</t>
  </si>
  <si>
    <t>Ttest (two tail)</t>
  </si>
  <si>
    <t>Leaf Area</t>
  </si>
  <si>
    <t>SE%</t>
  </si>
  <si>
    <t>Mean</t>
  </si>
  <si>
    <t>RWCs TLP</t>
  </si>
  <si>
    <t>EM (Mpa)</t>
  </si>
  <si>
    <t>Mass Specific C (g gdw-1 Mpa-1)</t>
  </si>
  <si>
    <t>Area specific C (kg Mpa-1 M-2)</t>
  </si>
  <si>
    <t>C Relative (% RWC Mpa-1)</t>
  </si>
  <si>
    <t>Salinity</t>
  </si>
  <si>
    <t>Osmotic.FT.psi</t>
  </si>
  <si>
    <t>TLP.RWC</t>
  </si>
  <si>
    <t>TLP.psi</t>
  </si>
  <si>
    <t>DW (g)</t>
  </si>
  <si>
    <t>WC(g.g)</t>
  </si>
  <si>
    <t>Wcsat(g.m2)</t>
  </si>
  <si>
    <t>WC sat FM</t>
  </si>
  <si>
    <t>Leaf Area (m2)</t>
  </si>
  <si>
    <t>WC Sat (abs)</t>
  </si>
  <si>
    <t>Title</t>
  </si>
  <si>
    <t xml:space="preserve">“Dry season enhancement of leaf capacitance buffers exposure to critical stem water potentials.” </t>
  </si>
  <si>
    <t>Abstract</t>
  </si>
  <si>
    <t>Data author</t>
  </si>
  <si>
    <t>Manuscript authors</t>
  </si>
  <si>
    <t>Group Leader</t>
  </si>
  <si>
    <t>Marilyn C. Ball</t>
  </si>
  <si>
    <t>Grant  details</t>
  </si>
  <si>
    <t>Australian Research Council Discovery Grant DP180102969 awarded to Marilyn C. Ball., Lawren Sack and Maurizio Mencuccini</t>
  </si>
  <si>
    <t>Date</t>
  </si>
  <si>
    <t>Collected in early dry season (13-25 August 2018) and late dry season (13-25 November 2018)</t>
  </si>
  <si>
    <t xml:space="preserve">Location </t>
  </si>
  <si>
    <t>Methods</t>
  </si>
  <si>
    <t>See read me</t>
  </si>
  <si>
    <t>%</t>
  </si>
  <si>
    <t>g</t>
  </si>
  <si>
    <t>-</t>
  </si>
  <si>
    <t>Units</t>
  </si>
  <si>
    <t>Explanation</t>
  </si>
  <si>
    <t>Data Header</t>
  </si>
  <si>
    <t>PV Summary values</t>
  </si>
  <si>
    <t>Calculation sheet</t>
  </si>
  <si>
    <r>
      <t>RWCLeaf at P</t>
    </r>
    <r>
      <rPr>
        <sz val="11"/>
        <color theme="1"/>
        <rFont val="Calibri"/>
        <family val="2"/>
      </rPr>
      <t>50 stem</t>
    </r>
  </si>
  <si>
    <r>
      <rPr>
        <sz val="11"/>
        <color theme="1"/>
        <rFont val="Calibri"/>
        <family val="2"/>
      </rPr>
      <t>Ψ</t>
    </r>
    <r>
      <rPr>
        <sz val="11"/>
        <color theme="1"/>
        <rFont val="Calibri"/>
        <family val="2"/>
        <scheme val="minor"/>
      </rPr>
      <t>PD RWC</t>
    </r>
  </si>
  <si>
    <r>
      <rPr>
        <sz val="11"/>
        <color theme="1"/>
        <rFont val="Calibri"/>
        <family val="2"/>
      </rPr>
      <t>δ Ψ</t>
    </r>
    <r>
      <rPr>
        <sz val="11"/>
        <color theme="1"/>
        <rFont val="Calibri"/>
        <family val="2"/>
        <scheme val="minor"/>
      </rPr>
      <t>PD</t>
    </r>
  </si>
  <si>
    <t>Propagating error sheet</t>
  </si>
  <si>
    <t>Saturated water content</t>
  </si>
  <si>
    <t>Leaf area</t>
  </si>
  <si>
    <t>m2</t>
  </si>
  <si>
    <t>Saturated water content per m2</t>
  </si>
  <si>
    <t>g/ m2</t>
  </si>
  <si>
    <t>Sat FM</t>
  </si>
  <si>
    <t>Saturated fresh mass per metre squared</t>
  </si>
  <si>
    <t>water content per gram dry mass</t>
  </si>
  <si>
    <t>g/g</t>
  </si>
  <si>
    <t>dry mass</t>
  </si>
  <si>
    <t>Leaf mass per unit area</t>
  </si>
  <si>
    <t>LDM= Late dry season mature, EDM = late dry season mature</t>
  </si>
  <si>
    <t>Replicate</t>
  </si>
  <si>
    <t>MPa</t>
  </si>
  <si>
    <t>RWC %</t>
  </si>
  <si>
    <t xml:space="preserve">Relative water content at leaf turgor loss point </t>
  </si>
  <si>
    <t>Water potential at leaf turgor loss point</t>
  </si>
  <si>
    <t>Osmotic potential at full turgor</t>
  </si>
  <si>
    <t>Estuarine salinity at the roots</t>
  </si>
  <si>
    <t>Leaf hydraulic capacitance</t>
  </si>
  <si>
    <t>% RWC/ MPa</t>
  </si>
  <si>
    <t>Area specific hydraulic capacitance</t>
  </si>
  <si>
    <t>Mass specific hydraulic capaciticance</t>
  </si>
  <si>
    <t>g water/ m2/ MPa</t>
  </si>
  <si>
    <t>g water/ g dry mass/ MPa</t>
  </si>
  <si>
    <t>Bulk modulus of elasticity</t>
  </si>
  <si>
    <t>Symplastic relative water content at turgor loss point</t>
  </si>
  <si>
    <t>% RWC</t>
  </si>
  <si>
    <t>slope of linear region in 1/plot</t>
  </si>
  <si>
    <t>y intercept in 1/plot</t>
  </si>
  <si>
    <t>Psi leaf at Relative Water Content 70%</t>
  </si>
  <si>
    <t>Leaf relative water content at Psi associated with stem P50</t>
  </si>
  <si>
    <t>Leaf relative water content at Psi associated with stem P12</t>
  </si>
  <si>
    <t>Amount of leaf water held in the apoplast</t>
  </si>
  <si>
    <t>% of total RWC</t>
  </si>
  <si>
    <t>RWC at predawn water potential</t>
  </si>
  <si>
    <t>slope of linear function</t>
  </si>
  <si>
    <t>Linear function of RWC leaf hydraulic capacitance plot</t>
  </si>
  <si>
    <t>RWC between predawn and P50</t>
  </si>
  <si>
    <t>as stated</t>
  </si>
  <si>
    <t>Absolute water available between predawn and P50</t>
  </si>
  <si>
    <t xml:space="preserve">Relative water content at predawn </t>
  </si>
  <si>
    <t>Relative water content at turgor loss point</t>
  </si>
  <si>
    <t>RWCleaf distance between predawn and stem P50</t>
  </si>
  <si>
    <t>RWCleaf distance between predawn and leaf turgor loss point</t>
  </si>
  <si>
    <t>kg/m2</t>
  </si>
  <si>
    <t>RWC</t>
  </si>
  <si>
    <t>mmol</t>
  </si>
  <si>
    <t>umol/ m2</t>
  </si>
  <si>
    <t xml:space="preserve">Absolute </t>
  </si>
  <si>
    <t>Net carbon from canopy water</t>
  </si>
  <si>
    <t>Total duration able to sustain max transpiration rate</t>
  </si>
  <si>
    <t>min</t>
  </si>
  <si>
    <t>hr</t>
  </si>
  <si>
    <r>
      <t xml:space="preserve">Changing global climate portends perturbed seasonal precipitation regimes and increases in night-time temperatures. An integrated understanding of how plants acclimate to these seasonal drought conditions has never been more important as regional-scale vegetation dieback is predicted to increase when drought conditions are exacerbated. The potential for seasonal coordination of suites of traits that enable dehydration tolerance or delay in a given species remain poorly resolved. We surveyed early dry season leaf and stem water-use traits and gas exchange with respect to drought tolerance in the mangrove, </t>
    </r>
    <r>
      <rPr>
        <i/>
        <sz val="11"/>
        <color theme="1"/>
        <rFont val="Calibri Light"/>
        <family val="2"/>
      </rPr>
      <t>Sonneratia alba</t>
    </r>
    <r>
      <rPr>
        <sz val="11"/>
        <color theme="1"/>
        <rFont val="Calibri Light"/>
        <family val="2"/>
      </rPr>
      <t>, growing in a relatively constant salinity, then took advantage of a naturally occurring heat wave in the late dry season, to assess dry season acclimation of these traits. We found that increased leaf hydraulic capacitance above leaf turgor loss point (π</t>
    </r>
    <r>
      <rPr>
        <vertAlign val="subscript"/>
        <sz val="11"/>
        <color theme="1"/>
        <rFont val="Calibri Light"/>
        <family val="2"/>
      </rPr>
      <t>TLP</t>
    </r>
    <r>
      <rPr>
        <sz val="11"/>
        <color theme="1"/>
        <rFont val="Calibri Light"/>
        <family val="2"/>
      </rPr>
      <t>) enabled rapid transpiration required to sustain assimilation rates under morning conditions, while increased leaf capacitance below π</t>
    </r>
    <r>
      <rPr>
        <vertAlign val="subscript"/>
        <sz val="11"/>
        <color theme="1"/>
        <rFont val="Calibri Light"/>
        <family val="2"/>
      </rPr>
      <t>TLP</t>
    </r>
    <r>
      <rPr>
        <sz val="11"/>
        <color theme="1"/>
        <rFont val="Calibri Light"/>
        <family val="2"/>
      </rPr>
      <t xml:space="preserve"> buffered against excursions in stem water potentials to critically low levels. Our results highlight the functional contributions of leaf capacitance in the mitigation of the twin risks of hydraulic failure and carbon starvation during drought, as well as underscoring the importance of the capacity for acclimation of leaf traits in determining drought tolerance.</t>
    </r>
  </si>
  <si>
    <t xml:space="preserve">Callum James Bryant, Australian National University, callum.bryant@anu.edu.au; </t>
  </si>
  <si>
    <t>Marilyn C. Ball, Australian National University, marilyn.ball@anu.edu.au</t>
  </si>
  <si>
    <r>
      <t>Callum J. Bryant, Tomas Fuenzalida, Nigel Brothers, Maurizio Mencuccini, Lawren Sack, Oliver Binks,</t>
    </r>
    <r>
      <rPr>
        <vertAlign val="superscript"/>
        <sz val="11"/>
        <color theme="1"/>
        <rFont val="Calibri Light"/>
        <family val="2"/>
      </rPr>
      <t xml:space="preserve"> </t>
    </r>
    <r>
      <rPr>
        <sz val="11"/>
        <color theme="1"/>
        <rFont val="Calibri Light"/>
        <family val="2"/>
      </rPr>
      <t>Marilyn C. Ball</t>
    </r>
  </si>
  <si>
    <r>
      <t xml:space="preserve">Branches and leaves were collected from a stand of </t>
    </r>
    <r>
      <rPr>
        <i/>
        <sz val="11"/>
        <color theme="1"/>
        <rFont val="Calibri Light"/>
        <family val="2"/>
      </rPr>
      <t>Sonneratia alba</t>
    </r>
    <r>
      <rPr>
        <sz val="11"/>
        <color theme="1"/>
        <rFont val="Calibri Light"/>
        <family val="2"/>
      </rPr>
      <t xml:space="preserve"> trees growing naturally along the Daintree River, Daintree National Park, Far North Queensland (16°17'24.8"S 145°24'36.8"E). </t>
    </r>
  </si>
  <si>
    <t>Contents</t>
  </si>
  <si>
    <t>1 -  Raw pressure-volume curve data.xlsx</t>
  </si>
  <si>
    <t>2 - Summary of PV curved derived values for each leaf measured.xlsx</t>
  </si>
  <si>
    <t>3 - Gmin calculation sheet for each leaf rep.xlsx</t>
  </si>
  <si>
    <t>4 - Summary of gmin values per leaf rep.xlsx</t>
  </si>
  <si>
    <t>5 - Shoot PV Curves raw and calculation sheet.xlsx</t>
  </si>
  <si>
    <t>6 - Average shoot water release curves.xlsx</t>
  </si>
  <si>
    <t>7 - Data for plotting mean shoot water release curves.xlsx</t>
  </si>
  <si>
    <t xml:space="preserve">8 - Leaf RWC at stem P50 calculations.xlsx </t>
  </si>
  <si>
    <t>9 - Instantaneous hydraulic capacitance calculations.xlsx</t>
  </si>
  <si>
    <t>10 - Kestrel data hourly T and VPD averages by day to create seasonal averages.xlsx</t>
  </si>
  <si>
    <t>11 - Diurnal gas exchange and hydraulic conductance.xlsx</t>
  </si>
  <si>
    <t>12 - Pneumatic hydraulic vulnerability curves.xlsx</t>
  </si>
  <si>
    <t xml:space="preserve">13 - Kleaf vulnerability curve RKM method.xlsx </t>
  </si>
  <si>
    <t>Read me.docx</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</si>
</sst>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1"/>
      <color theme="1"/>
      <name val="Calibri"/>
      <family val="2"/>
      <scheme val="minor"/>
    </font>
    <font>
      <b/>
      <u/>
      <sz val="11"/>
      <color theme="1"/>
      <name val="Calibri"/>
      <family val="2"/>
      <scheme val="minor"/>
    </font>
    <font>
      <b/>
      <sz val="11"/>
      <color theme="5"/>
      <name val="Calibri"/>
      <family val="2"/>
      <scheme val="minor"/>
    </font>
    <font>
      <sz val="11"/>
      <color theme="1"/>
      <name val="Calibri Light"/>
      <family val="2"/>
    </font>
    <font>
      <sz val="11"/>
      <color theme="1"/>
      <name val="Calibri Light"/>
      <family val="2"/>
      <scheme val="major"/>
    </font>
    <font>
      <vertAlign val="superscript"/>
      <sz val="11"/>
      <color theme="1"/>
      <name val="Calibri Light"/>
      <family val="2"/>
    </font>
    <font>
      <b/>
      <sz val="12"/>
      <color theme="1"/>
      <name val="Calibri"/>
      <family val="2"/>
      <scheme val="minor"/>
    </font>
    <font>
      <sz val="11"/>
      <color theme="5"/>
      <name val="Calibri"/>
      <family val="2"/>
      <scheme val="minor"/>
    </font>
    <font>
      <i/>
      <sz val="11"/>
      <color theme="1"/>
      <name val="Calibri Light"/>
      <family val="2"/>
    </font>
    <font>
      <vertAlign val="subscript"/>
      <sz val="11"/>
      <color theme="1"/>
      <name val="Calibri Light"/>
      <family val="2"/>
    </font>
    <font>
      <sz val="10"/>
      <color rgb="FF000000"/>
      <name val="Calibri Light"/>
      <family val="2"/>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cellStyleXfs>
  <cellXfs count="27">
    <xf numFmtId="0" fontId="0" fillId="0" borderId="0" xfId="0"/>
    <xf numFmtId="0" fontId="1" fillId="0" borderId="0" xfId="0" applyFont="1"/>
    <xf numFmtId="0" fontId="2" fillId="0" borderId="0" xfId="0" applyFont="1"/>
    <xf numFmtId="0" fontId="3" fillId="0" borderId="0" xfId="0" applyFont="1"/>
    <xf numFmtId="0" fontId="0" fillId="2" borderId="0" xfId="0" applyFill="1"/>
    <xf numFmtId="0" fontId="0" fillId="3" borderId="0" xfId="0" applyFill="1"/>
    <xf numFmtId="2" fontId="0" fillId="2" borderId="0" xfId="0" applyNumberFormat="1" applyFill="1"/>
    <xf numFmtId="0" fontId="5" fillId="0" borderId="0" xfId="0" applyFont="1"/>
    <xf numFmtId="0" fontId="6" fillId="0" borderId="0" xfId="0" applyFont="1"/>
    <xf numFmtId="0" fontId="4" fillId="0" borderId="0" xfId="1"/>
    <xf numFmtId="0" fontId="0" fillId="0" borderId="0" xfId="1" applyFont="1"/>
    <xf numFmtId="0" fontId="3" fillId="0" borderId="0" xfId="0" applyFont="1" applyAlignment="1">
      <alignment vertical="top" wrapText="1"/>
    </xf>
    <xf numFmtId="0" fontId="0" fillId="0" borderId="0" xfId="1" applyFont="1" applyAlignment="1">
      <alignment horizontal="left"/>
    </xf>
    <xf numFmtId="0" fontId="1" fillId="0" borderId="0" xfId="0" applyFont="1" applyAlignment="1">
      <alignment vertical="top" wrapText="1"/>
    </xf>
    <xf numFmtId="0" fontId="10" fillId="0" borderId="0" xfId="1" applyFont="1"/>
    <xf numFmtId="0" fontId="0" fillId="0" borderId="0" xfId="0" applyFont="1"/>
    <xf numFmtId="0" fontId="1" fillId="0" borderId="0" xfId="1" applyFont="1"/>
    <xf numFmtId="0" fontId="11" fillId="0" borderId="0" xfId="0" applyFont="1"/>
    <xf numFmtId="0" fontId="0" fillId="0" borderId="0" xfId="0" applyAlignment="1">
      <alignment horizontal="right"/>
    </xf>
    <xf numFmtId="0" fontId="7" fillId="0" borderId="0" xfId="0" applyFont="1"/>
    <xf numFmtId="0" fontId="8" fillId="0" borderId="0" xfId="0" applyFont="1" applyAlignment="1">
      <alignment horizontal="right" vertical="top"/>
    </xf>
    <xf numFmtId="0" fontId="7" fillId="0" borderId="0" xfId="0" applyFont="1" applyAlignment="1">
      <alignment vertical="top" wrapText="1"/>
    </xf>
    <xf numFmtId="0" fontId="7" fillId="0" borderId="0" xfId="0" applyFont="1" applyAlignment="1">
      <alignment vertical="top"/>
    </xf>
    <xf numFmtId="0" fontId="7" fillId="0" borderId="0" xfId="0" applyFont="1" applyAlignment="1">
      <alignment vertical="center"/>
    </xf>
    <xf numFmtId="0" fontId="7" fillId="0" borderId="0" xfId="0" applyFont="1" applyAlignment="1">
      <alignment horizontal="left" wrapText="1"/>
    </xf>
    <xf numFmtId="0" fontId="14" fillId="0" borderId="0" xfId="0" applyFont="1" applyAlignment="1">
      <alignment horizontal="justify" vertical="center"/>
    </xf>
    <xf numFmtId="0" fontId="14"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A13" sqref="A13"/>
    </sheetView>
  </sheetViews>
  <sheetFormatPr defaultRowHeight="15" x14ac:dyDescent="0.25"/>
  <cols>
    <col min="1" max="1" width="22.85546875" customWidth="1"/>
    <col min="2" max="2" width="140.140625" customWidth="1"/>
  </cols>
  <sheetData>
    <row r="1" spans="1:2" x14ac:dyDescent="0.25">
      <c r="A1" s="18" t="s">
        <v>98</v>
      </c>
      <c r="B1" s="19" t="s">
        <v>99</v>
      </c>
    </row>
    <row r="2" spans="1:2" ht="160.5" customHeight="1" x14ac:dyDescent="0.25">
      <c r="A2" s="20" t="s">
        <v>100</v>
      </c>
      <c r="B2" s="21" t="s">
        <v>178</v>
      </c>
    </row>
    <row r="3" spans="1:2" x14ac:dyDescent="0.25">
      <c r="A3" s="20" t="s">
        <v>101</v>
      </c>
      <c r="B3" s="22" t="s">
        <v>179</v>
      </c>
    </row>
    <row r="4" spans="1:2" x14ac:dyDescent="0.25">
      <c r="A4" s="20"/>
      <c r="B4" s="22" t="s">
        <v>180</v>
      </c>
    </row>
    <row r="5" spans="1:2" ht="17.25" x14ac:dyDescent="0.25">
      <c r="A5" s="20" t="s">
        <v>102</v>
      </c>
      <c r="B5" s="23" t="s">
        <v>181</v>
      </c>
    </row>
    <row r="6" spans="1:2" x14ac:dyDescent="0.25">
      <c r="A6" s="20" t="s">
        <v>103</v>
      </c>
      <c r="B6" s="22" t="s">
        <v>104</v>
      </c>
    </row>
    <row r="7" spans="1:2" x14ac:dyDescent="0.25">
      <c r="A7" s="20" t="s">
        <v>105</v>
      </c>
      <c r="B7" s="22" t="s">
        <v>106</v>
      </c>
    </row>
    <row r="8" spans="1:2" x14ac:dyDescent="0.25">
      <c r="A8" s="20" t="s">
        <v>107</v>
      </c>
      <c r="B8" s="19" t="s">
        <v>108</v>
      </c>
    </row>
    <row r="9" spans="1:2" ht="31.5" customHeight="1" x14ac:dyDescent="0.25">
      <c r="A9" s="20" t="s">
        <v>109</v>
      </c>
      <c r="B9" s="24" t="s">
        <v>182</v>
      </c>
    </row>
    <row r="10" spans="1:2" ht="16.5" customHeight="1" x14ac:dyDescent="0.25">
      <c r="A10" s="20" t="s">
        <v>110</v>
      </c>
      <c r="B10" s="19" t="s">
        <v>111</v>
      </c>
    </row>
    <row r="11" spans="1:2" x14ac:dyDescent="0.25">
      <c r="A11" s="20" t="s">
        <v>183</v>
      </c>
      <c r="B11" s="25" t="s">
        <v>184</v>
      </c>
    </row>
    <row r="12" spans="1:2" x14ac:dyDescent="0.25">
      <c r="B12" s="25" t="s">
        <v>185</v>
      </c>
    </row>
    <row r="13" spans="1:2" x14ac:dyDescent="0.25">
      <c r="B13" s="25" t="s">
        <v>186</v>
      </c>
    </row>
    <row r="14" spans="1:2" x14ac:dyDescent="0.25">
      <c r="B14" s="25" t="s">
        <v>187</v>
      </c>
    </row>
    <row r="15" spans="1:2" x14ac:dyDescent="0.25">
      <c r="B15" s="25" t="s">
        <v>188</v>
      </c>
    </row>
    <row r="16" spans="1:2" x14ac:dyDescent="0.25">
      <c r="B16" s="25" t="s">
        <v>189</v>
      </c>
    </row>
    <row r="17" spans="2:2" x14ac:dyDescent="0.25">
      <c r="B17" s="25" t="s">
        <v>190</v>
      </c>
    </row>
    <row r="18" spans="2:2" x14ac:dyDescent="0.25">
      <c r="B18" s="25" t="s">
        <v>191</v>
      </c>
    </row>
    <row r="19" spans="2:2" x14ac:dyDescent="0.25">
      <c r="B19" s="25" t="s">
        <v>192</v>
      </c>
    </row>
    <row r="20" spans="2:2" x14ac:dyDescent="0.25">
      <c r="B20" s="25" t="s">
        <v>193</v>
      </c>
    </row>
    <row r="21" spans="2:2" x14ac:dyDescent="0.25">
      <c r="B21" s="25" t="s">
        <v>194</v>
      </c>
    </row>
    <row r="22" spans="2:2" x14ac:dyDescent="0.25">
      <c r="B22" s="25" t="s">
        <v>195</v>
      </c>
    </row>
    <row r="23" spans="2:2" x14ac:dyDescent="0.25">
      <c r="B23" s="25" t="s">
        <v>196</v>
      </c>
    </row>
    <row r="24" spans="2:2" x14ac:dyDescent="0.25">
      <c r="B24" s="26" t="s">
        <v>197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topLeftCell="A31" workbookViewId="0">
      <selection activeCell="B75" sqref="B75"/>
    </sheetView>
  </sheetViews>
  <sheetFormatPr defaultRowHeight="15" x14ac:dyDescent="0.25"/>
  <cols>
    <col min="1" max="1" width="43.140625" style="9" customWidth="1"/>
    <col min="2" max="2" width="90.7109375" style="9" customWidth="1"/>
    <col min="3" max="3" width="22.7109375" style="9" customWidth="1"/>
    <col min="4" max="16384" width="9.140625" style="9"/>
  </cols>
  <sheetData>
    <row r="1" spans="1:3" ht="15.75" x14ac:dyDescent="0.25">
      <c r="A1" s="14" t="s">
        <v>117</v>
      </c>
      <c r="B1" s="14" t="s">
        <v>116</v>
      </c>
      <c r="C1" s="14" t="s">
        <v>115</v>
      </c>
    </row>
    <row r="2" spans="1:3" ht="15.75" x14ac:dyDescent="0.25">
      <c r="A2" s="13" t="s">
        <v>118</v>
      </c>
      <c r="B2" s="10"/>
      <c r="C2" s="14"/>
    </row>
    <row r="3" spans="1:3" x14ac:dyDescent="0.25">
      <c r="A3" s="15" t="s">
        <v>1</v>
      </c>
      <c r="B3" s="10" t="s">
        <v>135</v>
      </c>
      <c r="C3" s="10" t="s">
        <v>114</v>
      </c>
    </row>
    <row r="4" spans="1:3" x14ac:dyDescent="0.25">
      <c r="A4" s="15" t="s">
        <v>2</v>
      </c>
      <c r="B4" s="10" t="s">
        <v>136</v>
      </c>
      <c r="C4" s="10" t="s">
        <v>114</v>
      </c>
    </row>
    <row r="5" spans="1:3" x14ac:dyDescent="0.25">
      <c r="A5" t="s">
        <v>97</v>
      </c>
      <c r="B5" s="10" t="s">
        <v>124</v>
      </c>
      <c r="C5" s="10" t="s">
        <v>113</v>
      </c>
    </row>
    <row r="6" spans="1:3" x14ac:dyDescent="0.25">
      <c r="A6" t="s">
        <v>96</v>
      </c>
      <c r="B6" s="12" t="s">
        <v>125</v>
      </c>
      <c r="C6" s="10" t="s">
        <v>126</v>
      </c>
    </row>
    <row r="7" spans="1:3" x14ac:dyDescent="0.25">
      <c r="A7" t="s">
        <v>129</v>
      </c>
      <c r="B7" s="12" t="s">
        <v>130</v>
      </c>
      <c r="C7" s="10" t="s">
        <v>128</v>
      </c>
    </row>
    <row r="8" spans="1:3" x14ac:dyDescent="0.25">
      <c r="A8" t="s">
        <v>94</v>
      </c>
      <c r="B8" s="12" t="s">
        <v>127</v>
      </c>
      <c r="C8" s="10" t="s">
        <v>128</v>
      </c>
    </row>
    <row r="9" spans="1:3" x14ac:dyDescent="0.25">
      <c r="A9" t="s">
        <v>93</v>
      </c>
      <c r="B9" s="12" t="s">
        <v>131</v>
      </c>
      <c r="C9" s="10" t="s">
        <v>132</v>
      </c>
    </row>
    <row r="10" spans="1:3" x14ac:dyDescent="0.25">
      <c r="A10" t="s">
        <v>92</v>
      </c>
      <c r="B10" s="12" t="s">
        <v>133</v>
      </c>
      <c r="C10" s="10" t="s">
        <v>113</v>
      </c>
    </row>
    <row r="11" spans="1:3" x14ac:dyDescent="0.25">
      <c r="A11" t="s">
        <v>78</v>
      </c>
      <c r="B11" s="12" t="s">
        <v>134</v>
      </c>
      <c r="C11" s="10"/>
    </row>
    <row r="12" spans="1:3" x14ac:dyDescent="0.25">
      <c r="A12" s="2" t="s">
        <v>91</v>
      </c>
      <c r="B12" s="12" t="s">
        <v>140</v>
      </c>
      <c r="C12" s="10" t="s">
        <v>137</v>
      </c>
    </row>
    <row r="13" spans="1:3" x14ac:dyDescent="0.25">
      <c r="A13" s="2" t="s">
        <v>90</v>
      </c>
      <c r="B13" s="10" t="s">
        <v>139</v>
      </c>
      <c r="C13" s="10" t="s">
        <v>138</v>
      </c>
    </row>
    <row r="14" spans="1:3" x14ac:dyDescent="0.25">
      <c r="A14" s="2" t="s">
        <v>89</v>
      </c>
      <c r="B14" s="12" t="s">
        <v>141</v>
      </c>
      <c r="C14" s="10" t="s">
        <v>137</v>
      </c>
    </row>
    <row r="15" spans="1:3" x14ac:dyDescent="0.25">
      <c r="A15" s="2" t="s">
        <v>88</v>
      </c>
      <c r="B15" s="12" t="s">
        <v>142</v>
      </c>
      <c r="C15" s="10" t="s">
        <v>137</v>
      </c>
    </row>
    <row r="16" spans="1:3" x14ac:dyDescent="0.25">
      <c r="A16" s="2" t="s">
        <v>87</v>
      </c>
      <c r="B16" s="12" t="s">
        <v>143</v>
      </c>
      <c r="C16" s="10" t="s">
        <v>144</v>
      </c>
    </row>
    <row r="17" spans="1:3" x14ac:dyDescent="0.25">
      <c r="A17" s="2" t="s">
        <v>86</v>
      </c>
      <c r="B17" s="12" t="s">
        <v>145</v>
      </c>
      <c r="C17" s="10" t="s">
        <v>147</v>
      </c>
    </row>
    <row r="18" spans="1:3" x14ac:dyDescent="0.25">
      <c r="A18" s="2" t="s">
        <v>85</v>
      </c>
      <c r="B18" s="12" t="s">
        <v>146</v>
      </c>
      <c r="C18" s="10" t="s">
        <v>148</v>
      </c>
    </row>
    <row r="19" spans="1:3" x14ac:dyDescent="0.25">
      <c r="A19" s="2" t="s">
        <v>84</v>
      </c>
      <c r="B19" s="12" t="s">
        <v>149</v>
      </c>
      <c r="C19" s="10" t="s">
        <v>137</v>
      </c>
    </row>
    <row r="20" spans="1:3" x14ac:dyDescent="0.25">
      <c r="A20" s="2" t="s">
        <v>83</v>
      </c>
      <c r="B20" s="12" t="s">
        <v>150</v>
      </c>
      <c r="C20" s="10" t="s">
        <v>151</v>
      </c>
    </row>
    <row r="21" spans="1:3" x14ac:dyDescent="0.25">
      <c r="A21" s="11"/>
      <c r="B21" s="12"/>
      <c r="C21" s="10"/>
    </row>
    <row r="22" spans="1:3" x14ac:dyDescent="0.25">
      <c r="A22" s="11" t="s">
        <v>119</v>
      </c>
      <c r="B22" s="12"/>
      <c r="C22" s="10"/>
    </row>
    <row r="23" spans="1:3" x14ac:dyDescent="0.25">
      <c r="A23" s="15" t="s">
        <v>38</v>
      </c>
      <c r="B23" s="10"/>
      <c r="C23" s="10"/>
    </row>
    <row r="24" spans="1:3" x14ac:dyDescent="0.25">
      <c r="A24" s="15" t="s">
        <v>28</v>
      </c>
      <c r="B24" s="10" t="s">
        <v>152</v>
      </c>
      <c r="C24" s="10" t="s">
        <v>114</v>
      </c>
    </row>
    <row r="25" spans="1:3" x14ac:dyDescent="0.25">
      <c r="A25" s="15" t="s">
        <v>37</v>
      </c>
      <c r="B25" s="10" t="s">
        <v>153</v>
      </c>
      <c r="C25" s="10" t="s">
        <v>114</v>
      </c>
    </row>
    <row r="26" spans="1:3" x14ac:dyDescent="0.25">
      <c r="A26" s="15" t="s">
        <v>9</v>
      </c>
      <c r="B26" s="10" t="s">
        <v>154</v>
      </c>
      <c r="C26" s="10" t="s">
        <v>137</v>
      </c>
    </row>
    <row r="27" spans="1:3" x14ac:dyDescent="0.25">
      <c r="A27" s="15" t="s">
        <v>120</v>
      </c>
      <c r="B27" s="10" t="s">
        <v>155</v>
      </c>
      <c r="C27" s="10" t="s">
        <v>112</v>
      </c>
    </row>
    <row r="28" spans="1:3" x14ac:dyDescent="0.25">
      <c r="A28" s="15" t="s">
        <v>30</v>
      </c>
      <c r="B28" s="10" t="s">
        <v>156</v>
      </c>
      <c r="C28" s="10" t="s">
        <v>112</v>
      </c>
    </row>
    <row r="29" spans="1:3" x14ac:dyDescent="0.25">
      <c r="A29" s="15" t="s">
        <v>34</v>
      </c>
      <c r="B29" s="10" t="s">
        <v>157</v>
      </c>
      <c r="C29" s="10" t="s">
        <v>158</v>
      </c>
    </row>
    <row r="30" spans="1:3" x14ac:dyDescent="0.25">
      <c r="A30" s="15" t="s">
        <v>39</v>
      </c>
      <c r="B30" s="15" t="s">
        <v>161</v>
      </c>
      <c r="C30" s="10" t="s">
        <v>114</v>
      </c>
    </row>
    <row r="31" spans="1:3" x14ac:dyDescent="0.25">
      <c r="A31" s="15" t="s">
        <v>28</v>
      </c>
      <c r="B31" s="10" t="s">
        <v>160</v>
      </c>
      <c r="C31" s="10" t="s">
        <v>114</v>
      </c>
    </row>
    <row r="32" spans="1:3" x14ac:dyDescent="0.25">
      <c r="A32" s="15" t="s">
        <v>121</v>
      </c>
      <c r="B32" s="10" t="s">
        <v>159</v>
      </c>
      <c r="C32" s="10" t="s">
        <v>112</v>
      </c>
    </row>
    <row r="33" spans="1:3" x14ac:dyDescent="0.25">
      <c r="A33" s="15" t="s">
        <v>122</v>
      </c>
      <c r="C33" s="10" t="s">
        <v>114</v>
      </c>
    </row>
    <row r="34" spans="1:3" x14ac:dyDescent="0.25">
      <c r="A34" s="15" t="s">
        <v>45</v>
      </c>
      <c r="B34" s="10" t="s">
        <v>162</v>
      </c>
      <c r="C34" s="10" t="s">
        <v>112</v>
      </c>
    </row>
    <row r="35" spans="1:3" x14ac:dyDescent="0.25">
      <c r="A35" s="15" t="s">
        <v>46</v>
      </c>
      <c r="B35" s="10" t="s">
        <v>163</v>
      </c>
    </row>
    <row r="36" spans="1:3" x14ac:dyDescent="0.25">
      <c r="A36" s="15" t="s">
        <v>47</v>
      </c>
      <c r="B36" s="10" t="s">
        <v>164</v>
      </c>
      <c r="C36" s="9" t="s">
        <v>169</v>
      </c>
    </row>
    <row r="38" spans="1:3" x14ac:dyDescent="0.25">
      <c r="A38" s="16" t="s">
        <v>123</v>
      </c>
    </row>
    <row r="39" spans="1:3" x14ac:dyDescent="0.25">
      <c r="A39" s="15" t="s">
        <v>38</v>
      </c>
      <c r="B39" s="10" t="s">
        <v>152</v>
      </c>
      <c r="C39" s="10" t="s">
        <v>114</v>
      </c>
    </row>
    <row r="40" spans="1:3" x14ac:dyDescent="0.25">
      <c r="A40" s="15" t="s">
        <v>28</v>
      </c>
      <c r="B40" s="10" t="s">
        <v>153</v>
      </c>
      <c r="C40" s="10" t="s">
        <v>114</v>
      </c>
    </row>
    <row r="41" spans="1:3" x14ac:dyDescent="0.25">
      <c r="A41" s="15" t="s">
        <v>37</v>
      </c>
      <c r="B41" s="10" t="s">
        <v>154</v>
      </c>
      <c r="C41" s="10" t="s">
        <v>114</v>
      </c>
    </row>
    <row r="42" spans="1:3" x14ac:dyDescent="0.25">
      <c r="A42" s="15" t="s">
        <v>9</v>
      </c>
      <c r="B42" s="10" t="s">
        <v>155</v>
      </c>
      <c r="C42" s="10" t="s">
        <v>137</v>
      </c>
    </row>
    <row r="43" spans="1:3" x14ac:dyDescent="0.25">
      <c r="A43" s="15" t="s">
        <v>120</v>
      </c>
      <c r="B43" s="10" t="s">
        <v>156</v>
      </c>
      <c r="C43" s="10" t="s">
        <v>170</v>
      </c>
    </row>
    <row r="44" spans="1:3" x14ac:dyDescent="0.25">
      <c r="A44" s="15" t="s">
        <v>30</v>
      </c>
      <c r="B44" s="10" t="s">
        <v>157</v>
      </c>
      <c r="C44" s="10" t="s">
        <v>170</v>
      </c>
    </row>
    <row r="45" spans="1:3" x14ac:dyDescent="0.25">
      <c r="A45" s="15" t="s">
        <v>34</v>
      </c>
      <c r="B45" s="15" t="s">
        <v>161</v>
      </c>
      <c r="C45" s="10" t="s">
        <v>112</v>
      </c>
    </row>
    <row r="46" spans="1:3" x14ac:dyDescent="0.25">
      <c r="A46" s="15" t="s">
        <v>39</v>
      </c>
      <c r="B46" s="10" t="s">
        <v>160</v>
      </c>
    </row>
    <row r="47" spans="1:3" x14ac:dyDescent="0.25">
      <c r="A47" s="15" t="s">
        <v>28</v>
      </c>
      <c r="B47" s="10"/>
    </row>
    <row r="48" spans="1:3" x14ac:dyDescent="0.25">
      <c r="A48" s="2" t="s">
        <v>57</v>
      </c>
    </row>
    <row r="49" spans="1:3" x14ac:dyDescent="0.25">
      <c r="A49" s="17" t="s">
        <v>55</v>
      </c>
      <c r="B49" s="10"/>
    </row>
    <row r="50" spans="1:3" x14ac:dyDescent="0.25">
      <c r="A50" s="17" t="s">
        <v>56</v>
      </c>
      <c r="B50" s="10"/>
    </row>
    <row r="51" spans="1:3" x14ac:dyDescent="0.25">
      <c r="A51" s="15" t="s">
        <v>121</v>
      </c>
      <c r="B51" s="10" t="s">
        <v>165</v>
      </c>
    </row>
    <row r="52" spans="1:3" x14ac:dyDescent="0.25">
      <c r="A52" s="2" t="s">
        <v>53</v>
      </c>
      <c r="B52" s="10" t="s">
        <v>166</v>
      </c>
    </row>
    <row r="53" spans="1:3" x14ac:dyDescent="0.25">
      <c r="A53" s="2" t="s">
        <v>54</v>
      </c>
      <c r="B53" s="10" t="s">
        <v>168</v>
      </c>
    </row>
    <row r="54" spans="1:3" x14ac:dyDescent="0.25">
      <c r="A54" s="15" t="s">
        <v>45</v>
      </c>
      <c r="B54" s="10" t="s">
        <v>167</v>
      </c>
    </row>
    <row r="55" spans="1:3" x14ac:dyDescent="0.25">
      <c r="A55" s="15" t="s">
        <v>46</v>
      </c>
      <c r="B55" s="10" t="s">
        <v>163</v>
      </c>
    </row>
    <row r="56" spans="1:3" x14ac:dyDescent="0.25">
      <c r="A56" s="15" t="s">
        <v>47</v>
      </c>
      <c r="B56" s="10" t="s">
        <v>167</v>
      </c>
      <c r="C56" s="10" t="s">
        <v>169</v>
      </c>
    </row>
    <row r="57" spans="1:3" x14ac:dyDescent="0.25">
      <c r="A57" s="15" t="s">
        <v>59</v>
      </c>
      <c r="B57" s="9" t="s">
        <v>168</v>
      </c>
      <c r="C57" s="10" t="s">
        <v>169</v>
      </c>
    </row>
    <row r="58" spans="1:3" x14ac:dyDescent="0.25">
      <c r="A58" s="15" t="s">
        <v>60</v>
      </c>
      <c r="B58" s="10" t="s">
        <v>173</v>
      </c>
      <c r="C58" s="10" t="s">
        <v>171</v>
      </c>
    </row>
    <row r="59" spans="1:3" x14ac:dyDescent="0.25">
      <c r="A59" s="15" t="s">
        <v>63</v>
      </c>
      <c r="B59" s="10" t="s">
        <v>174</v>
      </c>
      <c r="C59" s="10" t="s">
        <v>172</v>
      </c>
    </row>
    <row r="60" spans="1:3" x14ac:dyDescent="0.25">
      <c r="A60" s="15" t="s">
        <v>64</v>
      </c>
    </row>
    <row r="61" spans="1:3" x14ac:dyDescent="0.25">
      <c r="A61" s="15" t="s">
        <v>65</v>
      </c>
      <c r="B61" s="10" t="s">
        <v>175</v>
      </c>
      <c r="C61" s="10" t="s">
        <v>176</v>
      </c>
    </row>
    <row r="62" spans="1:3" x14ac:dyDescent="0.25">
      <c r="A62" s="15" t="s">
        <v>66</v>
      </c>
      <c r="B62" s="10" t="s">
        <v>175</v>
      </c>
      <c r="C62" s="10" t="s">
        <v>177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0"/>
  <sheetViews>
    <sheetView zoomScale="53" zoomScaleNormal="53" workbookViewId="0">
      <selection activeCell="O36" sqref="O36"/>
    </sheetView>
  </sheetViews>
  <sheetFormatPr defaultRowHeight="15" x14ac:dyDescent="0.25"/>
  <cols>
    <col min="3" max="3" width="12.42578125" customWidth="1"/>
    <col min="4" max="5" width="14.85546875" customWidth="1"/>
    <col min="6" max="7" width="13" customWidth="1"/>
    <col min="11" max="11" width="17.85546875" customWidth="1"/>
    <col min="12" max="12" width="16.7109375" customWidth="1"/>
    <col min="14" max="14" width="24.85546875" customWidth="1"/>
    <col min="15" max="15" width="27.5703125" customWidth="1"/>
    <col min="16" max="16" width="29.42578125" customWidth="1"/>
    <col min="17" max="17" width="15.85546875" customWidth="1"/>
    <col min="18" max="18" width="17.42578125" customWidth="1"/>
  </cols>
  <sheetData>
    <row r="1" spans="1:18" x14ac:dyDescent="0.25">
      <c r="A1" s="1" t="s">
        <v>1</v>
      </c>
      <c r="B1" s="1" t="s">
        <v>2</v>
      </c>
      <c r="C1" t="s">
        <v>97</v>
      </c>
      <c r="D1" t="s">
        <v>96</v>
      </c>
      <c r="E1" t="s">
        <v>95</v>
      </c>
      <c r="F1" t="s">
        <v>94</v>
      </c>
      <c r="G1" t="s">
        <v>93</v>
      </c>
      <c r="H1" t="s">
        <v>92</v>
      </c>
      <c r="I1" t="s">
        <v>78</v>
      </c>
      <c r="J1" s="2" t="s">
        <v>91</v>
      </c>
      <c r="K1" s="2" t="s">
        <v>90</v>
      </c>
      <c r="L1" s="2" t="s">
        <v>89</v>
      </c>
      <c r="M1" s="2" t="s">
        <v>88</v>
      </c>
      <c r="N1" s="2" t="s">
        <v>87</v>
      </c>
      <c r="O1" s="2" t="s">
        <v>86</v>
      </c>
      <c r="P1" s="2" t="s">
        <v>85</v>
      </c>
      <c r="Q1" s="2" t="s">
        <v>84</v>
      </c>
      <c r="R1" s="2" t="s">
        <v>83</v>
      </c>
    </row>
    <row r="2" spans="1:18" x14ac:dyDescent="0.25">
      <c r="A2" t="s">
        <v>3</v>
      </c>
      <c r="B2">
        <v>1</v>
      </c>
      <c r="C2">
        <v>1.0379</v>
      </c>
      <c r="D2">
        <v>2.1388000000000002E-3</v>
      </c>
      <c r="E2">
        <f t="shared" ref="E2:E7" si="0">F2+I2</f>
        <v>664.81279221993645</v>
      </c>
      <c r="F2">
        <v>482</v>
      </c>
      <c r="G2">
        <f t="shared" ref="G2:G7" si="1">C2/H2</f>
        <v>2.6544757033248083</v>
      </c>
      <c r="H2">
        <v>0.39100000000000001</v>
      </c>
      <c r="I2">
        <f t="shared" ref="I2:I7" si="2">H2/D2</f>
        <v>182.8127922199364</v>
      </c>
      <c r="J2">
        <v>3.1989999999999998</v>
      </c>
      <c r="K2">
        <v>81.606999999999999</v>
      </c>
      <c r="L2">
        <f>1/((0.0029*100)+0.0646)</f>
        <v>2.8200789622109421</v>
      </c>
      <c r="M2">
        <v>1.7142857142857144</v>
      </c>
      <c r="N2">
        <v>5.4927999999999999</v>
      </c>
      <c r="O2">
        <v>2.6700000000000002E-2</v>
      </c>
      <c r="P2">
        <v>0.14580000000000001</v>
      </c>
      <c r="Q2">
        <v>15.33234906</v>
      </c>
      <c r="R2">
        <v>80.358999999999995</v>
      </c>
    </row>
    <row r="3" spans="1:18" x14ac:dyDescent="0.25">
      <c r="A3" t="s">
        <v>3</v>
      </c>
      <c r="B3">
        <v>2</v>
      </c>
      <c r="C3">
        <v>1.2707999999999999</v>
      </c>
      <c r="D3">
        <v>2.7485000000000001E-3</v>
      </c>
      <c r="E3">
        <f t="shared" si="0"/>
        <v>652.63289066763696</v>
      </c>
      <c r="F3">
        <v>459</v>
      </c>
      <c r="G3">
        <f t="shared" si="1"/>
        <v>2.38782412626832</v>
      </c>
      <c r="H3">
        <v>0.53220000000000001</v>
      </c>
      <c r="I3">
        <f t="shared" si="2"/>
        <v>193.6328906676369</v>
      </c>
      <c r="J3">
        <v>3.0605000000000002</v>
      </c>
      <c r="K3">
        <v>84.221999999999994</v>
      </c>
      <c r="L3">
        <f>1/((0.0077*100)-0.3156)</f>
        <v>2.2007042253521125</v>
      </c>
      <c r="M3">
        <v>1.7142857142857144</v>
      </c>
      <c r="N3">
        <v>5.0057</v>
      </c>
      <c r="O3">
        <v>2.3099999999999999E-2</v>
      </c>
      <c r="P3">
        <v>0.1195</v>
      </c>
      <c r="Q3">
        <v>13.947928920000001</v>
      </c>
      <c r="R3">
        <v>84.688999999999993</v>
      </c>
    </row>
    <row r="4" spans="1:18" x14ac:dyDescent="0.25">
      <c r="A4" t="s">
        <v>3</v>
      </c>
      <c r="B4">
        <v>3</v>
      </c>
      <c r="C4">
        <v>0.9476</v>
      </c>
      <c r="D4">
        <v>2.0173000000000001E-3</v>
      </c>
      <c r="E4">
        <f t="shared" si="0"/>
        <v>644.90249343181483</v>
      </c>
      <c r="F4">
        <v>466</v>
      </c>
      <c r="G4">
        <f t="shared" si="1"/>
        <v>2.625658077029648</v>
      </c>
      <c r="H4">
        <v>0.3609</v>
      </c>
      <c r="I4">
        <f t="shared" si="2"/>
        <v>178.9024934318148</v>
      </c>
      <c r="J4">
        <v>3.3210000000000002</v>
      </c>
      <c r="K4">
        <v>80.635000000000005</v>
      </c>
      <c r="L4">
        <f>1/((0.0044*100)-0.0584)</f>
        <v>2.6205450733752622</v>
      </c>
      <c r="M4">
        <v>1.7828571428571429</v>
      </c>
      <c r="N4">
        <v>5.5377999999999998</v>
      </c>
      <c r="O4">
        <v>2.5999999999999999E-2</v>
      </c>
      <c r="P4">
        <v>0.1454</v>
      </c>
      <c r="Q4">
        <v>13.532378380000001</v>
      </c>
      <c r="R4">
        <v>78.3309</v>
      </c>
    </row>
    <row r="5" spans="1:18" x14ac:dyDescent="0.25">
      <c r="A5" t="s">
        <v>4</v>
      </c>
      <c r="B5">
        <v>4</v>
      </c>
      <c r="C5">
        <v>0.92010000000000003</v>
      </c>
      <c r="D5">
        <v>1.9669800000000001E-3</v>
      </c>
      <c r="E5">
        <f t="shared" si="0"/>
        <v>642.34398926272763</v>
      </c>
      <c r="F5">
        <v>461</v>
      </c>
      <c r="G5">
        <f t="shared" si="1"/>
        <v>2.5794785534062239</v>
      </c>
      <c r="H5">
        <v>0.35670000000000002</v>
      </c>
      <c r="I5">
        <f t="shared" si="2"/>
        <v>181.34398926272763</v>
      </c>
      <c r="J5">
        <v>2.948</v>
      </c>
      <c r="K5">
        <v>83.066999999999993</v>
      </c>
      <c r="L5">
        <f>1/((0.0073*100)-0.2835)</f>
        <v>2.2396416573348263</v>
      </c>
      <c r="M5">
        <v>1.8171428571428572</v>
      </c>
      <c r="N5">
        <v>5.8272000000000004</v>
      </c>
      <c r="O5">
        <v>2.7300000000000001E-2</v>
      </c>
      <c r="P5">
        <v>0.15029999999999999</v>
      </c>
      <c r="Q5">
        <v>13.22649062</v>
      </c>
      <c r="R5">
        <v>81.677999999999997</v>
      </c>
    </row>
    <row r="6" spans="1:18" x14ac:dyDescent="0.25">
      <c r="A6" t="s">
        <v>3</v>
      </c>
      <c r="B6">
        <v>5</v>
      </c>
      <c r="C6">
        <v>1.1906000000000001</v>
      </c>
      <c r="D6">
        <v>2.4187000000000002E-3</v>
      </c>
      <c r="E6">
        <f t="shared" si="0"/>
        <v>645.50717327489974</v>
      </c>
      <c r="F6">
        <v>486</v>
      </c>
      <c r="G6">
        <f t="shared" si="1"/>
        <v>3.0860549507516852</v>
      </c>
      <c r="H6">
        <v>0.38579999999999998</v>
      </c>
      <c r="I6">
        <f t="shared" si="2"/>
        <v>159.50717327489971</v>
      </c>
      <c r="J6">
        <v>2.9820000000000002</v>
      </c>
      <c r="K6">
        <v>80.731999999999999</v>
      </c>
      <c r="L6">
        <f>1/((0.0043*100)-0.0247)</f>
        <v>2.4673081667900321</v>
      </c>
      <c r="M6">
        <v>1.7142857142857144</v>
      </c>
      <c r="N6">
        <v>6.4082999999999997</v>
      </c>
      <c r="O6">
        <v>3.15E-2</v>
      </c>
      <c r="P6">
        <v>0.1978</v>
      </c>
      <c r="Q6">
        <v>12.80521158</v>
      </c>
      <c r="R6">
        <v>80.605999999999995</v>
      </c>
    </row>
    <row r="7" spans="1:18" x14ac:dyDescent="0.25">
      <c r="A7" t="s">
        <v>3</v>
      </c>
      <c r="B7">
        <v>6</v>
      </c>
      <c r="C7">
        <v>1.4604999999999999</v>
      </c>
      <c r="D7">
        <v>2.9520000000000002E-3</v>
      </c>
      <c r="E7">
        <f t="shared" si="0"/>
        <v>682.73170731707319</v>
      </c>
      <c r="F7">
        <v>487</v>
      </c>
      <c r="G7">
        <f t="shared" si="1"/>
        <v>2.5276912426445137</v>
      </c>
      <c r="H7">
        <v>0.57779999999999998</v>
      </c>
      <c r="I7">
        <f t="shared" si="2"/>
        <v>195.73170731707316</v>
      </c>
      <c r="J7">
        <v>3.125</v>
      </c>
      <c r="K7">
        <v>80.191999999999993</v>
      </c>
      <c r="L7">
        <f>1/((0.0096*100)-0.4479)</f>
        <v>1.9527436047646944</v>
      </c>
      <c r="M7">
        <v>1.7142857142857144</v>
      </c>
      <c r="N7">
        <v>6.7992999999999997</v>
      </c>
      <c r="O7">
        <v>3.3599999999999998E-2</v>
      </c>
      <c r="P7">
        <v>0.1719</v>
      </c>
      <c r="Q7">
        <v>9.8583582639999996</v>
      </c>
      <c r="R7">
        <v>65.197000000000003</v>
      </c>
    </row>
    <row r="8" spans="1:18" x14ac:dyDescent="0.25">
      <c r="A8" t="s">
        <v>52</v>
      </c>
      <c r="C8" s="4">
        <f t="shared" ref="C8:R8" si="3">AVERAGE(C2:C7)</f>
        <v>1.1379166666666667</v>
      </c>
      <c r="D8" s="4">
        <f t="shared" si="3"/>
        <v>2.3737133333333331E-3</v>
      </c>
      <c r="E8" s="4">
        <f t="shared" si="3"/>
        <v>655.48850769568151</v>
      </c>
      <c r="F8" s="4">
        <f t="shared" si="3"/>
        <v>473.5</v>
      </c>
      <c r="G8" s="4">
        <f t="shared" si="3"/>
        <v>2.643530442237533</v>
      </c>
      <c r="H8" s="4">
        <f t="shared" si="3"/>
        <v>0.43406666666666666</v>
      </c>
      <c r="I8" s="4">
        <f t="shared" si="3"/>
        <v>181.98850769568142</v>
      </c>
      <c r="J8" s="4">
        <f t="shared" si="3"/>
        <v>3.1059166666666669</v>
      </c>
      <c r="K8" s="4">
        <f t="shared" si="3"/>
        <v>81.742500000000007</v>
      </c>
      <c r="L8" s="4">
        <f t="shared" si="3"/>
        <v>2.3835036149713118</v>
      </c>
      <c r="M8" s="4">
        <f t="shared" si="3"/>
        <v>1.7428571428571431</v>
      </c>
      <c r="N8" s="4">
        <f t="shared" si="3"/>
        <v>5.8451833333333338</v>
      </c>
      <c r="O8" s="4">
        <f t="shared" si="3"/>
        <v>2.803333333333333E-2</v>
      </c>
      <c r="P8" s="4">
        <f t="shared" si="3"/>
        <v>0.15511666666666665</v>
      </c>
      <c r="Q8" s="4">
        <f t="shared" si="3"/>
        <v>13.117119470666667</v>
      </c>
      <c r="R8" s="4">
        <f t="shared" si="3"/>
        <v>78.476649999999992</v>
      </c>
    </row>
    <row r="9" spans="1:18" x14ac:dyDescent="0.25">
      <c r="A9" t="s">
        <v>8</v>
      </c>
      <c r="C9" s="4">
        <f t="shared" ref="C9:R9" si="4">STDEV(C2:C7)/SQRT(6)</f>
        <v>8.5276293761970115E-2</v>
      </c>
      <c r="D9" s="4">
        <f t="shared" si="4"/>
        <v>1.6578611294208105E-4</v>
      </c>
      <c r="E9" s="4">
        <f t="shared" si="4"/>
        <v>6.381634732469025</v>
      </c>
      <c r="F9" s="4">
        <f t="shared" si="4"/>
        <v>5.2709897868743152</v>
      </c>
      <c r="G9" s="4">
        <f t="shared" si="4"/>
        <v>9.6466616931427177E-2</v>
      </c>
      <c r="H9" s="4">
        <f t="shared" si="4"/>
        <v>3.9078038731634263E-2</v>
      </c>
      <c r="I9" s="4">
        <f t="shared" si="4"/>
        <v>5.2930643959624026</v>
      </c>
      <c r="J9" s="4">
        <f t="shared" si="4"/>
        <v>5.7051207504993082E-2</v>
      </c>
      <c r="K9" s="4">
        <f t="shared" si="4"/>
        <v>0.64736124639441639</v>
      </c>
      <c r="L9" s="4">
        <f t="shared" si="4"/>
        <v>0.12825442887980837</v>
      </c>
      <c r="M9" s="4">
        <f t="shared" si="4"/>
        <v>1.8604366395542506E-2</v>
      </c>
      <c r="N9" s="4">
        <f t="shared" si="4"/>
        <v>0.26777809148206566</v>
      </c>
      <c r="O9" s="4">
        <f t="shared" si="4"/>
        <v>1.5683678706788716E-3</v>
      </c>
      <c r="P9" s="4">
        <f t="shared" si="4"/>
        <v>1.0918651219104241E-2</v>
      </c>
      <c r="Q9" s="4">
        <f t="shared" si="4"/>
        <v>0.74159062424363831</v>
      </c>
      <c r="R9" s="4">
        <f t="shared" si="4"/>
        <v>2.7886057117909888</v>
      </c>
    </row>
    <row r="10" spans="1:18" x14ac:dyDescent="0.25">
      <c r="A10" t="s">
        <v>81</v>
      </c>
      <c r="C10" s="5">
        <f t="shared" ref="C10:Q10" si="5">(C9/C8)*100</f>
        <v>7.4940719527179889</v>
      </c>
      <c r="D10" s="5">
        <f t="shared" si="5"/>
        <v>6.9842516623215261</v>
      </c>
      <c r="E10" s="5">
        <f t="shared" si="5"/>
        <v>0.97356927811033056</v>
      </c>
      <c r="F10" s="5">
        <f t="shared" si="5"/>
        <v>1.1131974206703941</v>
      </c>
      <c r="G10" s="5">
        <f t="shared" si="5"/>
        <v>3.6491585415515795</v>
      </c>
      <c r="H10" s="5">
        <f t="shared" si="5"/>
        <v>9.0027734752651511</v>
      </c>
      <c r="I10" s="5">
        <f t="shared" si="5"/>
        <v>2.908460794026285</v>
      </c>
      <c r="J10" s="5">
        <f t="shared" si="5"/>
        <v>1.8368557056690642</v>
      </c>
      <c r="K10" s="5">
        <f t="shared" si="5"/>
        <v>0.7919518566161009</v>
      </c>
      <c r="L10" s="5">
        <f t="shared" si="5"/>
        <v>5.3809202584889748</v>
      </c>
      <c r="M10" s="5">
        <f t="shared" si="5"/>
        <v>1.0674636456458813</v>
      </c>
      <c r="N10" s="5">
        <f t="shared" si="5"/>
        <v>4.581175237994799</v>
      </c>
      <c r="O10" s="5">
        <f t="shared" si="5"/>
        <v>5.5946535220411597</v>
      </c>
      <c r="P10" s="5">
        <f t="shared" si="5"/>
        <v>7.0389929423686963</v>
      </c>
      <c r="Q10" s="5">
        <f t="shared" si="5"/>
        <v>5.6536088270144234</v>
      </c>
    </row>
    <row r="11" spans="1:18" x14ac:dyDescent="0.25">
      <c r="A11" t="s">
        <v>5</v>
      </c>
      <c r="B11">
        <v>1</v>
      </c>
      <c r="C11">
        <v>0.94120000000000004</v>
      </c>
      <c r="D11">
        <v>2.5100000000000001E-3</v>
      </c>
      <c r="E11">
        <f t="shared" ref="E11:E17" si="6">F11+I11</f>
        <v>528.77689243027885</v>
      </c>
      <c r="F11">
        <v>373</v>
      </c>
      <c r="G11">
        <f t="shared" ref="G11:G17" si="7">C11/H11</f>
        <v>2.4071611253196932</v>
      </c>
      <c r="H11">
        <v>0.39100000000000001</v>
      </c>
      <c r="I11">
        <f t="shared" ref="I11:I17" si="8">H11/D11</f>
        <v>155.77689243027888</v>
      </c>
      <c r="J11">
        <v>2.7669999999999999</v>
      </c>
      <c r="K11">
        <v>89.034999999999997</v>
      </c>
      <c r="L11">
        <f>1/((0.011*100)-0.6464)</f>
        <v>2.2045855379188719</v>
      </c>
      <c r="M11">
        <v>1.6800000000000002</v>
      </c>
      <c r="N11">
        <v>3.9308000000000001</v>
      </c>
      <c r="O11">
        <v>1.47E-2</v>
      </c>
      <c r="P11">
        <v>9.4600000000000004E-2</v>
      </c>
      <c r="Q11">
        <v>20.105659259999999</v>
      </c>
      <c r="R11">
        <v>79.912400000000005</v>
      </c>
    </row>
    <row r="12" spans="1:18" x14ac:dyDescent="0.25">
      <c r="A12" t="s">
        <v>5</v>
      </c>
      <c r="B12">
        <v>2</v>
      </c>
      <c r="C12">
        <v>1.2094</v>
      </c>
      <c r="D12">
        <v>2.4499999999999999E-3</v>
      </c>
      <c r="E12">
        <f t="shared" si="6"/>
        <v>710.9387755102041</v>
      </c>
      <c r="F12">
        <v>492</v>
      </c>
      <c r="G12">
        <f t="shared" si="7"/>
        <v>2.2546607009694259</v>
      </c>
      <c r="H12">
        <v>0.53639999999999999</v>
      </c>
      <c r="I12">
        <f t="shared" si="8"/>
        <v>218.9387755102041</v>
      </c>
      <c r="J12">
        <v>2.863</v>
      </c>
      <c r="K12">
        <v>89.108999999999995</v>
      </c>
      <c r="L12">
        <f>1/((0.0181*100)-1.2835)</f>
        <v>1.8993352326685662</v>
      </c>
      <c r="M12">
        <v>1.54</v>
      </c>
      <c r="N12">
        <v>4.6272000000000002</v>
      </c>
      <c r="O12">
        <v>2.2800000000000001E-2</v>
      </c>
      <c r="P12">
        <v>0.1043</v>
      </c>
      <c r="Q12">
        <v>17.439493460000001</v>
      </c>
      <c r="R12">
        <v>68.935000000000002</v>
      </c>
    </row>
    <row r="13" spans="1:18" x14ac:dyDescent="0.25">
      <c r="A13" t="s">
        <v>5</v>
      </c>
      <c r="B13">
        <v>3</v>
      </c>
      <c r="C13">
        <v>1.5143</v>
      </c>
      <c r="D13">
        <v>3.5200000000000001E-3</v>
      </c>
      <c r="E13">
        <f t="shared" si="6"/>
        <v>619.39772727272725</v>
      </c>
      <c r="F13">
        <v>429</v>
      </c>
      <c r="G13">
        <f t="shared" si="7"/>
        <v>2.2594747836466724</v>
      </c>
      <c r="H13">
        <v>0.67020000000000002</v>
      </c>
      <c r="I13">
        <f t="shared" si="8"/>
        <v>190.39772727272728</v>
      </c>
      <c r="J13">
        <v>2.6579999999999999</v>
      </c>
      <c r="K13">
        <v>90.656000000000006</v>
      </c>
      <c r="L13">
        <f>1/((0.0128*100)-0.808)</f>
        <v>2.1186440677966103</v>
      </c>
      <c r="M13">
        <v>1.6800000000000002</v>
      </c>
      <c r="N13">
        <v>3.427</v>
      </c>
      <c r="O13">
        <v>1.47E-2</v>
      </c>
      <c r="P13">
        <v>7.7399999999999997E-2</v>
      </c>
      <c r="Q13">
        <v>22.67384491</v>
      </c>
      <c r="R13">
        <v>79.415999999999997</v>
      </c>
    </row>
    <row r="14" spans="1:18" x14ac:dyDescent="0.25">
      <c r="A14" t="s">
        <v>5</v>
      </c>
      <c r="B14">
        <v>6</v>
      </c>
      <c r="C14">
        <v>1.0257000000000001</v>
      </c>
      <c r="D14">
        <v>2.5365000000000001E-3</v>
      </c>
      <c r="E14">
        <f t="shared" si="6"/>
        <v>588.24088310664297</v>
      </c>
      <c r="F14">
        <v>402</v>
      </c>
      <c r="G14">
        <f t="shared" si="7"/>
        <v>2.1712531752751909</v>
      </c>
      <c r="H14">
        <v>0.47239999999999999</v>
      </c>
      <c r="I14">
        <f t="shared" si="8"/>
        <v>186.240883106643</v>
      </c>
      <c r="J14">
        <v>2.6379999999999999</v>
      </c>
      <c r="K14">
        <v>91.313000000000002</v>
      </c>
      <c r="L14">
        <f>1/((0.0109*100)-0.6345)</f>
        <v>2.1953896816684955</v>
      </c>
      <c r="M14">
        <v>1.577142857142857</v>
      </c>
      <c r="N14">
        <v>3.3742000000000001</v>
      </c>
      <c r="O14">
        <v>1.3599999999999999E-2</v>
      </c>
      <c r="P14">
        <v>7.3300000000000004E-2</v>
      </c>
      <c r="Q14">
        <v>25.27212711</v>
      </c>
      <c r="R14">
        <v>83.522999999999996</v>
      </c>
    </row>
    <row r="15" spans="1:18" x14ac:dyDescent="0.25">
      <c r="A15" t="s">
        <v>5</v>
      </c>
      <c r="B15">
        <v>7</v>
      </c>
      <c r="C15">
        <v>1.9359999999999999</v>
      </c>
      <c r="D15">
        <v>3.9772000000000002E-3</v>
      </c>
      <c r="E15">
        <f t="shared" si="6"/>
        <v>683.70190083475813</v>
      </c>
      <c r="F15">
        <v>486</v>
      </c>
      <c r="G15">
        <f t="shared" si="7"/>
        <v>2.4621645682309552</v>
      </c>
      <c r="H15">
        <v>0.7863</v>
      </c>
      <c r="I15">
        <f t="shared" si="8"/>
        <v>197.70190083475811</v>
      </c>
      <c r="J15">
        <v>2.331</v>
      </c>
      <c r="K15">
        <v>92.804000000000002</v>
      </c>
      <c r="L15">
        <f>1/((0.022*100)-1.6269)</f>
        <v>1.7448961786773696</v>
      </c>
      <c r="M15">
        <v>1.5428571428571429</v>
      </c>
      <c r="N15">
        <v>2.9788999999999999</v>
      </c>
      <c r="O15">
        <v>1.4500000000000001E-2</v>
      </c>
      <c r="P15">
        <v>7.3300000000000004E-2</v>
      </c>
      <c r="Q15">
        <v>24.248140339999999</v>
      </c>
      <c r="R15">
        <v>79.108999999999995</v>
      </c>
    </row>
    <row r="16" spans="1:18" x14ac:dyDescent="0.25">
      <c r="A16" t="s">
        <v>5</v>
      </c>
      <c r="B16">
        <v>8</v>
      </c>
      <c r="C16">
        <v>1.5153000000000001</v>
      </c>
      <c r="D16">
        <v>2.8674999999999998E-3</v>
      </c>
      <c r="E16">
        <f t="shared" si="6"/>
        <v>745.42458587619876</v>
      </c>
      <c r="F16">
        <v>526</v>
      </c>
      <c r="G16">
        <f t="shared" si="7"/>
        <v>2.4082962492053404</v>
      </c>
      <c r="H16">
        <v>0.62919999999999998</v>
      </c>
      <c r="I16">
        <f t="shared" si="8"/>
        <v>219.42458587619879</v>
      </c>
      <c r="J16">
        <v>2.2109999999999999</v>
      </c>
      <c r="K16">
        <v>90.793000000000006</v>
      </c>
      <c r="L16">
        <f>1/((0.0229*100)-1.6466)</f>
        <v>1.5542430836182779</v>
      </c>
      <c r="M16">
        <v>1.6800000000000002</v>
      </c>
      <c r="N16">
        <v>4.2077999999999998</v>
      </c>
      <c r="O16">
        <v>2.2200000000000001E-2</v>
      </c>
      <c r="P16">
        <v>0.1013</v>
      </c>
      <c r="Q16">
        <v>16.881102250000001</v>
      </c>
      <c r="R16">
        <v>76.531999999999996</v>
      </c>
    </row>
    <row r="17" spans="1:19" x14ac:dyDescent="0.25">
      <c r="A17" t="s">
        <v>5</v>
      </c>
      <c r="B17">
        <v>9</v>
      </c>
      <c r="C17">
        <v>1.7042999999999999</v>
      </c>
      <c r="D17">
        <v>3.519E-3</v>
      </c>
      <c r="E17">
        <f t="shared" si="6"/>
        <v>729.43364592213698</v>
      </c>
      <c r="F17">
        <v>483</v>
      </c>
      <c r="G17">
        <f t="shared" si="7"/>
        <v>1.9652905904059041</v>
      </c>
      <c r="H17">
        <v>0.86719999999999997</v>
      </c>
      <c r="I17">
        <f t="shared" si="8"/>
        <v>246.43364592213698</v>
      </c>
      <c r="J17">
        <v>2.1659999999999999</v>
      </c>
      <c r="K17">
        <v>91.697000000000003</v>
      </c>
      <c r="L17">
        <f>1/((0.0156*100)-0.9992)</f>
        <v>1.7831669044222545</v>
      </c>
      <c r="M17">
        <v>1.54</v>
      </c>
      <c r="N17">
        <v>3.7414999999999998</v>
      </c>
      <c r="O17">
        <v>1.8100000000000002E-2</v>
      </c>
      <c r="P17">
        <v>7.3499999999999996E-2</v>
      </c>
      <c r="Q17">
        <v>21.476176129999999</v>
      </c>
      <c r="R17">
        <v>85.253</v>
      </c>
    </row>
    <row r="18" spans="1:19" x14ac:dyDescent="0.25">
      <c r="A18" t="s">
        <v>82</v>
      </c>
      <c r="C18" s="4">
        <f t="shared" ref="C18:R18" si="9">AVERAGE(C11:C17)</f>
        <v>1.4065999999999999</v>
      </c>
      <c r="D18" s="4">
        <f t="shared" si="9"/>
        <v>3.0543142857142858E-3</v>
      </c>
      <c r="E18" s="4">
        <f t="shared" si="9"/>
        <v>657.9877729932781</v>
      </c>
      <c r="F18" s="4">
        <f t="shared" si="9"/>
        <v>455.85714285714283</v>
      </c>
      <c r="G18" s="4">
        <f t="shared" si="9"/>
        <v>2.2754715990075973</v>
      </c>
      <c r="H18" s="4">
        <f t="shared" si="9"/>
        <v>0.62181428571428576</v>
      </c>
      <c r="I18" s="4">
        <f t="shared" si="9"/>
        <v>202.1306301361353</v>
      </c>
      <c r="J18" s="4">
        <f t="shared" si="9"/>
        <v>2.5191428571428571</v>
      </c>
      <c r="K18" s="4">
        <f t="shared" si="9"/>
        <v>90.772428571428577</v>
      </c>
      <c r="L18" s="4">
        <f t="shared" si="9"/>
        <v>1.9286086695386349</v>
      </c>
      <c r="M18" s="4">
        <f t="shared" si="9"/>
        <v>1.6057142857142854</v>
      </c>
      <c r="N18" s="4">
        <f t="shared" si="9"/>
        <v>3.7553428571428569</v>
      </c>
      <c r="O18" s="4">
        <f t="shared" si="9"/>
        <v>1.722857142857143E-2</v>
      </c>
      <c r="P18" s="4">
        <f t="shared" si="9"/>
        <v>8.5385714285714287E-2</v>
      </c>
      <c r="Q18" s="4">
        <f t="shared" si="9"/>
        <v>21.156649065714284</v>
      </c>
      <c r="R18" s="4">
        <f t="shared" si="9"/>
        <v>78.954342857142848</v>
      </c>
    </row>
    <row r="19" spans="1:19" x14ac:dyDescent="0.25">
      <c r="A19" t="s">
        <v>8</v>
      </c>
      <c r="C19" s="4">
        <f t="shared" ref="C19:R19" si="10">STDEV(C11:C17)/SQRT(7)</f>
        <v>0.13739709915839893</v>
      </c>
      <c r="D19" s="4">
        <f t="shared" si="10"/>
        <v>2.3140456474545615E-4</v>
      </c>
      <c r="E19" s="4">
        <f t="shared" si="10"/>
        <v>30.575435976848535</v>
      </c>
      <c r="F19" s="4">
        <f t="shared" si="10"/>
        <v>20.907310832780503</v>
      </c>
      <c r="G19" s="4">
        <f t="shared" si="10"/>
        <v>6.5027743771256585E-2</v>
      </c>
      <c r="H19" s="4">
        <f t="shared" si="10"/>
        <v>6.409830407299405E-2</v>
      </c>
      <c r="I19" s="4">
        <f t="shared" si="10"/>
        <v>11.022465777827071</v>
      </c>
      <c r="J19" s="4">
        <f t="shared" si="10"/>
        <v>0.10557539138125835</v>
      </c>
      <c r="K19" s="4">
        <f t="shared" si="10"/>
        <v>0.51348398487303326</v>
      </c>
      <c r="L19" s="4">
        <f t="shared" si="10"/>
        <v>9.5038702050340609E-2</v>
      </c>
      <c r="M19" s="4">
        <f t="shared" si="10"/>
        <v>2.6707936966141134E-2</v>
      </c>
      <c r="N19" s="4">
        <f t="shared" si="10"/>
        <v>0.20997571271928836</v>
      </c>
      <c r="O19" s="4">
        <f t="shared" si="10"/>
        <v>1.4631528718936423E-3</v>
      </c>
      <c r="P19" s="4">
        <f t="shared" si="10"/>
        <v>5.3298096352777319E-3</v>
      </c>
      <c r="Q19" s="4">
        <f t="shared" si="10"/>
        <v>1.2159709480090424</v>
      </c>
      <c r="R19" s="4">
        <f t="shared" si="10"/>
        <v>1.9997357309758443</v>
      </c>
      <c r="S19" s="4"/>
    </row>
    <row r="20" spans="1:19" x14ac:dyDescent="0.25">
      <c r="A20" t="s">
        <v>81</v>
      </c>
      <c r="C20" s="5">
        <f t="shared" ref="C20:Q20" si="11">(C19/C18)*100</f>
        <v>9.7680292306554062</v>
      </c>
      <c r="D20" s="5">
        <f t="shared" si="11"/>
        <v>7.5763180569788551</v>
      </c>
      <c r="E20" s="5">
        <f t="shared" si="11"/>
        <v>4.6468091401997658</v>
      </c>
      <c r="F20" s="5">
        <f t="shared" si="11"/>
        <v>4.5863734199142439</v>
      </c>
      <c r="G20" s="5">
        <f t="shared" si="11"/>
        <v>2.8577699585271543</v>
      </c>
      <c r="H20" s="5">
        <f t="shared" si="11"/>
        <v>10.308271383531103</v>
      </c>
      <c r="I20" s="5">
        <f t="shared" si="11"/>
        <v>5.4531397692687262</v>
      </c>
      <c r="J20" s="5">
        <f t="shared" si="11"/>
        <v>4.190925142728867</v>
      </c>
      <c r="K20" s="5">
        <f t="shared" si="11"/>
        <v>0.56568276618155489</v>
      </c>
      <c r="L20" s="5">
        <f t="shared" si="11"/>
        <v>4.9278375417173637</v>
      </c>
      <c r="M20" s="5">
        <f t="shared" si="11"/>
        <v>1.6633056829447328</v>
      </c>
      <c r="N20" s="5">
        <f t="shared" si="11"/>
        <v>5.5913859454910666</v>
      </c>
      <c r="O20" s="5">
        <f t="shared" si="11"/>
        <v>8.4925954421687351</v>
      </c>
      <c r="P20" s="5">
        <f t="shared" si="11"/>
        <v>6.2420390575446083</v>
      </c>
      <c r="Q20" s="5">
        <f t="shared" si="11"/>
        <v>5.7474647531947856</v>
      </c>
    </row>
    <row r="23" spans="1:19" x14ac:dyDescent="0.25">
      <c r="D23" s="7"/>
      <c r="E23" s="7"/>
      <c r="F23" t="s">
        <v>80</v>
      </c>
      <c r="G23" t="s">
        <v>8</v>
      </c>
      <c r="J23" t="s">
        <v>10</v>
      </c>
      <c r="K23" t="s">
        <v>79</v>
      </c>
    </row>
    <row r="24" spans="1:19" x14ac:dyDescent="0.25">
      <c r="D24" t="s">
        <v>6</v>
      </c>
      <c r="F24">
        <f>AVERAGE(D2:D7)</f>
        <v>2.3737133333333331E-3</v>
      </c>
      <c r="G24">
        <f>STDEV(D2:D7)/SQRT(6)</f>
        <v>1.6578611294208105E-4</v>
      </c>
      <c r="J24">
        <f>_xlfn.F.TEST(D2:D7,D11:D17)</f>
        <v>0.38557502931764476</v>
      </c>
      <c r="K24">
        <f>_xlfn.T.TEST(D2:D7,D11:D17,2,2)</f>
        <v>4.0986970700047969E-2</v>
      </c>
    </row>
    <row r="25" spans="1:19" ht="11.25" customHeight="1" x14ac:dyDescent="0.25">
      <c r="D25" t="s">
        <v>7</v>
      </c>
      <c r="F25">
        <f>AVERAGE(D11:D17)</f>
        <v>3.0543142857142858E-3</v>
      </c>
      <c r="G25">
        <f>STDEV(D11:D17)/SQRT(7)</f>
        <v>2.3140456474545615E-4</v>
      </c>
    </row>
    <row r="26" spans="1:19" ht="28.5" customHeight="1" x14ac:dyDescent="0.25">
      <c r="F26" t="s">
        <v>78</v>
      </c>
      <c r="G26" t="s">
        <v>8</v>
      </c>
    </row>
    <row r="27" spans="1:19" x14ac:dyDescent="0.25">
      <c r="D27" t="s">
        <v>6</v>
      </c>
      <c r="F27">
        <f>AVERAGE(I2:I7)</f>
        <v>181.98850769568142</v>
      </c>
      <c r="G27">
        <f>STDEV(I2:I7)/SQRT(6)</f>
        <v>5.2930643959624026</v>
      </c>
      <c r="J27">
        <f>_xlfn.F.TEST(I2:I7,I11:I17)</f>
        <v>9.5840238013731371E-2</v>
      </c>
      <c r="K27">
        <f>_xlfn.T.TEST(I2:I7,I11:I17,2,2)</f>
        <v>0.14762697550306955</v>
      </c>
    </row>
    <row r="28" spans="1:19" x14ac:dyDescent="0.25">
      <c r="D28" t="s">
        <v>7</v>
      </c>
      <c r="F28">
        <f>AVERAGE(I11:I17)</f>
        <v>202.1306301361353</v>
      </c>
      <c r="G28">
        <f>STDEV(I11:I17)/SQRT(7)</f>
        <v>11.022465777827071</v>
      </c>
    </row>
    <row r="30" spans="1:19" ht="28.5" customHeight="1" x14ac:dyDescent="0.25">
      <c r="F30" t="s">
        <v>77</v>
      </c>
      <c r="G30" t="s">
        <v>8</v>
      </c>
    </row>
    <row r="31" spans="1:19" x14ac:dyDescent="0.25">
      <c r="D31" t="s">
        <v>6</v>
      </c>
      <c r="F31">
        <f>AVERAGE(E2:E7)</f>
        <v>655.48850769568151</v>
      </c>
      <c r="G31">
        <f>STDEV(E2:E7)/SQRT(6)</f>
        <v>6.381634732469025</v>
      </c>
      <c r="J31">
        <f>FTEST(E2:E7,E11:E17)</f>
        <v>2.38549680869116E-3</v>
      </c>
      <c r="K31">
        <f>_xlfn.T.TEST(E2:E7,E11:E17,2,3)</f>
        <v>0.93862440824512516</v>
      </c>
    </row>
    <row r="32" spans="1:19" x14ac:dyDescent="0.25">
      <c r="D32" t="s">
        <v>7</v>
      </c>
      <c r="F32">
        <f>AVERAGE(E11:E17)</f>
        <v>657.9877729932781</v>
      </c>
      <c r="G32">
        <f>STDEV(E11:E17)/SQRT(7)</f>
        <v>30.575435976848535</v>
      </c>
    </row>
    <row r="33" spans="4:11" ht="30" customHeight="1" x14ac:dyDescent="0.25">
      <c r="F33" t="s">
        <v>76</v>
      </c>
      <c r="G33" t="s">
        <v>8</v>
      </c>
    </row>
    <row r="34" spans="4:11" x14ac:dyDescent="0.25">
      <c r="D34" t="s">
        <v>6</v>
      </c>
      <c r="F34">
        <f>AVERAGE(F2:F7)</f>
        <v>473.5</v>
      </c>
      <c r="G34">
        <f>STDEV(F2:F7)/SQRT(6)</f>
        <v>5.2709897868743152</v>
      </c>
      <c r="J34">
        <f>_xlfn.F.TEST(F2:F7,F11:F17)</f>
        <v>5.8128951313495261E-3</v>
      </c>
      <c r="K34">
        <f>_xlfn.T.TEST(F2:F7,F11:F17,2,3)</f>
        <v>0.4411180472934696</v>
      </c>
    </row>
    <row r="35" spans="4:11" x14ac:dyDescent="0.25">
      <c r="D35" t="s">
        <v>7</v>
      </c>
      <c r="F35">
        <f>AVERAGE(F11:F17)</f>
        <v>455.85714285714283</v>
      </c>
      <c r="G35">
        <f>STDEV(F11:F17)/SQRT(7)</f>
        <v>20.907310832780503</v>
      </c>
    </row>
    <row r="36" spans="4:11" ht="30.75" customHeight="1" x14ac:dyDescent="0.25">
      <c r="F36" t="s">
        <v>75</v>
      </c>
      <c r="G36" t="s">
        <v>8</v>
      </c>
    </row>
    <row r="37" spans="4:11" x14ac:dyDescent="0.25">
      <c r="D37" t="s">
        <v>6</v>
      </c>
      <c r="F37">
        <f>AVERAGE(G2:G7)</f>
        <v>2.643530442237533</v>
      </c>
      <c r="G37">
        <f>STDEV(G2:G7)/SQRT(6)</f>
        <v>9.6466616931427177E-2</v>
      </c>
      <c r="J37">
        <f>_xlfn.F.TEST(G2:G7,G11:G17)</f>
        <v>0.46190107974139538</v>
      </c>
      <c r="K37">
        <f>_xlfn.T.TEST(G2:G7,G11:G17,2,2)</f>
        <v>7.7835378813485151E-3</v>
      </c>
    </row>
    <row r="38" spans="4:11" x14ac:dyDescent="0.25">
      <c r="D38" t="s">
        <v>7</v>
      </c>
      <c r="F38">
        <f>AVERAGE(G11:G17)</f>
        <v>2.2754715990075973</v>
      </c>
      <c r="G38">
        <f>STDEV(G11:G17)/SQRT(7)</f>
        <v>6.5027743771256585E-2</v>
      </c>
    </row>
    <row r="40" spans="4:11" x14ac:dyDescent="0.25">
      <c r="F40" t="s">
        <v>74</v>
      </c>
      <c r="G40" t="s">
        <v>8</v>
      </c>
    </row>
    <row r="41" spans="4:11" x14ac:dyDescent="0.25">
      <c r="D41" t="s">
        <v>6</v>
      </c>
      <c r="F41">
        <f>AVERAGE(J2:J7)</f>
        <v>3.1059166666666669</v>
      </c>
      <c r="G41">
        <f>STDEV(J2:J7)/SQRT(6)</f>
        <v>5.7051207504993082E-2</v>
      </c>
      <c r="J41">
        <f>_xlfn.F.TEST(J2:J7,J11:J17)</f>
        <v>0.1500621769152333</v>
      </c>
      <c r="K41">
        <f>_xlfn.T.TEST(J2:J7,J11:J17,2,2)</f>
        <v>7.045703743230017E-4</v>
      </c>
    </row>
    <row r="42" spans="4:11" x14ac:dyDescent="0.25">
      <c r="D42" t="s">
        <v>7</v>
      </c>
      <c r="F42">
        <f>AVERAGE(J11:J17)</f>
        <v>2.5191428571428571</v>
      </c>
      <c r="G42">
        <f>STDEV(J11:J17)/SQRT(6)</f>
        <v>0.11403445594580992</v>
      </c>
    </row>
    <row r="43" spans="4:11" x14ac:dyDescent="0.25">
      <c r="F43" t="s">
        <v>73</v>
      </c>
      <c r="G43" t="s">
        <v>8</v>
      </c>
    </row>
    <row r="44" spans="4:11" x14ac:dyDescent="0.25">
      <c r="D44" t="s">
        <v>6</v>
      </c>
      <c r="F44">
        <f>AVERAGE(K2:K7)</f>
        <v>81.742500000000007</v>
      </c>
      <c r="G44">
        <f>STDEV(K2:K7)/SQRT(6)</f>
        <v>0.64736124639441639</v>
      </c>
      <c r="J44">
        <f>FTEST(K2:K7,K11:K17)</f>
        <v>0.7095238712248928</v>
      </c>
      <c r="K44">
        <f>_xlfn.T.TEST(K2:K7,K11:K17,2,2)</f>
        <v>2.6531251015783864E-7</v>
      </c>
    </row>
    <row r="45" spans="4:11" x14ac:dyDescent="0.25">
      <c r="D45" t="s">
        <v>7</v>
      </c>
      <c r="F45">
        <f>AVERAGE(K11:K17)</f>
        <v>90.772428571428577</v>
      </c>
      <c r="G45">
        <f>STDEV(K11:K17)/SQRT(6)</f>
        <v>0.55462609312455224</v>
      </c>
    </row>
    <row r="46" spans="4:11" x14ac:dyDescent="0.25">
      <c r="F46" t="s">
        <v>72</v>
      </c>
      <c r="G46" t="s">
        <v>8</v>
      </c>
    </row>
    <row r="47" spans="4:11" x14ac:dyDescent="0.25">
      <c r="D47" t="s">
        <v>6</v>
      </c>
      <c r="F47">
        <f>AVERAGE(L2:L7)</f>
        <v>2.3835036149713118</v>
      </c>
      <c r="G47">
        <f>STDEV(L2:L7)/SQRT(6)</f>
        <v>0.12825442887980837</v>
      </c>
      <c r="J47">
        <f>FTEST(L2:L7,L11:L17)</f>
        <v>0.59974275806421051</v>
      </c>
      <c r="K47">
        <f>_xlfn.T.TEST(L2:L7,L11:L17,2,2)</f>
        <v>1.437685601765237E-2</v>
      </c>
    </row>
    <row r="48" spans="4:11" x14ac:dyDescent="0.25">
      <c r="D48" t="s">
        <v>7</v>
      </c>
      <c r="F48">
        <f>AVERAGE(L11:L17)</f>
        <v>1.9286086695386349</v>
      </c>
      <c r="G48">
        <f>STDEV(L11:L17)/SQRT(6)</f>
        <v>0.10265353071691684</v>
      </c>
    </row>
    <row r="49" spans="4:11" x14ac:dyDescent="0.25">
      <c r="F49" t="s">
        <v>71</v>
      </c>
      <c r="G49" t="s">
        <v>8</v>
      </c>
    </row>
    <row r="50" spans="4:11" x14ac:dyDescent="0.25">
      <c r="D50" t="s">
        <v>6</v>
      </c>
      <c r="F50">
        <f>AVERAGE(N2:N7)</f>
        <v>5.8451833333333338</v>
      </c>
      <c r="G50">
        <f>STDEV(N2:N7)/SQRT(6)</f>
        <v>0.26777809148206566</v>
      </c>
      <c r="J50">
        <f>FTEST(N2:N7,N11:N17)</f>
        <v>0.69047711767181219</v>
      </c>
      <c r="K50">
        <f>TTEST(N2:N7,N11:N17,2,2)</f>
        <v>6.4663471562624169E-5</v>
      </c>
    </row>
    <row r="51" spans="4:11" x14ac:dyDescent="0.25">
      <c r="D51" t="s">
        <v>7</v>
      </c>
      <c r="F51">
        <f>AVERAGE(N11:N17)</f>
        <v>3.7553428571428569</v>
      </c>
      <c r="G51">
        <f>STDEV(N11:N17)/SQRT(6)</f>
        <v>0.22679969118284821</v>
      </c>
    </row>
    <row r="52" spans="4:11" x14ac:dyDescent="0.25">
      <c r="F52" t="s">
        <v>70</v>
      </c>
      <c r="G52" t="s">
        <v>69</v>
      </c>
    </row>
    <row r="53" spans="4:11" x14ac:dyDescent="0.25">
      <c r="D53" t="s">
        <v>6</v>
      </c>
      <c r="F53">
        <f>AVERAGE(O2:O7)*1000</f>
        <v>28.033333333333331</v>
      </c>
      <c r="G53">
        <f>STDEV(O2:O7)/SQRT(6)*1000</f>
        <v>1.5683678706788717</v>
      </c>
      <c r="J53">
        <f>FTEST(O2:O7,O11:O17)</f>
        <v>0.99245715550352509</v>
      </c>
      <c r="K53">
        <f>TTEST(O2:O7,O11:O17,2,2)</f>
        <v>3.8142966485726974E-4</v>
      </c>
    </row>
    <row r="54" spans="4:11" x14ac:dyDescent="0.25">
      <c r="D54" t="s">
        <v>7</v>
      </c>
      <c r="F54">
        <f>AVERAGE(O11:O17)*1000</f>
        <v>17.228571428571431</v>
      </c>
      <c r="G54">
        <f>STDEV(O11:O17)/SQRT(6)*1000</f>
        <v>1.5803857274789119</v>
      </c>
    </row>
    <row r="55" spans="4:11" x14ac:dyDescent="0.25">
      <c r="F55" t="s">
        <v>68</v>
      </c>
      <c r="G55" t="s">
        <v>8</v>
      </c>
    </row>
    <row r="56" spans="4:11" x14ac:dyDescent="0.25">
      <c r="D56" t="s">
        <v>6</v>
      </c>
      <c r="F56">
        <f>AVERAGE(P2:P7)</f>
        <v>0.15511666666666665</v>
      </c>
      <c r="G56">
        <f>STDEV(P2:P7)/SQRT(6)</f>
        <v>1.0918651219104241E-2</v>
      </c>
      <c r="J56">
        <f>FTEST(P2:P7,P11:P17)</f>
        <v>0.15062412879632908</v>
      </c>
      <c r="K56">
        <f>TTEST(P2:P7,P11:P17,2,2)</f>
        <v>8.6843994369977399E-5</v>
      </c>
    </row>
    <row r="57" spans="4:11" x14ac:dyDescent="0.25">
      <c r="D57" t="s">
        <v>7</v>
      </c>
      <c r="F57">
        <f>AVERAGE(P11:P17)</f>
        <v>8.5385714285714287E-2</v>
      </c>
      <c r="G57">
        <f>STDEV(P11:P17)/SQRT(6)</f>
        <v>5.7568523696851261E-3</v>
      </c>
    </row>
    <row r="58" spans="4:11" x14ac:dyDescent="0.25">
      <c r="F58" t="s">
        <v>67</v>
      </c>
      <c r="G58" t="s">
        <v>8</v>
      </c>
    </row>
    <row r="59" spans="4:11" x14ac:dyDescent="0.25">
      <c r="D59" t="s">
        <v>6</v>
      </c>
      <c r="F59">
        <f>AVERAGE(Q2:Q7)</f>
        <v>13.117119470666667</v>
      </c>
      <c r="G59">
        <f>Q9</f>
        <v>0.74159062424363831</v>
      </c>
      <c r="J59">
        <f>FTEST(Q2:Q7,Q11:Q17)</f>
        <v>0.23038910339381455</v>
      </c>
      <c r="K59">
        <f>TTEST(Q2:Q7,Q11:Q17,2,2)</f>
        <v>2.1471503698230584E-4</v>
      </c>
    </row>
    <row r="60" spans="4:11" x14ac:dyDescent="0.25">
      <c r="D60" t="s">
        <v>7</v>
      </c>
      <c r="F60">
        <f>AVERAGE(Q11:Q17)</f>
        <v>21.156649065714284</v>
      </c>
      <c r="G60">
        <f>Q19</f>
        <v>1.2159709480090424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topLeftCell="C1" zoomScale="60" zoomScaleNormal="60" workbookViewId="0">
      <selection activeCell="F2" sqref="F2"/>
    </sheetView>
  </sheetViews>
  <sheetFormatPr defaultRowHeight="15" x14ac:dyDescent="0.25"/>
  <cols>
    <col min="1" max="1" width="13.5703125" customWidth="1"/>
    <col min="2" max="2" width="19" customWidth="1"/>
    <col min="3" max="3" width="32" customWidth="1"/>
    <col min="4" max="4" width="8.140625" customWidth="1"/>
    <col min="5" max="5" width="18.7109375" customWidth="1"/>
    <col min="6" max="6" width="40.140625" customWidth="1"/>
    <col min="7" max="7" width="27.85546875" customWidth="1"/>
    <col min="8" max="9" width="20.42578125" customWidth="1"/>
    <col min="10" max="10" width="29.85546875" customWidth="1"/>
    <col min="11" max="11" width="27.7109375" customWidth="1"/>
    <col min="12" max="13" width="25.5703125" customWidth="1"/>
    <col min="14" max="14" width="28.5703125" customWidth="1"/>
    <col min="15" max="15" width="45.140625" customWidth="1"/>
    <col min="16" max="16" width="29.85546875" customWidth="1"/>
    <col min="17" max="17" width="31.5703125" customWidth="1"/>
    <col min="19" max="19" width="17.5703125" customWidth="1"/>
  </cols>
  <sheetData>
    <row r="1" spans="1:16" x14ac:dyDescent="0.25">
      <c r="A1" s="1" t="s">
        <v>1</v>
      </c>
      <c r="B1" s="1" t="s">
        <v>2</v>
      </c>
      <c r="C1" s="1" t="s">
        <v>38</v>
      </c>
      <c r="D1" s="1" t="s">
        <v>28</v>
      </c>
      <c r="E1" s="1" t="s">
        <v>37</v>
      </c>
      <c r="F1" s="1" t="s">
        <v>9</v>
      </c>
      <c r="G1" s="1" t="s">
        <v>36</v>
      </c>
      <c r="H1" s="1" t="s">
        <v>30</v>
      </c>
      <c r="I1" s="1" t="s">
        <v>34</v>
      </c>
      <c r="J1" s="1" t="s">
        <v>39</v>
      </c>
      <c r="K1" s="1" t="s">
        <v>28</v>
      </c>
      <c r="L1" s="1" t="s">
        <v>44</v>
      </c>
      <c r="M1" s="1" t="s">
        <v>51</v>
      </c>
      <c r="N1" s="1" t="s">
        <v>45</v>
      </c>
      <c r="O1" s="1" t="s">
        <v>46</v>
      </c>
      <c r="P1" s="1" t="s">
        <v>47</v>
      </c>
    </row>
    <row r="2" spans="1:16" x14ac:dyDescent="0.25">
      <c r="A2" t="s">
        <v>3</v>
      </c>
      <c r="B2">
        <v>1</v>
      </c>
      <c r="C2" t="s">
        <v>11</v>
      </c>
      <c r="D2">
        <v>2.0999999999999999E-3</v>
      </c>
      <c r="E2">
        <v>0.1132</v>
      </c>
      <c r="F2">
        <f>1/((D2*$C$21)+E2)</f>
        <v>3.8431975403535743</v>
      </c>
      <c r="G2">
        <f>((1/$C$22)-E2)/D2</f>
        <v>26.532818532818535</v>
      </c>
      <c r="H2">
        <f>((1/$C$25)-E2)/D2</f>
        <v>57.61525593844096</v>
      </c>
      <c r="I2">
        <f>((0/1)-E2)/D2</f>
        <v>-53.904761904761905</v>
      </c>
      <c r="K2">
        <v>-5.4927999999999999</v>
      </c>
      <c r="L2">
        <f t="shared" ref="L2:L7" si="0">100-(K2*$C$27)</f>
        <v>85.336421119999997</v>
      </c>
      <c r="N2">
        <f>L2-G2</f>
        <v>58.803602587181459</v>
      </c>
      <c r="O2">
        <v>4.8526999999999997E-3</v>
      </c>
      <c r="P2">
        <f>O2*N2</f>
        <v>0.28535624227481543</v>
      </c>
    </row>
    <row r="3" spans="1:16" x14ac:dyDescent="0.25">
      <c r="A3" t="s">
        <v>3</v>
      </c>
      <c r="B3">
        <v>2</v>
      </c>
      <c r="C3" t="s">
        <v>12</v>
      </c>
      <c r="D3">
        <v>4.8999999999999998E-3</v>
      </c>
      <c r="E3">
        <v>-0.10879999999999999</v>
      </c>
      <c r="F3">
        <f t="shared" ref="F3:F16" si="1">1/((D3*$C$21)+E3)</f>
        <v>4.2698548249359529</v>
      </c>
      <c r="G3">
        <f t="shared" ref="G3:G16" si="2">((1/$C$22)-E3)/D3</f>
        <v>56.67733039161611</v>
      </c>
      <c r="H3">
        <f t="shared" ref="H3:H16" si="3">((1/$C$25)-E3)/D3</f>
        <v>69.99837499402571</v>
      </c>
      <c r="I3">
        <f t="shared" ref="I3:I16" si="4">((0/1)-E3)/D3</f>
        <v>22.204081632653061</v>
      </c>
      <c r="K3">
        <v>-5.0057</v>
      </c>
      <c r="L3">
        <f t="shared" si="0"/>
        <v>86.636783280000003</v>
      </c>
      <c r="N3">
        <f t="shared" ref="N3:N16" si="5">L3-G3</f>
        <v>29.959452888383893</v>
      </c>
      <c r="O3">
        <v>4.6236000000000003E-3</v>
      </c>
      <c r="P3">
        <f t="shared" ref="P3:P16" si="6">O3*N3</f>
        <v>0.13852052637473178</v>
      </c>
    </row>
    <row r="4" spans="1:16" x14ac:dyDescent="0.25">
      <c r="A4" t="s">
        <v>3</v>
      </c>
      <c r="B4">
        <v>3</v>
      </c>
      <c r="C4" t="s">
        <v>13</v>
      </c>
      <c r="D4">
        <v>3.7000000000000002E-3</v>
      </c>
      <c r="E4">
        <v>-1.2E-2</v>
      </c>
      <c r="F4">
        <f t="shared" si="1"/>
        <v>4.048582995951417</v>
      </c>
      <c r="G4">
        <f t="shared" si="2"/>
        <v>48.897005113221326</v>
      </c>
      <c r="H4">
        <f t="shared" si="3"/>
        <v>66.538388505601617</v>
      </c>
      <c r="I4">
        <f t="shared" si="4"/>
        <v>3.243243243243243</v>
      </c>
      <c r="K4">
        <v>-5.5377999999999998</v>
      </c>
      <c r="L4">
        <f t="shared" si="0"/>
        <v>85.216289119999999</v>
      </c>
      <c r="N4">
        <f t="shared" si="5"/>
        <v>36.319284006778673</v>
      </c>
      <c r="O4">
        <v>4.6974E-3</v>
      </c>
      <c r="P4">
        <f t="shared" si="6"/>
        <v>0.17060620469344215</v>
      </c>
    </row>
    <row r="5" spans="1:16" x14ac:dyDescent="0.25">
      <c r="A5" t="s">
        <v>4</v>
      </c>
      <c r="B5">
        <v>4</v>
      </c>
      <c r="C5" t="s">
        <v>14</v>
      </c>
      <c r="D5">
        <v>4.3E-3</v>
      </c>
      <c r="E5">
        <v>-6.0100000000000001E-2</v>
      </c>
      <c r="F5">
        <f t="shared" si="1"/>
        <v>4.1511000415110004</v>
      </c>
      <c r="G5">
        <f t="shared" si="2"/>
        <v>53.260213702074161</v>
      </c>
      <c r="H5">
        <f t="shared" si="3"/>
        <v>68.440008714122328</v>
      </c>
      <c r="I5">
        <f t="shared" si="4"/>
        <v>13.976744186046512</v>
      </c>
      <c r="K5">
        <v>-5.8272000000000004</v>
      </c>
      <c r="L5">
        <f t="shared" si="0"/>
        <v>84.443706879999993</v>
      </c>
      <c r="N5">
        <f t="shared" si="5"/>
        <v>31.183493177925833</v>
      </c>
      <c r="O5">
        <v>4.6782000000000004E-3</v>
      </c>
      <c r="P5">
        <f t="shared" si="6"/>
        <v>0.14588261778497263</v>
      </c>
    </row>
    <row r="6" spans="1:16" x14ac:dyDescent="0.25">
      <c r="A6" t="s">
        <v>3</v>
      </c>
      <c r="B6">
        <v>5</v>
      </c>
      <c r="C6" t="s">
        <v>15</v>
      </c>
      <c r="D6">
        <v>3.3999999999999998E-3</v>
      </c>
      <c r="E6">
        <v>3.6999999999999998E-2</v>
      </c>
      <c r="F6">
        <f t="shared" si="1"/>
        <v>3.6363636363636367</v>
      </c>
      <c r="G6">
        <f t="shared" si="2"/>
        <v>38.799682034976151</v>
      </c>
      <c r="H6">
        <f t="shared" si="3"/>
        <v>57.997658079625296</v>
      </c>
      <c r="I6">
        <f t="shared" si="4"/>
        <v>-10.882352941176471</v>
      </c>
      <c r="K6">
        <v>-6.4082999999999997</v>
      </c>
      <c r="L6">
        <f t="shared" si="0"/>
        <v>82.892402320000002</v>
      </c>
      <c r="N6">
        <f t="shared" si="5"/>
        <v>44.092720285023852</v>
      </c>
      <c r="O6">
        <v>4.9224999999999998E-3</v>
      </c>
      <c r="P6">
        <f t="shared" si="6"/>
        <v>0.2170464156030299</v>
      </c>
    </row>
    <row r="7" spans="1:16" x14ac:dyDescent="0.25">
      <c r="A7" t="s">
        <v>3</v>
      </c>
      <c r="B7">
        <v>6</v>
      </c>
      <c r="C7" t="s">
        <v>16</v>
      </c>
      <c r="D7">
        <v>9.1999999999999998E-3</v>
      </c>
      <c r="E7">
        <f>-0.4237</f>
        <v>-0.42370000000000002</v>
      </c>
      <c r="F7">
        <f t="shared" si="1"/>
        <v>4.5392646391284615</v>
      </c>
      <c r="G7">
        <f t="shared" si="2"/>
        <v>64.415099882491191</v>
      </c>
      <c r="H7">
        <f t="shared" si="3"/>
        <v>71.510004072905005</v>
      </c>
      <c r="I7">
        <f t="shared" si="4"/>
        <v>46.054347826086961</v>
      </c>
      <c r="K7">
        <v>-6.7992999999999997</v>
      </c>
      <c r="L7">
        <f t="shared" si="0"/>
        <v>81.848588720000009</v>
      </c>
      <c r="N7">
        <f>L7-G7</f>
        <v>17.433488837508818</v>
      </c>
      <c r="O7">
        <v>4.9474999999999996E-3</v>
      </c>
      <c r="P7">
        <f t="shared" si="6"/>
        <v>8.6252186023574873E-2</v>
      </c>
    </row>
    <row r="8" spans="1:16" x14ac:dyDescent="0.25">
      <c r="A8" t="s">
        <v>5</v>
      </c>
      <c r="B8">
        <v>1</v>
      </c>
      <c r="C8" t="s">
        <v>17</v>
      </c>
      <c r="D8">
        <v>6.8999999999999999E-3</v>
      </c>
      <c r="E8">
        <v>-0.32379999999999998</v>
      </c>
      <c r="F8">
        <f t="shared" si="1"/>
        <v>6.2814070351758788</v>
      </c>
      <c r="G8">
        <f t="shared" si="2"/>
        <v>71.408538973756364</v>
      </c>
      <c r="H8">
        <f t="shared" si="3"/>
        <v>80.868411227641445</v>
      </c>
      <c r="I8">
        <f t="shared" si="4"/>
        <v>46.927536231884055</v>
      </c>
      <c r="K8">
        <v>-3.9308000000000001</v>
      </c>
      <c r="L8">
        <f>100-(K8*$C$29)</f>
        <v>93.753958800000007</v>
      </c>
      <c r="N8">
        <f t="shared" si="5"/>
        <v>22.345419826243642</v>
      </c>
      <c r="O8">
        <v>3.7498000000000002E-3</v>
      </c>
      <c r="P8">
        <f t="shared" si="6"/>
        <v>8.3790855264448419E-2</v>
      </c>
    </row>
    <row r="9" spans="1:16" x14ac:dyDescent="0.25">
      <c r="A9" t="s">
        <v>5</v>
      </c>
      <c r="B9">
        <v>2</v>
      </c>
      <c r="C9" t="s">
        <v>18</v>
      </c>
      <c r="D9">
        <v>1.24E-2</v>
      </c>
      <c r="E9">
        <v>-0.81030000000000002</v>
      </c>
      <c r="F9">
        <f t="shared" si="1"/>
        <v>17.331022530329296</v>
      </c>
      <c r="G9">
        <f t="shared" si="2"/>
        <v>78.969267654751519</v>
      </c>
      <c r="H9">
        <f t="shared" si="3"/>
        <v>84.233228828284368</v>
      </c>
      <c r="I9">
        <f t="shared" si="4"/>
        <v>65.346774193548384</v>
      </c>
      <c r="K9">
        <v>-4.6272000000000002</v>
      </c>
      <c r="L9">
        <f>100-(K9*$C$29)</f>
        <v>92.647379200000003</v>
      </c>
      <c r="N9">
        <f t="shared" si="5"/>
        <v>13.678111545248484</v>
      </c>
      <c r="O9">
        <v>4.9363000000000002E-3</v>
      </c>
      <c r="P9">
        <f t="shared" si="6"/>
        <v>6.75192620208101E-2</v>
      </c>
    </row>
    <row r="10" spans="1:16" x14ac:dyDescent="0.25">
      <c r="A10" t="s">
        <v>5</v>
      </c>
      <c r="B10">
        <v>3</v>
      </c>
      <c r="C10" t="s">
        <v>19</v>
      </c>
      <c r="D10">
        <v>8.5000000000000006E-3</v>
      </c>
      <c r="E10">
        <v>-0.4728</v>
      </c>
      <c r="F10">
        <f t="shared" si="1"/>
        <v>8.1833060556464758</v>
      </c>
      <c r="G10">
        <f t="shared" si="2"/>
        <v>75.496343402225762</v>
      </c>
      <c r="H10">
        <f t="shared" si="3"/>
        <v>83.175533820085406</v>
      </c>
      <c r="I10">
        <f t="shared" si="4"/>
        <v>55.6235294117647</v>
      </c>
      <c r="K10">
        <v>-3.427</v>
      </c>
      <c r="L10">
        <f>100-(K10*$C$29)</f>
        <v>94.554496999999998</v>
      </c>
      <c r="N10">
        <f t="shared" si="5"/>
        <v>19.058153597774236</v>
      </c>
      <c r="O10">
        <v>4.3020000000000003E-3</v>
      </c>
      <c r="P10">
        <f t="shared" si="6"/>
        <v>8.1988176777624766E-2</v>
      </c>
    </row>
    <row r="13" spans="1:16" x14ac:dyDescent="0.25">
      <c r="A13" t="s">
        <v>5</v>
      </c>
      <c r="B13">
        <v>6</v>
      </c>
      <c r="C13" t="s">
        <v>20</v>
      </c>
      <c r="D13">
        <v>8.3999999999999995E-3</v>
      </c>
      <c r="E13">
        <v>-0.42499999999999999</v>
      </c>
      <c r="F13">
        <f t="shared" si="1"/>
        <v>6.1349693251533752</v>
      </c>
      <c r="G13">
        <f t="shared" si="2"/>
        <v>70.704633204633211</v>
      </c>
      <c r="H13">
        <f t="shared" si="3"/>
        <v>78.475242556038808</v>
      </c>
      <c r="I13">
        <f t="shared" si="4"/>
        <v>50.595238095238095</v>
      </c>
      <c r="K13">
        <v>-3.3719999999999999</v>
      </c>
      <c r="L13">
        <f>100-(K13*$C$29)</f>
        <v>94.641891999999999</v>
      </c>
      <c r="N13">
        <f t="shared" si="5"/>
        <v>23.937258795366787</v>
      </c>
      <c r="O13">
        <v>4.0438000000000002E-3</v>
      </c>
      <c r="P13">
        <f t="shared" si="6"/>
        <v>9.6797487116704217E-2</v>
      </c>
    </row>
    <row r="14" spans="1:16" x14ac:dyDescent="0.25">
      <c r="A14" t="s">
        <v>5</v>
      </c>
      <c r="B14">
        <v>7</v>
      </c>
      <c r="C14" t="s">
        <v>21</v>
      </c>
      <c r="D14">
        <v>1.4E-2</v>
      </c>
      <c r="E14">
        <v>-0.92520000000000002</v>
      </c>
      <c r="F14">
        <f t="shared" si="1"/>
        <v>18.248175182481766</v>
      </c>
      <c r="G14">
        <f t="shared" si="2"/>
        <v>78.151351351351352</v>
      </c>
      <c r="H14">
        <f t="shared" si="3"/>
        <v>82.813716962194718</v>
      </c>
      <c r="I14">
        <f t="shared" si="4"/>
        <v>66.085714285714289</v>
      </c>
      <c r="K14">
        <v>-2.9788999999999999</v>
      </c>
      <c r="L14">
        <f>100-(K14*$C$29)</f>
        <v>95.2665279</v>
      </c>
      <c r="N14">
        <f t="shared" si="5"/>
        <v>17.115176548648648</v>
      </c>
      <c r="O14">
        <v>4.8677E-3</v>
      </c>
      <c r="P14">
        <f t="shared" si="6"/>
        <v>8.3311544885857028E-2</v>
      </c>
    </row>
    <row r="15" spans="1:16" x14ac:dyDescent="0.25">
      <c r="A15" t="s">
        <v>5</v>
      </c>
      <c r="B15">
        <v>8</v>
      </c>
      <c r="C15" t="s">
        <v>22</v>
      </c>
      <c r="D15">
        <v>1.3299999999999999E-2</v>
      </c>
      <c r="E15">
        <v>-0.82699999999999996</v>
      </c>
      <c r="F15">
        <f t="shared" si="1"/>
        <v>9.6153846153846168</v>
      </c>
      <c r="G15">
        <f t="shared" si="2"/>
        <v>74.881121723226983</v>
      </c>
      <c r="H15">
        <f t="shared" si="3"/>
        <v>79.788874997798956</v>
      </c>
      <c r="I15">
        <f t="shared" si="4"/>
        <v>62.180451127819552</v>
      </c>
      <c r="K15">
        <v>-4.2077999999999998</v>
      </c>
      <c r="L15">
        <f>100-(K15*$C$29)</f>
        <v>93.313805799999997</v>
      </c>
      <c r="N15">
        <f t="shared" si="5"/>
        <v>18.432684076773015</v>
      </c>
      <c r="O15">
        <v>5.2843999999999999E-3</v>
      </c>
      <c r="P15">
        <f t="shared" si="6"/>
        <v>9.7405675735299319E-2</v>
      </c>
    </row>
    <row r="16" spans="1:16" x14ac:dyDescent="0.25">
      <c r="A16" t="s">
        <v>5</v>
      </c>
      <c r="B16">
        <v>9</v>
      </c>
      <c r="C16" t="s">
        <v>23</v>
      </c>
      <c r="D16">
        <v>8.0999999999999996E-3</v>
      </c>
      <c r="E16">
        <v>-0.36730000000000002</v>
      </c>
      <c r="F16">
        <f t="shared" si="1"/>
        <v>5.0075112669003525</v>
      </c>
      <c r="G16">
        <f t="shared" si="2"/>
        <v>66.199866533199867</v>
      </c>
      <c r="H16">
        <f t="shared" si="3"/>
        <v>74.258276230953825</v>
      </c>
      <c r="I16">
        <f t="shared" si="4"/>
        <v>45.345679012345684</v>
      </c>
      <c r="K16">
        <v>-3.7414999999999998</v>
      </c>
      <c r="L16">
        <f>100-(K16*$C$29)</f>
        <v>94.054756499999996</v>
      </c>
      <c r="N16">
        <f t="shared" si="5"/>
        <v>27.85488996680013</v>
      </c>
      <c r="O16">
        <v>4.8431000000000004E-3</v>
      </c>
      <c r="P16">
        <f t="shared" si="6"/>
        <v>0.13490401759820972</v>
      </c>
    </row>
    <row r="19" spans="1:11" x14ac:dyDescent="0.25">
      <c r="I19" t="s">
        <v>10</v>
      </c>
      <c r="J19" t="s">
        <v>48</v>
      </c>
      <c r="K19" t="s">
        <v>49</v>
      </c>
    </row>
    <row r="20" spans="1:11" x14ac:dyDescent="0.25">
      <c r="A20" s="1" t="s">
        <v>24</v>
      </c>
      <c r="B20" t="s">
        <v>0</v>
      </c>
      <c r="C20">
        <v>50</v>
      </c>
      <c r="F20" s="1"/>
    </row>
    <row r="21" spans="1:11" x14ac:dyDescent="0.25">
      <c r="B21" t="s">
        <v>9</v>
      </c>
      <c r="C21">
        <v>70</v>
      </c>
    </row>
    <row r="22" spans="1:11" x14ac:dyDescent="0.25">
      <c r="B22" s="2" t="s">
        <v>25</v>
      </c>
      <c r="C22">
        <v>5.92</v>
      </c>
    </row>
    <row r="23" spans="1:11" x14ac:dyDescent="0.25">
      <c r="B23" t="s">
        <v>26</v>
      </c>
      <c r="C23">
        <v>6.49</v>
      </c>
      <c r="F23" s="1" t="s">
        <v>31</v>
      </c>
      <c r="G23" t="s">
        <v>8</v>
      </c>
    </row>
    <row r="24" spans="1:11" x14ac:dyDescent="0.25">
      <c r="B24" t="s">
        <v>27</v>
      </c>
      <c r="C24">
        <v>5.41</v>
      </c>
      <c r="E24" t="s">
        <v>6</v>
      </c>
      <c r="F24">
        <f>AVERAGE(F2:F7)</f>
        <v>4.081393946374007</v>
      </c>
      <c r="G24">
        <f>STDEV(F2:F7)/SQRT(6)</f>
        <v>0.12985736750599905</v>
      </c>
      <c r="I24">
        <f>_xlfn.F.TEST(F2:F7,F8:F16)</f>
        <v>6.6302909472149331E-6</v>
      </c>
      <c r="J24">
        <f>_xlfn.T.TEST(F2:F7,F8:F16,2,3)</f>
        <v>2.6455505830360288E-2</v>
      </c>
      <c r="K24">
        <f>_xlfn.T.TEST(F2:F7,F8:F16,1,3)</f>
        <v>1.3227752915180144E-2</v>
      </c>
    </row>
    <row r="25" spans="1:11" x14ac:dyDescent="0.25">
      <c r="B25" s="2" t="s">
        <v>29</v>
      </c>
      <c r="C25">
        <v>4.2699999999999996</v>
      </c>
      <c r="E25" t="s">
        <v>7</v>
      </c>
      <c r="F25">
        <f>AVERAGE(F8:F16)</f>
        <v>10.11453943015311</v>
      </c>
      <c r="G25">
        <f>STDEV(F8:F16)/SQRT(7)</f>
        <v>2.0634235052276511</v>
      </c>
    </row>
    <row r="26" spans="1:11" x14ac:dyDescent="0.25">
      <c r="B26" s="2" t="s">
        <v>50</v>
      </c>
      <c r="C26">
        <v>0.54</v>
      </c>
      <c r="F26" s="1" t="s">
        <v>32</v>
      </c>
    </row>
    <row r="27" spans="1:11" x14ac:dyDescent="0.25">
      <c r="B27" s="2" t="s">
        <v>40</v>
      </c>
      <c r="C27">
        <v>-2.6696</v>
      </c>
      <c r="E27" t="s">
        <v>6</v>
      </c>
      <c r="F27">
        <f>AVERAGE(G2:G7)</f>
        <v>48.097024942866248</v>
      </c>
      <c r="I27">
        <f>_xlfn.F.TEST(G2:G7,G8:G16)</f>
        <v>1.8683018511557681E-2</v>
      </c>
      <c r="J27">
        <f>_xlfn.T.TEST(G2:G7,G8:G16,2,3)</f>
        <v>4.5611391766198928E-3</v>
      </c>
      <c r="K27">
        <f>_xlfn.T.TEST(G2:G7,G8:G16,1,3)</f>
        <v>2.2805695883099464E-3</v>
      </c>
    </row>
    <row r="28" spans="1:11" x14ac:dyDescent="0.25">
      <c r="B28" s="2" t="s">
        <v>41</v>
      </c>
      <c r="C28">
        <v>7.6899999999999996E-2</v>
      </c>
      <c r="E28" t="s">
        <v>7</v>
      </c>
      <c r="F28">
        <f>AVERAGE(G8:G16)</f>
        <v>73.687303263306418</v>
      </c>
    </row>
    <row r="29" spans="1:11" x14ac:dyDescent="0.25">
      <c r="B29" s="2" t="s">
        <v>42</v>
      </c>
      <c r="C29">
        <v>-1.589</v>
      </c>
    </row>
    <row r="30" spans="1:11" x14ac:dyDescent="0.25">
      <c r="B30" s="2" t="s">
        <v>43</v>
      </c>
      <c r="C30">
        <v>3.8399999999999997E-2</v>
      </c>
      <c r="F30" s="1" t="s">
        <v>33</v>
      </c>
    </row>
    <row r="31" spans="1:11" x14ac:dyDescent="0.25">
      <c r="E31" t="s">
        <v>6</v>
      </c>
      <c r="F31">
        <f>AVERAGE(H2:H7)</f>
        <v>65.349948384120154</v>
      </c>
      <c r="I31">
        <f>_xlfn.F.TEST(H2:H7,H8:H16)</f>
        <v>0.19441949734645855</v>
      </c>
      <c r="J31">
        <f>_xlfn.T.TEST(H2:H7,G8:G16,2,2)</f>
        <v>1.6187685586820887E-2</v>
      </c>
      <c r="K31">
        <f>_xlfn.T.TEST(H2:H7,H8:H16,1,3)</f>
        <v>3.7016710051205367E-4</v>
      </c>
    </row>
    <row r="32" spans="1:11" x14ac:dyDescent="0.25">
      <c r="E32" t="s">
        <v>7</v>
      </c>
      <c r="F32">
        <f>AVERAGE(H8:H16)</f>
        <v>80.516183517571079</v>
      </c>
    </row>
    <row r="34" spans="5:11" x14ac:dyDescent="0.25">
      <c r="F34" s="1" t="s">
        <v>35</v>
      </c>
    </row>
    <row r="35" spans="5:11" x14ac:dyDescent="0.25">
      <c r="E35" t="s">
        <v>6</v>
      </c>
      <c r="F35">
        <f>AVERAGE(I2:I7)</f>
        <v>3.4485503403485667</v>
      </c>
      <c r="I35">
        <f>_xlfn.F.TEST(I2:I7,I8:I16)</f>
        <v>4.6334551363561407E-3</v>
      </c>
      <c r="J35">
        <f>_xlfn.T.TEST(I2:I7,I8:I16,2,3)</f>
        <v>1.1726135138159153E-2</v>
      </c>
      <c r="K35">
        <f>_xlfn.T.TEST(I2:I7,I8:I16,1,3)</f>
        <v>5.8630675690795764E-3</v>
      </c>
    </row>
    <row r="36" spans="5:11" x14ac:dyDescent="0.25">
      <c r="E36" t="s">
        <v>7</v>
      </c>
      <c r="F36">
        <f>AVERAGE(I8:I16)</f>
        <v>56.014988908330679</v>
      </c>
    </row>
    <row r="37" spans="5:11" x14ac:dyDescent="0.25">
      <c r="F37" s="1" t="s">
        <v>45</v>
      </c>
    </row>
    <row r="38" spans="5:11" x14ac:dyDescent="0.25">
      <c r="E38" t="s">
        <v>6</v>
      </c>
      <c r="F38">
        <f>AVERAGE(N2:N7)</f>
        <v>36.298673630467086</v>
      </c>
      <c r="I38">
        <f>_xlfn.F.TEST(N2:N7,N8:N16)</f>
        <v>1.9172621973160772E-2</v>
      </c>
      <c r="J38">
        <f>_xlfn.T.TEST(N2:N7,N8:N16,2,3)</f>
        <v>3.8101557755649572E-2</v>
      </c>
      <c r="K38">
        <f>_xlfn.T.TEST(N2:N7,N8:N16,1,3)</f>
        <v>1.9050778877824786E-2</v>
      </c>
    </row>
    <row r="39" spans="5:11" x14ac:dyDescent="0.25">
      <c r="E39" t="s">
        <v>7</v>
      </c>
      <c r="F39">
        <f>AVERAGE(N8:N16)</f>
        <v>20.345956336693565</v>
      </c>
    </row>
    <row r="40" spans="5:11" x14ac:dyDescent="0.25">
      <c r="F40" s="1" t="s">
        <v>47</v>
      </c>
    </row>
    <row r="41" spans="5:11" x14ac:dyDescent="0.25">
      <c r="E41" t="s">
        <v>6</v>
      </c>
      <c r="F41">
        <f>AVERAGE(P2:P7)*1000</f>
        <v>173.94403212576111</v>
      </c>
      <c r="G41">
        <f>STDEV(P2:P7)/SQRT(6)*1000</f>
        <v>28.292381030349642</v>
      </c>
      <c r="I41">
        <f>_xlfn.F.TEST(P2:P7,P8:P16)</f>
        <v>1.244962528576336E-2</v>
      </c>
      <c r="J41">
        <f>_xlfn.T.TEST(P2:P7,P8:P16,2,3)</f>
        <v>3.3206947428546546E-2</v>
      </c>
      <c r="K41">
        <f>_xlfn.T.TEST(P2:P7,P8:P16,1,3)</f>
        <v>1.6603473714273273E-2</v>
      </c>
    </row>
    <row r="42" spans="5:11" x14ac:dyDescent="0.25">
      <c r="E42" t="s">
        <v>7</v>
      </c>
      <c r="F42">
        <f>AVERAGE(P8:P16)*1000</f>
        <v>92.245288485564785</v>
      </c>
      <c r="G42">
        <f>STDEV(P8:P16)/SQRT(7)*1000</f>
        <v>8.0696273879445641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5"/>
  <sheetViews>
    <sheetView zoomScale="60" zoomScaleNormal="60" workbookViewId="0">
      <selection activeCell="M54" sqref="M54"/>
    </sheetView>
  </sheetViews>
  <sheetFormatPr defaultRowHeight="15" x14ac:dyDescent="0.25"/>
  <cols>
    <col min="1" max="1" width="13.5703125" customWidth="1"/>
    <col min="2" max="2" width="19" customWidth="1"/>
    <col min="3" max="3" width="32" customWidth="1"/>
    <col min="4" max="4" width="8.140625" customWidth="1"/>
    <col min="5" max="5" width="18.7109375" customWidth="1"/>
    <col min="6" max="6" width="40.140625" customWidth="1"/>
    <col min="7" max="7" width="26.42578125" customWidth="1"/>
    <col min="8" max="9" width="20.42578125" customWidth="1"/>
    <col min="10" max="10" width="29.85546875" customWidth="1"/>
    <col min="11" max="14" width="27.7109375" customWidth="1"/>
    <col min="15" max="17" width="25.5703125" customWidth="1"/>
    <col min="18" max="18" width="29.5703125" customWidth="1"/>
    <col min="19" max="19" width="49.7109375" customWidth="1"/>
    <col min="20" max="20" width="66.140625" customWidth="1"/>
    <col min="21" max="22" width="44.140625" customWidth="1"/>
    <col min="23" max="23" width="33.85546875" customWidth="1"/>
    <col min="24" max="24" width="17.5703125" customWidth="1"/>
  </cols>
  <sheetData>
    <row r="1" spans="1:26" x14ac:dyDescent="0.25">
      <c r="A1" s="1" t="s">
        <v>1</v>
      </c>
      <c r="B1" s="1" t="s">
        <v>2</v>
      </c>
      <c r="C1" s="1" t="s">
        <v>38</v>
      </c>
      <c r="D1" s="1" t="s">
        <v>28</v>
      </c>
      <c r="E1" s="1" t="s">
        <v>37</v>
      </c>
      <c r="F1" s="1" t="s">
        <v>9</v>
      </c>
      <c r="G1" s="1" t="s">
        <v>36</v>
      </c>
      <c r="H1" s="1" t="s">
        <v>30</v>
      </c>
      <c r="I1" s="1" t="s">
        <v>34</v>
      </c>
      <c r="J1" s="1" t="s">
        <v>39</v>
      </c>
      <c r="K1" s="1" t="s">
        <v>28</v>
      </c>
      <c r="L1" s="3" t="s">
        <v>57</v>
      </c>
      <c r="M1" s="8" t="s">
        <v>55</v>
      </c>
      <c r="N1" s="8" t="s">
        <v>56</v>
      </c>
      <c r="O1" s="1" t="s">
        <v>44</v>
      </c>
      <c r="P1" s="3" t="s">
        <v>53</v>
      </c>
      <c r="Q1" s="3" t="s">
        <v>54</v>
      </c>
      <c r="R1" s="1" t="s">
        <v>45</v>
      </c>
      <c r="S1" s="1" t="s">
        <v>46</v>
      </c>
      <c r="T1" s="1" t="s">
        <v>47</v>
      </c>
      <c r="U1" s="1" t="s">
        <v>59</v>
      </c>
      <c r="V1" s="1" t="s">
        <v>60</v>
      </c>
      <c r="W1" s="1" t="s">
        <v>63</v>
      </c>
      <c r="X1" s="1" t="s">
        <v>64</v>
      </c>
      <c r="Y1" s="1" t="s">
        <v>65</v>
      </c>
      <c r="Z1" t="s">
        <v>66</v>
      </c>
    </row>
    <row r="2" spans="1:26" x14ac:dyDescent="0.25">
      <c r="A2" t="s">
        <v>3</v>
      </c>
      <c r="B2">
        <v>1</v>
      </c>
      <c r="C2" t="s">
        <v>11</v>
      </c>
      <c r="D2">
        <v>4.4000000000000003E-3</v>
      </c>
      <c r="E2">
        <v>-3.8399999999999997E-2</v>
      </c>
      <c r="F2">
        <f>1/((D2*$C$24)+E2)</f>
        <v>3.7091988130563798</v>
      </c>
      <c r="G2">
        <f>((1/$C$25)-E2)/D2</f>
        <v>47.117936117936111</v>
      </c>
      <c r="H2">
        <f>((1/$C$28)-E2)/D2</f>
        <v>61.952735788801363</v>
      </c>
      <c r="I2">
        <f>((0/1)-E2)/D2</f>
        <v>8.7272727272727266</v>
      </c>
      <c r="K2">
        <v>-5.4927999999999999</v>
      </c>
      <c r="L2">
        <v>-2.8200789620000002</v>
      </c>
      <c r="M2">
        <v>80.349999999999994</v>
      </c>
      <c r="N2">
        <f>L2/((M2/100)-1)</f>
        <v>14.351546880407126</v>
      </c>
      <c r="O2">
        <f t="shared" ref="O2:O7" si="0">100-(K2*$C$30)</f>
        <v>85.336421119999997</v>
      </c>
      <c r="P2">
        <v>81.606999999999999</v>
      </c>
      <c r="Q2">
        <f t="shared" ref="Q2:Q7" si="1">O2-P2</f>
        <v>3.7294211199999978</v>
      </c>
      <c r="R2">
        <f>O2-G2</f>
        <v>38.218485002063886</v>
      </c>
      <c r="S2">
        <v>4.8526999999999997E-3</v>
      </c>
      <c r="T2">
        <f>S2*R2</f>
        <v>0.18546284216951542</v>
      </c>
      <c r="U2">
        <f>Q2*S2</f>
        <v>1.8097761869023989E-2</v>
      </c>
      <c r="V2">
        <f>U2*$R$32</f>
        <v>326036.24744379049</v>
      </c>
      <c r="W2">
        <f t="shared" ref="W2:W7" si="2">V2*3.71</f>
        <v>1209594.4780164626</v>
      </c>
      <c r="X2">
        <f t="shared" ref="X2:X7" si="3">V2/4</f>
        <v>81509.061860947622</v>
      </c>
      <c r="Y2">
        <f t="shared" ref="Y2:Z7" si="4">X2/60</f>
        <v>1358.484364349127</v>
      </c>
      <c r="Z2">
        <f t="shared" si="4"/>
        <v>22.641406072485449</v>
      </c>
    </row>
    <row r="3" spans="1:26" x14ac:dyDescent="0.25">
      <c r="A3" t="s">
        <v>3</v>
      </c>
      <c r="B3">
        <v>2</v>
      </c>
      <c r="C3" t="s">
        <v>12</v>
      </c>
      <c r="D3">
        <v>4.4999999999999997E-3</v>
      </c>
      <c r="E3">
        <v>-7.9699999999999993E-2</v>
      </c>
      <c r="F3">
        <f t="shared" ref="F3:F13" si="5">1/((D3*$C$24)+E3)</f>
        <v>4.2498937526561837</v>
      </c>
      <c r="G3">
        <f t="shared" ref="G3:G13" si="6">((1/$C$25)-E3)/D3</f>
        <v>55.248648648648647</v>
      </c>
      <c r="H3">
        <f t="shared" ref="H3:H13" si="7">((1/$C$28)-E3)/D3</f>
        <v>69.753786104605794</v>
      </c>
      <c r="I3">
        <f t="shared" ref="I3:I13" si="8">((0/1)-E3)/D3</f>
        <v>17.711111111111112</v>
      </c>
      <c r="K3">
        <v>-5.0057</v>
      </c>
      <c r="L3">
        <v>-2.200704225</v>
      </c>
      <c r="M3">
        <v>84.68</v>
      </c>
      <c r="N3">
        <f t="shared" ref="N3:N17" si="9">L3/((M3/100)-1)</f>
        <v>14.364910084856406</v>
      </c>
      <c r="O3">
        <f t="shared" si="0"/>
        <v>86.636783280000003</v>
      </c>
      <c r="P3">
        <v>84.221999999999994</v>
      </c>
      <c r="Q3">
        <f t="shared" si="1"/>
        <v>2.4147832800000089</v>
      </c>
      <c r="R3">
        <f t="shared" ref="R3:R13" si="10">O3-G3</f>
        <v>31.388134631351356</v>
      </c>
      <c r="S3">
        <v>4.6236000000000003E-3</v>
      </c>
      <c r="T3">
        <f t="shared" ref="T3:T13" si="11">S3*R3</f>
        <v>0.14512617928151614</v>
      </c>
      <c r="U3">
        <f t="shared" ref="U3:U17" si="12">Q3*S3</f>
        <v>1.1164991973408041E-2</v>
      </c>
      <c r="V3">
        <f t="shared" ref="V3:V17" si="13">U3*$R$32</f>
        <v>201140.45659869842</v>
      </c>
      <c r="W3">
        <f t="shared" si="2"/>
        <v>746231.09398117114</v>
      </c>
      <c r="X3">
        <f t="shared" si="3"/>
        <v>50285.114149674606</v>
      </c>
      <c r="Y3">
        <f t="shared" si="4"/>
        <v>838.08523582791008</v>
      </c>
      <c r="Z3">
        <f t="shared" si="4"/>
        <v>13.968087263798502</v>
      </c>
    </row>
    <row r="4" spans="1:26" x14ac:dyDescent="0.25">
      <c r="A4" t="s">
        <v>3</v>
      </c>
      <c r="B4">
        <v>3</v>
      </c>
      <c r="C4" t="s">
        <v>13</v>
      </c>
      <c r="D4">
        <v>4.4000000000000003E-3</v>
      </c>
      <c r="E4">
        <v>-5.8099999999999999E-2</v>
      </c>
      <c r="F4">
        <f t="shared" si="5"/>
        <v>4.0016006402561022</v>
      </c>
      <c r="G4">
        <f t="shared" si="6"/>
        <v>51.595208845208838</v>
      </c>
      <c r="H4">
        <f t="shared" si="7"/>
        <v>66.430008516074096</v>
      </c>
      <c r="I4">
        <f t="shared" si="8"/>
        <v>13.204545454545453</v>
      </c>
      <c r="K4">
        <v>-5.5377999999999998</v>
      </c>
      <c r="L4">
        <v>-2.6205450730000002</v>
      </c>
      <c r="M4">
        <v>78.33</v>
      </c>
      <c r="N4">
        <f t="shared" si="9"/>
        <v>12.092962958006462</v>
      </c>
      <c r="O4">
        <f t="shared" si="0"/>
        <v>85.216289119999999</v>
      </c>
      <c r="P4">
        <v>80.635000000000005</v>
      </c>
      <c r="Q4">
        <f t="shared" si="1"/>
        <v>4.5812891199999939</v>
      </c>
      <c r="R4">
        <f t="shared" si="10"/>
        <v>33.621080274791161</v>
      </c>
      <c r="S4">
        <v>4.6974E-3</v>
      </c>
      <c r="T4">
        <f t="shared" si="11"/>
        <v>0.15793166248280399</v>
      </c>
      <c r="U4">
        <f t="shared" si="12"/>
        <v>2.1520147512287972E-2</v>
      </c>
      <c r="V4">
        <f t="shared" si="13"/>
        <v>387691.48307517124</v>
      </c>
      <c r="W4">
        <f t="shared" si="2"/>
        <v>1438335.4022088854</v>
      </c>
      <c r="X4">
        <f t="shared" si="3"/>
        <v>96922.870768792811</v>
      </c>
      <c r="Y4">
        <f t="shared" si="4"/>
        <v>1615.3811794798801</v>
      </c>
      <c r="Z4">
        <f t="shared" si="4"/>
        <v>26.923019657998001</v>
      </c>
    </row>
    <row r="5" spans="1:26" x14ac:dyDescent="0.25">
      <c r="A5" t="s">
        <v>4</v>
      </c>
      <c r="B5">
        <v>4</v>
      </c>
      <c r="C5" t="s">
        <v>14</v>
      </c>
      <c r="D5">
        <v>4.3E-3</v>
      </c>
      <c r="E5">
        <v>-6.0100000000000001E-2</v>
      </c>
      <c r="F5">
        <f t="shared" si="5"/>
        <v>4.1511000415110004</v>
      </c>
      <c r="G5">
        <f t="shared" si="6"/>
        <v>53.260213702074161</v>
      </c>
      <c r="H5">
        <f t="shared" si="7"/>
        <v>68.440008714122328</v>
      </c>
      <c r="I5">
        <f t="shared" si="8"/>
        <v>13.976744186046512</v>
      </c>
      <c r="K5">
        <v>-5.8272000000000004</v>
      </c>
      <c r="L5">
        <v>-2.239641657</v>
      </c>
      <c r="M5">
        <v>81.67</v>
      </c>
      <c r="N5">
        <f t="shared" si="9"/>
        <v>12.218448756137478</v>
      </c>
      <c r="O5">
        <f t="shared" si="0"/>
        <v>84.443706879999993</v>
      </c>
      <c r="P5">
        <v>83.066999999999993</v>
      </c>
      <c r="Q5">
        <f t="shared" si="1"/>
        <v>1.3767068800000004</v>
      </c>
      <c r="R5">
        <f t="shared" si="10"/>
        <v>31.183493177925833</v>
      </c>
      <c r="S5">
        <v>4.6782000000000004E-3</v>
      </c>
      <c r="T5">
        <f t="shared" si="11"/>
        <v>0.14588261778497263</v>
      </c>
      <c r="U5">
        <f>Q5*S5</f>
        <v>6.4405101260160023E-3</v>
      </c>
      <c r="V5">
        <f t="shared" si="13"/>
        <v>116027.59326301356</v>
      </c>
      <c r="W5">
        <f t="shared" si="2"/>
        <v>430462.3710057803</v>
      </c>
      <c r="X5">
        <f t="shared" si="3"/>
        <v>29006.898315753391</v>
      </c>
      <c r="Y5">
        <f t="shared" si="4"/>
        <v>483.44830526255652</v>
      </c>
      <c r="Z5">
        <f t="shared" si="4"/>
        <v>8.0574717543759427</v>
      </c>
    </row>
    <row r="6" spans="1:26" x14ac:dyDescent="0.25">
      <c r="A6" t="s">
        <v>3</v>
      </c>
      <c r="B6">
        <v>5</v>
      </c>
      <c r="C6" t="s">
        <v>15</v>
      </c>
      <c r="D6">
        <v>4.3E-3</v>
      </c>
      <c r="E6">
        <v>-2.47E-2</v>
      </c>
      <c r="F6">
        <f t="shared" si="5"/>
        <v>3.6192544335866814</v>
      </c>
      <c r="G6">
        <f t="shared" si="6"/>
        <v>45.02765556253928</v>
      </c>
      <c r="H6">
        <f t="shared" si="7"/>
        <v>60.207450574587433</v>
      </c>
      <c r="I6">
        <f t="shared" si="8"/>
        <v>5.7441860465116275</v>
      </c>
      <c r="K6">
        <v>-6.4082999999999997</v>
      </c>
      <c r="L6">
        <v>-2.4673081670000001</v>
      </c>
      <c r="M6">
        <v>80.605999999999995</v>
      </c>
      <c r="N6">
        <f t="shared" si="9"/>
        <v>12.722017979787564</v>
      </c>
      <c r="O6">
        <f t="shared" si="0"/>
        <v>82.892402320000002</v>
      </c>
      <c r="P6">
        <v>80.731999999999999</v>
      </c>
      <c r="Q6">
        <f t="shared" si="1"/>
        <v>2.1604023200000029</v>
      </c>
      <c r="R6">
        <f t="shared" si="10"/>
        <v>37.864746757460722</v>
      </c>
      <c r="S6">
        <v>4.9224999999999998E-3</v>
      </c>
      <c r="T6">
        <f t="shared" si="11"/>
        <v>0.18638921591360039</v>
      </c>
      <c r="U6">
        <f t="shared" si="12"/>
        <v>1.0634580420200013E-2</v>
      </c>
      <c r="V6">
        <f t="shared" si="13"/>
        <v>191584.9439524209</v>
      </c>
      <c r="W6">
        <f t="shared" si="2"/>
        <v>710780.1420634815</v>
      </c>
      <c r="X6">
        <f t="shared" si="3"/>
        <v>47896.235988105225</v>
      </c>
      <c r="Y6">
        <f t="shared" si="4"/>
        <v>798.27059980175375</v>
      </c>
      <c r="Z6">
        <f t="shared" si="4"/>
        <v>13.304509996695895</v>
      </c>
    </row>
    <row r="7" spans="1:26" x14ac:dyDescent="0.25">
      <c r="A7" t="s">
        <v>3</v>
      </c>
      <c r="B7">
        <v>6</v>
      </c>
      <c r="C7" t="s">
        <v>16</v>
      </c>
      <c r="D7">
        <v>9.5999999999999992E-3</v>
      </c>
      <c r="E7">
        <v>-0.44790000000000002</v>
      </c>
      <c r="F7">
        <f t="shared" si="5"/>
        <v>4.4622936189201265</v>
      </c>
      <c r="G7">
        <f t="shared" si="6"/>
        <v>64.251970720720735</v>
      </c>
      <c r="H7">
        <f t="shared" si="7"/>
        <v>71.051253903200632</v>
      </c>
      <c r="I7">
        <f t="shared" si="8"/>
        <v>46.656250000000007</v>
      </c>
      <c r="K7">
        <v>-6.7992999999999997</v>
      </c>
      <c r="L7">
        <v>-1.952743605</v>
      </c>
      <c r="M7">
        <v>65.197599999999994</v>
      </c>
      <c r="N7">
        <f t="shared" si="9"/>
        <v>5.6109452365354091</v>
      </c>
      <c r="O7">
        <f t="shared" si="0"/>
        <v>81.848588720000009</v>
      </c>
      <c r="P7">
        <v>80.191999999999993</v>
      </c>
      <c r="Q7">
        <f t="shared" si="1"/>
        <v>1.6565887200000162</v>
      </c>
      <c r="R7">
        <f>O7-G7</f>
        <v>17.596617999279275</v>
      </c>
      <c r="S7">
        <v>4.9474999999999996E-3</v>
      </c>
      <c r="T7">
        <f t="shared" si="11"/>
        <v>8.70592675514342E-2</v>
      </c>
      <c r="U7">
        <f t="shared" si="12"/>
        <v>8.1959726922000795E-3</v>
      </c>
      <c r="V7">
        <f t="shared" si="13"/>
        <v>147652.74292233825</v>
      </c>
      <c r="W7">
        <f t="shared" si="2"/>
        <v>547791.67624187493</v>
      </c>
      <c r="X7">
        <f t="shared" si="3"/>
        <v>36913.185730584562</v>
      </c>
      <c r="Y7">
        <f t="shared" si="4"/>
        <v>615.2197621764094</v>
      </c>
      <c r="Z7">
        <f t="shared" si="4"/>
        <v>10.253662702940156</v>
      </c>
    </row>
    <row r="8" spans="1:26" x14ac:dyDescent="0.25">
      <c r="A8" t="s">
        <v>52</v>
      </c>
      <c r="I8">
        <f>AVERAGE(I2:I7)</f>
        <v>17.670018254247907</v>
      </c>
      <c r="M8" s="4">
        <f t="shared" ref="M8:U8" si="14">AVERAGE(M2:M7)</f>
        <v>78.47226666666667</v>
      </c>
      <c r="N8" s="4">
        <f t="shared" si="14"/>
        <v>11.89347198262174</v>
      </c>
      <c r="O8" s="4">
        <f t="shared" si="14"/>
        <v>84.39569857333332</v>
      </c>
      <c r="P8" s="4">
        <f t="shared" si="14"/>
        <v>81.742500000000007</v>
      </c>
      <c r="Q8" s="4">
        <f t="shared" si="14"/>
        <v>2.6531985733333365</v>
      </c>
      <c r="R8" s="4">
        <f t="shared" si="14"/>
        <v>31.645426307145375</v>
      </c>
      <c r="S8" s="4">
        <f t="shared" si="14"/>
        <v>4.7869833333333339E-3</v>
      </c>
      <c r="T8" s="4">
        <f t="shared" si="14"/>
        <v>0.15130863086397381</v>
      </c>
      <c r="U8" s="4">
        <f t="shared" si="14"/>
        <v>1.2675660765522683E-2</v>
      </c>
      <c r="W8" s="6">
        <f>AVERAGE(W2:W7)</f>
        <v>847199.1939196093</v>
      </c>
      <c r="X8" s="6">
        <f>AVERAGE(X2:X7)</f>
        <v>57088.894468976367</v>
      </c>
      <c r="Y8" s="6">
        <f>AVERAGE(Y2:Y7)</f>
        <v>951.48157448293932</v>
      </c>
      <c r="Z8" s="6">
        <f>AVERAGE(Z2:Z7)</f>
        <v>15.858026241382325</v>
      </c>
    </row>
    <row r="9" spans="1:26" x14ac:dyDescent="0.25">
      <c r="A9" t="s">
        <v>8</v>
      </c>
      <c r="I9">
        <f>STDEV(I2:I7)/SQRT(6)</f>
        <v>6.0442319928903521</v>
      </c>
      <c r="M9" s="4">
        <f t="shared" ref="M9:Z9" si="15">STDEV(M2:M7)/SQRT(6)</f>
        <v>2.7873354476592489</v>
      </c>
      <c r="N9" s="4">
        <f t="shared" si="15"/>
        <v>1.3222729903918504</v>
      </c>
      <c r="O9" s="4">
        <f t="shared" si="15"/>
        <v>0.71486039302052273</v>
      </c>
      <c r="P9" s="4">
        <f t="shared" si="15"/>
        <v>0.64736124639441639</v>
      </c>
      <c r="Q9" s="4">
        <f t="shared" si="15"/>
        <v>0.50984116377566258</v>
      </c>
      <c r="R9" s="4">
        <f t="shared" si="15"/>
        <v>3.0737428441771062</v>
      </c>
      <c r="S9" s="4">
        <f t="shared" si="15"/>
        <v>5.6273779664936008E-5</v>
      </c>
      <c r="T9" s="4">
        <f t="shared" si="15"/>
        <v>1.4873541560683459E-2</v>
      </c>
      <c r="U9" s="4">
        <f t="shared" si="15"/>
        <v>2.4015062224739844E-3</v>
      </c>
      <c r="V9" s="4">
        <f t="shared" si="15"/>
        <v>43263.807019611115</v>
      </c>
      <c r="W9" s="6">
        <f t="shared" si="15"/>
        <v>160508.72404275721</v>
      </c>
      <c r="X9" s="6">
        <f t="shared" si="15"/>
        <v>10815.951754902779</v>
      </c>
      <c r="Y9" s="6">
        <f t="shared" si="15"/>
        <v>180.26586258171309</v>
      </c>
      <c r="Z9" s="6">
        <f t="shared" si="15"/>
        <v>3.004431043028549</v>
      </c>
    </row>
    <row r="10" spans="1:26" x14ac:dyDescent="0.25">
      <c r="P10" s="5">
        <f>(P9/P8)*100</f>
        <v>0.7919518566161009</v>
      </c>
      <c r="Q10" s="5"/>
    </row>
    <row r="11" spans="1:26" x14ac:dyDescent="0.25">
      <c r="A11" t="s">
        <v>5</v>
      </c>
      <c r="B11">
        <v>1</v>
      </c>
      <c r="C11" t="s">
        <v>17</v>
      </c>
      <c r="D11">
        <v>6.8999999999999999E-3</v>
      </c>
      <c r="E11">
        <v>-0.32379999999999998</v>
      </c>
      <c r="F11">
        <f t="shared" si="5"/>
        <v>6.2814070351758788</v>
      </c>
      <c r="G11">
        <f t="shared" si="6"/>
        <v>71.408538973756364</v>
      </c>
      <c r="H11">
        <f t="shared" si="7"/>
        <v>80.868411227641445</v>
      </c>
      <c r="I11">
        <f t="shared" si="8"/>
        <v>46.927536231884055</v>
      </c>
      <c r="K11">
        <v>-3.9308000000000001</v>
      </c>
      <c r="L11">
        <v>-2.2045855379999999</v>
      </c>
      <c r="M11">
        <v>79.912000000000006</v>
      </c>
      <c r="N11">
        <f t="shared" si="9"/>
        <v>10.974639277180408</v>
      </c>
      <c r="O11">
        <f t="shared" ref="O11:O17" si="16">100-(K11*$C$32)</f>
        <v>93.753958800000007</v>
      </c>
      <c r="P11">
        <v>89.034999999999997</v>
      </c>
      <c r="Q11">
        <f>O11-P11</f>
        <v>4.71895880000001</v>
      </c>
      <c r="R11">
        <f t="shared" si="10"/>
        <v>22.345419826243642</v>
      </c>
      <c r="S11">
        <v>3.7498000000000002E-3</v>
      </c>
      <c r="T11">
        <f t="shared" si="11"/>
        <v>8.3790855264448419E-2</v>
      </c>
      <c r="U11">
        <f t="shared" si="12"/>
        <v>1.7695151708240039E-2</v>
      </c>
      <c r="V11">
        <f t="shared" si="13"/>
        <v>318783.11266642262</v>
      </c>
      <c r="W11">
        <f>V11*4.08</f>
        <v>1300635.0996790044</v>
      </c>
      <c r="X11">
        <f>W11/2.5</f>
        <v>520254.03987160174</v>
      </c>
      <c r="Y11">
        <f>X11/60</f>
        <v>8670.9006645266963</v>
      </c>
      <c r="Z11">
        <f>Y11/60</f>
        <v>144.51501107544493</v>
      </c>
    </row>
    <row r="12" spans="1:26" x14ac:dyDescent="0.25">
      <c r="A12" t="s">
        <v>5</v>
      </c>
      <c r="B12">
        <v>2</v>
      </c>
      <c r="C12" t="s">
        <v>18</v>
      </c>
      <c r="D12">
        <v>1.24E-2</v>
      </c>
      <c r="E12">
        <v>-0.81030000000000002</v>
      </c>
      <c r="F12">
        <f t="shared" si="5"/>
        <v>17.331022530329296</v>
      </c>
      <c r="G12">
        <f t="shared" si="6"/>
        <v>78.969267654751519</v>
      </c>
      <c r="H12">
        <f t="shared" si="7"/>
        <v>84.233228828284368</v>
      </c>
      <c r="I12">
        <f t="shared" si="8"/>
        <v>65.346774193548384</v>
      </c>
      <c r="K12">
        <v>-4.6272000000000002</v>
      </c>
      <c r="L12">
        <v>-1.899335233</v>
      </c>
      <c r="M12">
        <v>68.935000000000002</v>
      </c>
      <c r="N12">
        <f t="shared" si="9"/>
        <v>6.1140680283276998</v>
      </c>
      <c r="O12">
        <f t="shared" si="16"/>
        <v>92.647379200000003</v>
      </c>
      <c r="P12">
        <v>89.108999999999995</v>
      </c>
      <c r="Q12">
        <f t="shared" ref="Q12:Q17" si="17">O12-P12</f>
        <v>3.5383792000000085</v>
      </c>
      <c r="R12">
        <f t="shared" si="10"/>
        <v>13.678111545248484</v>
      </c>
      <c r="S12">
        <v>4.9363000000000002E-3</v>
      </c>
      <c r="T12">
        <f t="shared" si="11"/>
        <v>6.75192620208101E-2</v>
      </c>
      <c r="U12">
        <f t="shared" si="12"/>
        <v>1.7466501244960044E-2</v>
      </c>
      <c r="V12">
        <f t="shared" si="13"/>
        <v>314663.9105483038</v>
      </c>
      <c r="W12">
        <f t="shared" ref="W12:W17" si="18">V12*4.08</f>
        <v>1283828.7550370796</v>
      </c>
      <c r="X12">
        <f t="shared" ref="X12:X17" si="19">W12/2.5</f>
        <v>513531.50201483181</v>
      </c>
      <c r="Y12">
        <f t="shared" ref="Y12:Z17" si="20">X12/60</f>
        <v>8558.8583669138643</v>
      </c>
      <c r="Z12">
        <f t="shared" si="20"/>
        <v>142.64763944856441</v>
      </c>
    </row>
    <row r="13" spans="1:26" x14ac:dyDescent="0.25">
      <c r="A13" t="s">
        <v>5</v>
      </c>
      <c r="B13">
        <v>3</v>
      </c>
      <c r="C13" t="s">
        <v>19</v>
      </c>
      <c r="D13">
        <v>8.5000000000000006E-3</v>
      </c>
      <c r="E13">
        <v>-0.4728</v>
      </c>
      <c r="F13">
        <f t="shared" si="5"/>
        <v>8.1833060556464758</v>
      </c>
      <c r="G13">
        <f t="shared" si="6"/>
        <v>75.496343402225762</v>
      </c>
      <c r="H13">
        <f t="shared" si="7"/>
        <v>83.175533820085406</v>
      </c>
      <c r="I13">
        <f t="shared" si="8"/>
        <v>55.6235294117647</v>
      </c>
      <c r="K13">
        <v>-3.427</v>
      </c>
      <c r="L13">
        <v>-2.118644068</v>
      </c>
      <c r="M13">
        <v>79.415999999999997</v>
      </c>
      <c r="N13">
        <f t="shared" si="9"/>
        <v>10.292674251846092</v>
      </c>
      <c r="O13">
        <f t="shared" si="16"/>
        <v>94.554496999999998</v>
      </c>
      <c r="P13">
        <v>90.656000000000006</v>
      </c>
      <c r="Q13">
        <f t="shared" si="17"/>
        <v>3.8984969999999919</v>
      </c>
      <c r="R13">
        <f t="shared" si="10"/>
        <v>19.058153597774236</v>
      </c>
      <c r="S13">
        <v>4.3020000000000003E-3</v>
      </c>
      <c r="T13">
        <f t="shared" si="11"/>
        <v>8.1988176777624766E-2</v>
      </c>
      <c r="U13">
        <f t="shared" si="12"/>
        <v>1.6771334093999966E-2</v>
      </c>
      <c r="V13">
        <f t="shared" si="13"/>
        <v>302140.27967695572</v>
      </c>
      <c r="W13">
        <f t="shared" si="18"/>
        <v>1232732.3410819795</v>
      </c>
      <c r="X13">
        <f t="shared" si="19"/>
        <v>493092.93643279176</v>
      </c>
      <c r="Y13">
        <f t="shared" si="20"/>
        <v>8218.2156072131966</v>
      </c>
      <c r="Z13">
        <f t="shared" si="20"/>
        <v>136.97026012021993</v>
      </c>
    </row>
    <row r="14" spans="1:26" x14ac:dyDescent="0.25">
      <c r="A14" t="s">
        <v>5</v>
      </c>
      <c r="B14">
        <v>6</v>
      </c>
      <c r="C14" t="s">
        <v>20</v>
      </c>
      <c r="D14">
        <v>8.3999999999999995E-3</v>
      </c>
      <c r="E14">
        <v>-0.42499999999999999</v>
      </c>
      <c r="F14">
        <f>1/((D14*$C$24)+E14)</f>
        <v>6.1349693251533752</v>
      </c>
      <c r="G14">
        <f>((1/$C$25)-E14)/D14</f>
        <v>70.704633204633211</v>
      </c>
      <c r="H14">
        <f>((1/$C$28)-E14)/D14</f>
        <v>78.475242556038808</v>
      </c>
      <c r="I14">
        <f>((0/1)-E14)/D14</f>
        <v>50.595238095238095</v>
      </c>
      <c r="K14">
        <v>-3.3719999999999999</v>
      </c>
      <c r="L14">
        <v>-2.1953896820000001</v>
      </c>
      <c r="M14">
        <v>83.522999999999996</v>
      </c>
      <c r="N14">
        <f t="shared" si="9"/>
        <v>13.323964811555495</v>
      </c>
      <c r="O14">
        <f t="shared" si="16"/>
        <v>94.641891999999999</v>
      </c>
      <c r="P14">
        <v>91.313000000000002</v>
      </c>
      <c r="Q14">
        <f t="shared" si="17"/>
        <v>3.3288919999999962</v>
      </c>
      <c r="R14">
        <f>O14-G14</f>
        <v>23.937258795366787</v>
      </c>
      <c r="S14">
        <v>4.0438000000000002E-3</v>
      </c>
      <c r="T14">
        <f>S14*R14</f>
        <v>9.6797487116704217E-2</v>
      </c>
      <c r="U14">
        <f t="shared" si="12"/>
        <v>1.3461373469599984E-2</v>
      </c>
      <c r="V14">
        <f t="shared" si="13"/>
        <v>242510.41223941519</v>
      </c>
      <c r="W14">
        <f t="shared" si="18"/>
        <v>989442.48193681403</v>
      </c>
      <c r="X14">
        <f t="shared" si="19"/>
        <v>395776.9927747256</v>
      </c>
      <c r="Y14">
        <f t="shared" si="20"/>
        <v>6596.2832129120934</v>
      </c>
      <c r="Z14">
        <f t="shared" si="20"/>
        <v>109.9380535485349</v>
      </c>
    </row>
    <row r="15" spans="1:26" x14ac:dyDescent="0.25">
      <c r="A15" t="s">
        <v>5</v>
      </c>
      <c r="B15">
        <v>7</v>
      </c>
      <c r="C15" t="s">
        <v>21</v>
      </c>
      <c r="D15">
        <v>1.4E-2</v>
      </c>
      <c r="E15">
        <v>-0.92520000000000002</v>
      </c>
      <c r="F15">
        <f>1/((D15*$C$24)+E15)</f>
        <v>18.248175182481766</v>
      </c>
      <c r="G15">
        <f>((1/$C$25)-E15)/D15</f>
        <v>78.151351351351352</v>
      </c>
      <c r="H15">
        <f>((1/$C$28)-E15)/D15</f>
        <v>82.813716962194718</v>
      </c>
      <c r="I15">
        <f>((0/1)-E15)/D15</f>
        <v>66.085714285714289</v>
      </c>
      <c r="K15">
        <v>-2.9788999999999999</v>
      </c>
      <c r="L15">
        <v>-1.7448961789999999</v>
      </c>
      <c r="M15">
        <v>79.108999999999995</v>
      </c>
      <c r="N15">
        <f t="shared" si="9"/>
        <v>8.3523822650902275</v>
      </c>
      <c r="O15">
        <f t="shared" si="16"/>
        <v>95.2665279</v>
      </c>
      <c r="P15">
        <v>92.804000000000002</v>
      </c>
      <c r="Q15">
        <f t="shared" si="17"/>
        <v>2.4625278999999978</v>
      </c>
      <c r="R15">
        <f>O15-G15</f>
        <v>17.115176548648648</v>
      </c>
      <c r="S15">
        <v>4.8677E-3</v>
      </c>
      <c r="T15">
        <f>S15*R15</f>
        <v>8.3311544885857028E-2</v>
      </c>
      <c r="U15">
        <f t="shared" si="12"/>
        <v>1.198684705882999E-2</v>
      </c>
      <c r="V15">
        <f t="shared" si="13"/>
        <v>215946.40608199875</v>
      </c>
      <c r="W15">
        <f t="shared" si="18"/>
        <v>881061.33681455487</v>
      </c>
      <c r="X15">
        <f t="shared" si="19"/>
        <v>352424.53472582193</v>
      </c>
      <c r="Y15">
        <f t="shared" si="20"/>
        <v>5873.7422454303651</v>
      </c>
      <c r="Z15">
        <f t="shared" si="20"/>
        <v>97.895704090506086</v>
      </c>
    </row>
    <row r="16" spans="1:26" x14ac:dyDescent="0.25">
      <c r="A16" t="s">
        <v>5</v>
      </c>
      <c r="B16">
        <v>8</v>
      </c>
      <c r="C16" t="s">
        <v>22</v>
      </c>
      <c r="D16">
        <v>1.3299999999999999E-2</v>
      </c>
      <c r="E16">
        <v>-0.82699999999999996</v>
      </c>
      <c r="F16">
        <f>1/((D16*$C$24)+E16)</f>
        <v>9.6153846153846168</v>
      </c>
      <c r="G16">
        <f>((1/$C$25)-E16)/D16</f>
        <v>74.881121723226983</v>
      </c>
      <c r="H16">
        <f>((1/$C$28)-E16)/D16</f>
        <v>79.788874997798956</v>
      </c>
      <c r="I16">
        <f>((0/1)-E16)/D16</f>
        <v>62.180451127819552</v>
      </c>
      <c r="K16">
        <v>-4.2077999999999998</v>
      </c>
      <c r="L16">
        <v>-1.5542430840000001</v>
      </c>
      <c r="M16">
        <v>76.531999999999996</v>
      </c>
      <c r="N16">
        <f t="shared" si="9"/>
        <v>6.6228186637122892</v>
      </c>
      <c r="O16">
        <f t="shared" si="16"/>
        <v>93.313805799999997</v>
      </c>
      <c r="P16">
        <v>90.793000000000006</v>
      </c>
      <c r="Q16">
        <f t="shared" si="17"/>
        <v>2.5208057999999909</v>
      </c>
      <c r="R16">
        <f>O16-G16</f>
        <v>18.432684076773015</v>
      </c>
      <c r="S16">
        <v>5.2843999999999999E-3</v>
      </c>
      <c r="T16">
        <f>S16*R16</f>
        <v>9.7405675735299319E-2</v>
      </c>
      <c r="U16">
        <f t="shared" si="12"/>
        <v>1.3320946169519952E-2</v>
      </c>
      <c r="V16">
        <f t="shared" si="13"/>
        <v>239980.57510882939</v>
      </c>
      <c r="W16">
        <f t="shared" si="18"/>
        <v>979120.74644402391</v>
      </c>
      <c r="X16">
        <f t="shared" si="19"/>
        <v>391648.29857760959</v>
      </c>
      <c r="Y16">
        <f t="shared" si="20"/>
        <v>6527.4716429601594</v>
      </c>
      <c r="Z16">
        <f t="shared" si="20"/>
        <v>108.79119404933599</v>
      </c>
    </row>
    <row r="17" spans="1:26" x14ac:dyDescent="0.25">
      <c r="A17" t="s">
        <v>5</v>
      </c>
      <c r="B17">
        <v>9</v>
      </c>
      <c r="C17" t="s">
        <v>23</v>
      </c>
      <c r="D17">
        <v>8.0999999999999996E-3</v>
      </c>
      <c r="E17">
        <v>-0.36730000000000002</v>
      </c>
      <c r="F17">
        <f>1/((D17*$C$24)+E17)</f>
        <v>5.0075112669003525</v>
      </c>
      <c r="G17">
        <f>((1/$C$25)-E17)/D17</f>
        <v>66.199866533199867</v>
      </c>
      <c r="H17">
        <f>((1/$C$28)-E17)/D17</f>
        <v>74.258276230953825</v>
      </c>
      <c r="I17">
        <f>((0/1)-E17)/D17</f>
        <v>45.345679012345684</v>
      </c>
      <c r="K17">
        <v>-3.7414999999999998</v>
      </c>
      <c r="L17">
        <v>-1.783166904</v>
      </c>
      <c r="M17">
        <v>85.253</v>
      </c>
      <c r="N17">
        <f t="shared" si="9"/>
        <v>12.091726479962027</v>
      </c>
      <c r="O17">
        <f t="shared" si="16"/>
        <v>94.054756499999996</v>
      </c>
      <c r="P17">
        <v>91.697000000000003</v>
      </c>
      <c r="Q17">
        <f t="shared" si="17"/>
        <v>2.3577564999999936</v>
      </c>
      <c r="R17">
        <f>O17-G17</f>
        <v>27.85488996680013</v>
      </c>
      <c r="S17">
        <v>4.8431000000000004E-3</v>
      </c>
      <c r="T17">
        <f>S17*R17</f>
        <v>0.13490401759820972</v>
      </c>
      <c r="U17">
        <f t="shared" si="12"/>
        <v>1.141885050514997E-2</v>
      </c>
      <c r="V17">
        <f t="shared" si="13"/>
        <v>205713.78912841814</v>
      </c>
      <c r="W17">
        <f t="shared" si="18"/>
        <v>839312.25964394608</v>
      </c>
      <c r="X17">
        <f t="shared" si="19"/>
        <v>335724.90385757841</v>
      </c>
      <c r="Y17">
        <f t="shared" si="20"/>
        <v>5595.4150642929735</v>
      </c>
      <c r="Z17">
        <f t="shared" si="20"/>
        <v>93.256917738216231</v>
      </c>
    </row>
    <row r="18" spans="1:26" x14ac:dyDescent="0.25">
      <c r="I18" s="4">
        <f>AVERAGE(I11:I17)</f>
        <v>56.014988908330679</v>
      </c>
      <c r="J18" s="4"/>
      <c r="K18" s="4">
        <f>AVERAGE(K11:K17)</f>
        <v>-3.7550285714285709</v>
      </c>
      <c r="L18" s="4">
        <f>AVERAGE(L11:L17)</f>
        <v>-1.9286086697142857</v>
      </c>
      <c r="M18" s="4">
        <f t="shared" ref="M18:U18" si="21">AVERAGE(M11:M17)</f>
        <v>78.954285714285703</v>
      </c>
      <c r="N18" s="4">
        <f t="shared" si="21"/>
        <v>9.6817533968106062</v>
      </c>
      <c r="O18" s="4">
        <f t="shared" si="21"/>
        <v>94.033259599999994</v>
      </c>
      <c r="P18" s="4">
        <f t="shared" si="21"/>
        <v>90.772428571428577</v>
      </c>
      <c r="Q18" s="4">
        <f t="shared" si="21"/>
        <v>3.260831028571427</v>
      </c>
      <c r="R18" s="4">
        <f t="shared" si="21"/>
        <v>20.345956336693565</v>
      </c>
      <c r="S18" s="4">
        <f t="shared" si="21"/>
        <v>4.5753E-3</v>
      </c>
      <c r="T18" s="4">
        <f t="shared" si="21"/>
        <v>9.2245288485564791E-2</v>
      </c>
      <c r="U18" s="4">
        <f t="shared" si="21"/>
        <v>1.4588714892899993E-2</v>
      </c>
      <c r="W18" s="6">
        <f>AVERAGE(W11:W17)</f>
        <v>1072304.7172339146</v>
      </c>
      <c r="X18" s="6">
        <f>AVERAGE(X11:X17)</f>
        <v>428921.88689356582</v>
      </c>
      <c r="Y18" s="6">
        <f>AVERAGE(Y11:Y17)</f>
        <v>7148.6981148927653</v>
      </c>
      <c r="Z18" s="6">
        <f>AVERAGE(Z11:Z17)</f>
        <v>119.14496858154607</v>
      </c>
    </row>
    <row r="19" spans="1:26" x14ac:dyDescent="0.25">
      <c r="I19" s="4">
        <f>STDEV(I11:I17)/SQRT(7)</f>
        <v>3.2821942422160406</v>
      </c>
      <c r="J19" s="4"/>
      <c r="K19" s="4">
        <f>STDEV(K11:K17)/SQRT(7)</f>
        <v>0.21007100694570952</v>
      </c>
      <c r="L19" s="4">
        <f>STDEV(L11:L17)/SQRT(7)</f>
        <v>9.5038702050094959E-2</v>
      </c>
      <c r="M19" s="4">
        <f t="shared" ref="M19:V19" si="22">STDEV(M11:M17)/SQRT(7)</f>
        <v>1.9997311690073041</v>
      </c>
      <c r="N19" s="4">
        <f t="shared" si="22"/>
        <v>1.0347663715807336</v>
      </c>
      <c r="O19" s="4">
        <f t="shared" si="22"/>
        <v>0.33380283003672945</v>
      </c>
      <c r="P19" s="4">
        <f t="shared" si="22"/>
        <v>0.51348398487303326</v>
      </c>
      <c r="Q19" s="4">
        <f t="shared" si="22"/>
        <v>0.33147895862217019</v>
      </c>
      <c r="R19" s="4">
        <f t="shared" si="22"/>
        <v>1.7828316875239041</v>
      </c>
      <c r="S19" s="4">
        <f t="shared" si="22"/>
        <v>2.0868030915390992E-4</v>
      </c>
      <c r="T19" s="4">
        <f t="shared" si="22"/>
        <v>8.0696273879445647E-3</v>
      </c>
      <c r="U19" s="4">
        <f t="shared" si="22"/>
        <v>1.0046478088907348E-3</v>
      </c>
      <c r="V19" s="4">
        <f t="shared" si="22"/>
        <v>18099.011578553153</v>
      </c>
      <c r="W19" s="6">
        <f>STDEV(W11:W17)/SQRT(7)</f>
        <v>73843.967240496509</v>
      </c>
      <c r="X19" s="6"/>
    </row>
    <row r="20" spans="1:26" x14ac:dyDescent="0.25">
      <c r="P20" s="5">
        <f>(P19/P18)*100</f>
        <v>0.56568276618155489</v>
      </c>
      <c r="Q20" s="5"/>
    </row>
    <row r="22" spans="1:26" x14ac:dyDescent="0.25">
      <c r="I22" t="s">
        <v>10</v>
      </c>
      <c r="J22" t="s">
        <v>48</v>
      </c>
      <c r="K22" t="s">
        <v>49</v>
      </c>
    </row>
    <row r="23" spans="1:26" x14ac:dyDescent="0.25">
      <c r="A23" s="1" t="s">
        <v>24</v>
      </c>
      <c r="B23" t="s">
        <v>0</v>
      </c>
      <c r="C23">
        <v>50</v>
      </c>
      <c r="F23" s="1"/>
    </row>
    <row r="24" spans="1:26" x14ac:dyDescent="0.25">
      <c r="B24" t="s">
        <v>9</v>
      </c>
      <c r="C24">
        <v>70</v>
      </c>
    </row>
    <row r="25" spans="1:26" x14ac:dyDescent="0.25">
      <c r="B25" s="2" t="s">
        <v>25</v>
      </c>
      <c r="C25">
        <v>5.92</v>
      </c>
    </row>
    <row r="26" spans="1:26" x14ac:dyDescent="0.25">
      <c r="B26" t="s">
        <v>26</v>
      </c>
      <c r="C26">
        <v>6.49</v>
      </c>
      <c r="F26" s="1" t="s">
        <v>31</v>
      </c>
      <c r="G26" t="s">
        <v>8</v>
      </c>
    </row>
    <row r="27" spans="1:26" x14ac:dyDescent="0.25">
      <c r="B27" t="s">
        <v>27</v>
      </c>
      <c r="C27">
        <v>5.41</v>
      </c>
      <c r="E27" t="s">
        <v>6</v>
      </c>
      <c r="F27">
        <f>AVERAGE(F2:F7)</f>
        <v>4.0322235499977461</v>
      </c>
      <c r="G27">
        <f>STDEV(F2:F7)/SQRT(6)</f>
        <v>0.13194676147714357</v>
      </c>
      <c r="I27">
        <f>_xlfn.F.TEST(F2:F7,F11:F17)</f>
        <v>7.178558188493847E-6</v>
      </c>
      <c r="J27">
        <f>_xlfn.T.TEST(F2:F7,F11:F17,2,3)</f>
        <v>2.5644741337620746E-2</v>
      </c>
      <c r="K27">
        <f>_xlfn.T.TEST(F2:F7,F11:F17,1,3)</f>
        <v>1.2822370668810373E-2</v>
      </c>
    </row>
    <row r="28" spans="1:26" x14ac:dyDescent="0.25">
      <c r="B28" s="2" t="s">
        <v>29</v>
      </c>
      <c r="C28">
        <v>4.2699999999999996</v>
      </c>
      <c r="E28" t="s">
        <v>7</v>
      </c>
      <c r="F28">
        <f>AVERAGE(F11:F17)</f>
        <v>10.11453943015311</v>
      </c>
      <c r="G28">
        <f>STDEV(F11:F17)/SQRT(7)</f>
        <v>2.0634235052276511</v>
      </c>
      <c r="N28" t="s">
        <v>58</v>
      </c>
    </row>
    <row r="29" spans="1:26" x14ac:dyDescent="0.25">
      <c r="B29" s="2" t="s">
        <v>50</v>
      </c>
      <c r="C29">
        <v>0.54</v>
      </c>
      <c r="F29" s="1" t="s">
        <v>32</v>
      </c>
    </row>
    <row r="30" spans="1:26" x14ac:dyDescent="0.25">
      <c r="B30" s="2" t="s">
        <v>40</v>
      </c>
      <c r="C30">
        <v>-2.6696</v>
      </c>
      <c r="E30" t="s">
        <v>6</v>
      </c>
      <c r="F30">
        <f>AVERAGE(G2:G7)</f>
        <v>52.75027226618797</v>
      </c>
      <c r="I30">
        <f>_xlfn.F.TEST(G2:G7,G11:G17)</f>
        <v>0.34843355540779919</v>
      </c>
      <c r="J30">
        <f>_xlfn.T.TEST(G2:G7,G11:G17,2,3)</f>
        <v>1.5839928728909885E-4</v>
      </c>
      <c r="K30">
        <f>_xlfn.T.TEST(G2:G7,G11:G17,1,3)</f>
        <v>7.9199643644549427E-5</v>
      </c>
    </row>
    <row r="31" spans="1:26" x14ac:dyDescent="0.25">
      <c r="B31" s="2" t="s">
        <v>41</v>
      </c>
      <c r="C31">
        <v>7.6899999999999996E-2</v>
      </c>
      <c r="E31" t="s">
        <v>7</v>
      </c>
      <c r="F31">
        <f>AVERAGE(G11:G17)</f>
        <v>73.687303263306418</v>
      </c>
      <c r="Q31" t="s">
        <v>61</v>
      </c>
      <c r="R31" t="s">
        <v>62</v>
      </c>
    </row>
    <row r="32" spans="1:26" x14ac:dyDescent="0.25">
      <c r="B32" s="2" t="s">
        <v>42</v>
      </c>
      <c r="C32">
        <v>-1.589</v>
      </c>
      <c r="Q32">
        <f>18.01528*1000</f>
        <v>18015.28</v>
      </c>
      <c r="R32">
        <f>Q32*1000</f>
        <v>18015280</v>
      </c>
    </row>
    <row r="33" spans="2:11" x14ac:dyDescent="0.25">
      <c r="B33" s="2" t="s">
        <v>43</v>
      </c>
      <c r="C33">
        <v>3.8399999999999997E-2</v>
      </c>
      <c r="F33" s="1" t="s">
        <v>33</v>
      </c>
    </row>
    <row r="34" spans="2:11" x14ac:dyDescent="0.25">
      <c r="E34" t="s">
        <v>6</v>
      </c>
      <c r="F34">
        <f>AVERAGE(H2:H7)</f>
        <v>66.30587393356528</v>
      </c>
      <c r="I34">
        <f>_xlfn.F.TEST(H2:H7,H11:H17)</f>
        <v>0.56789639897744337</v>
      </c>
      <c r="J34">
        <f>_xlfn.T.TEST(H2:H7,G11:G17,2,2)</f>
        <v>1.2480888532166768E-2</v>
      </c>
      <c r="K34">
        <f>_xlfn.T.TEST(H2:H7,H11:H17,1,3)</f>
        <v>4.6607082827834146E-5</v>
      </c>
    </row>
    <row r="35" spans="2:11" x14ac:dyDescent="0.25">
      <c r="E35" t="s">
        <v>7</v>
      </c>
      <c r="F35">
        <f>AVERAGE(H11:H17)</f>
        <v>80.516183517571079</v>
      </c>
    </row>
    <row r="37" spans="2:11" x14ac:dyDescent="0.25">
      <c r="F37" s="1" t="s">
        <v>35</v>
      </c>
    </row>
    <row r="38" spans="2:11" x14ac:dyDescent="0.25">
      <c r="E38" t="s">
        <v>6</v>
      </c>
      <c r="F38">
        <f>AVERAGE(I2:I7)</f>
        <v>17.670018254247907</v>
      </c>
      <c r="G38">
        <f>I9</f>
        <v>6.0442319928903521</v>
      </c>
      <c r="I38">
        <f>_xlfn.F.TEST(I2:I7,I11:I17)</f>
        <v>0.2263842735032553</v>
      </c>
      <c r="J38">
        <f>_xlfn.T.TEST(I2:I7,I11:I17,2,3)</f>
        <v>5.6995472355363618E-4</v>
      </c>
      <c r="K38">
        <f>_xlfn.T.TEST(I2:I7,I11:I17,1,3)</f>
        <v>2.8497736177681809E-4</v>
      </c>
    </row>
    <row r="39" spans="2:11" x14ac:dyDescent="0.25">
      <c r="E39" t="s">
        <v>7</v>
      </c>
      <c r="F39">
        <f>AVERAGE(I11:I17)</f>
        <v>56.014988908330679</v>
      </c>
      <c r="G39">
        <f>I18</f>
        <v>56.014988908330679</v>
      </c>
    </row>
    <row r="40" spans="2:11" x14ac:dyDescent="0.25">
      <c r="F40" s="1" t="s">
        <v>45</v>
      </c>
    </row>
    <row r="41" spans="2:11" x14ac:dyDescent="0.25">
      <c r="E41" t="s">
        <v>6</v>
      </c>
      <c r="F41">
        <f>AVERAGE(R2:R7)</f>
        <v>31.645426307145375</v>
      </c>
      <c r="I41">
        <f>_xlfn.F.TEST(R2:R7,R11:R17)</f>
        <v>0.28607589036292996</v>
      </c>
      <c r="J41">
        <f>_xlfn.T.TEST(R2:R7,R11:R17,2,3)</f>
        <v>1.2669586400899848E-2</v>
      </c>
      <c r="K41">
        <f>_xlfn.T.TEST(R2:R7,R11:R17,1,3)</f>
        <v>6.334793200449924E-3</v>
      </c>
    </row>
    <row r="42" spans="2:11" x14ac:dyDescent="0.25">
      <c r="E42" t="s">
        <v>7</v>
      </c>
      <c r="F42">
        <f>AVERAGE(R11:R17)</f>
        <v>20.345956336693565</v>
      </c>
    </row>
    <row r="43" spans="2:11" x14ac:dyDescent="0.25">
      <c r="F43" s="1" t="s">
        <v>47</v>
      </c>
    </row>
    <row r="44" spans="2:11" x14ac:dyDescent="0.25">
      <c r="E44" t="s">
        <v>6</v>
      </c>
      <c r="F44">
        <f>AVERAGE(T2:T7)*1000</f>
        <v>151.3086308639738</v>
      </c>
      <c r="G44">
        <f>STDEV(T2:T7)/SQRT(6)*1000</f>
        <v>14.873541560683458</v>
      </c>
      <c r="I44">
        <f>_xlfn.F.TEST(T2:T7,T11:T17)</f>
        <v>0.2256528687894081</v>
      </c>
      <c r="J44">
        <f>_xlfn.T.TEST(T2:T7,T11:T17,2,3)</f>
        <v>8.5041255784758622E-3</v>
      </c>
      <c r="K44">
        <f>_xlfn.T.TEST(T2:T7,T11:T17,1,3)</f>
        <v>4.2520627892379311E-3</v>
      </c>
    </row>
    <row r="45" spans="2:11" x14ac:dyDescent="0.25">
      <c r="E45" t="s">
        <v>7</v>
      </c>
      <c r="F45">
        <f>AVERAGE(T11:T17)*1000</f>
        <v>92.245288485564785</v>
      </c>
      <c r="G45">
        <f>STDEV(T11:T17)/SQRT(7)*1000</f>
        <v>8.0696273879445641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Metadata</vt:lpstr>
      <vt:lpstr>PV summary values</vt:lpstr>
      <vt:lpstr>Calculation sheet</vt:lpstr>
      <vt:lpstr>Propagating error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c:creator>
  <cp:lastModifiedBy>c</cp:lastModifiedBy>
  <dcterms:created xsi:type="dcterms:W3CDTF">2019-09-17T02:54:17Z</dcterms:created>
  <dcterms:modified xsi:type="dcterms:W3CDTF">2019-12-16T01:27:27Z</dcterms:modified>
</cp:coreProperties>
</file>