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oattack Summary" sheetId="1" r:id="rId3"/>
    <sheet state="visible" name="Calculations" sheetId="2" r:id="rId4"/>
    <sheet state="visible" name="Stat Conversion Curves" sheetId="3" r:id="rId5"/>
    <sheet state="visible" name="Channeler" sheetId="4" r:id="rId6"/>
    <sheet state="visible" name="Scratchwork" sheetId="5" r:id="rId7"/>
    <sheet state="visible" name="More Scratchwork" sheetId="6" r:id="rId8"/>
  </sheets>
  <definedNames>
    <definedName hidden="1" localSheetId="3" name="_xlnm._FilterDatabase">Channeler!$A$7:$U$42</definedName>
  </definedNames>
  <calcPr/>
</workbook>
</file>

<file path=xl/sharedStrings.xml><?xml version="1.0" encoding="utf-8"?>
<sst xmlns="http://schemas.openxmlformats.org/spreadsheetml/2006/main" count="508" uniqueCount="190">
  <si>
    <t>Reforge convers</t>
  </si>
  <si>
    <t>cross product</t>
  </si>
  <si>
    <t>Wdb</t>
  </si>
  <si>
    <t>dps</t>
  </si>
  <si>
    <t>i</t>
  </si>
  <si>
    <t>j</t>
  </si>
  <si>
    <t>k</t>
  </si>
  <si>
    <t>Dps</t>
  </si>
  <si>
    <t>asp</t>
  </si>
  <si>
    <t>Flurry</t>
  </si>
  <si>
    <t>ma</t>
  </si>
  <si>
    <t>SDA</t>
  </si>
  <si>
    <t>MA</t>
  </si>
  <si>
    <t>Haste</t>
  </si>
  <si>
    <t>min</t>
  </si>
  <si>
    <t>max</t>
  </si>
  <si>
    <t>avg hit</t>
  </si>
  <si>
    <t>avg round</t>
  </si>
  <si>
    <t>avg dps</t>
  </si>
  <si>
    <t>cb</t>
  </si>
  <si>
    <t>dps mod</t>
  </si>
  <si>
    <t>DPS</t>
  </si>
  <si>
    <t>dmg +%</t>
  </si>
  <si>
    <t>% per 100</t>
  </si>
  <si>
    <t>Total % per 100</t>
  </si>
  <si>
    <t>wdb</t>
  </si>
  <si>
    <t>COEFF</t>
  </si>
  <si>
    <t>Flurry Sans AS</t>
  </si>
  <si>
    <t>d50</t>
  </si>
  <si>
    <t>Reforging</t>
  </si>
  <si>
    <t>New Coef</t>
  </si>
  <si>
    <t>New reforge</t>
  </si>
  <si>
    <t>Difference</t>
  </si>
  <si>
    <t>no wdb</t>
  </si>
  <si>
    <t>ASPD</t>
  </si>
  <si>
    <t>330 range</t>
  </si>
  <si>
    <t xml:space="preserve"> </t>
  </si>
  <si>
    <t>Aspd</t>
  </si>
  <si>
    <t>flurry %</t>
  </si>
  <si>
    <t>Coef-0</t>
  </si>
  <si>
    <t>Extra hit +%</t>
  </si>
  <si>
    <t>if(AND(DPS&gt;0,DPS&lt;=600),DPS/100,moretests</t>
  </si>
  <si>
    <t>aspeed</t>
  </si>
  <si>
    <t>(1-Var)Min+VarMax=Min0</t>
  </si>
  <si>
    <t>Min+(Max-Min)*Var%</t>
  </si>
  <si>
    <t>Min0=Min+(Max-Min)*Var%</t>
  </si>
  <si>
    <t>(Min'-VarMax)/(1-Var)=Min</t>
  </si>
  <si>
    <t>Base CB</t>
  </si>
  <si>
    <t>Set0</t>
  </si>
  <si>
    <t>Set1</t>
  </si>
  <si>
    <t>CB</t>
  </si>
  <si>
    <t>Assassin</t>
  </si>
  <si>
    <t>Average</t>
  </si>
  <si>
    <t>Main Stat</t>
  </si>
  <si>
    <t>Agility</t>
  </si>
  <si>
    <t>Min</t>
  </si>
  <si>
    <t>Cb</t>
  </si>
  <si>
    <t>Max</t>
  </si>
  <si>
    <t>Pot</t>
  </si>
  <si>
    <t>Delay</t>
  </si>
  <si>
    <t>Var%</t>
  </si>
  <si>
    <t>AA Multi</t>
  </si>
  <si>
    <t>Avg Hit</t>
  </si>
  <si>
    <t>WDB</t>
  </si>
  <si>
    <t>Min Hit</t>
  </si>
  <si>
    <t>Stamina</t>
  </si>
  <si>
    <t>WSkills</t>
  </si>
  <si>
    <t>Max Hit</t>
  </si>
  <si>
    <t>Debuff %</t>
  </si>
  <si>
    <t>Vuln #</t>
  </si>
  <si>
    <t>Avg DPS</t>
  </si>
  <si>
    <t>/Weap Base Max</t>
  </si>
  <si>
    <t>DPS FROM:</t>
  </si>
  <si>
    <t>/Weap Actual Max</t>
  </si>
  <si>
    <t>Base DMG</t>
  </si>
  <si>
    <t>(Min*Multiplier*(1+Wdb))</t>
  </si>
  <si>
    <t>Actual DMG</t>
  </si>
  <si>
    <t>Agi*DPS</t>
  </si>
  <si>
    <t>Mult</t>
  </si>
  <si>
    <t>Agi</t>
  </si>
  <si>
    <t>ROUND((C$30-FLOOR((C$29-F$31*C$30)/(1-F$31),1))*F$31+FLOOR((C$29-F$31*C$30)/(1-F$31),1),0)</t>
  </si>
  <si>
    <t>C$30</t>
  </si>
  <si>
    <t>(1+C$36)</t>
  </si>
  <si>
    <t>(log(C$28,2)*0.28-1.2)</t>
  </si>
  <si>
    <t>Base</t>
  </si>
  <si>
    <t>Multiplier</t>
  </si>
  <si>
    <t>Adjusted Min</t>
  </si>
  <si>
    <t>Adjusted Max</t>
  </si>
  <si>
    <t>Actual</t>
  </si>
  <si>
    <t>Mainstat</t>
  </si>
  <si>
    <t xml:space="preserve">
</t>
  </si>
  <si>
    <t>Type</t>
  </si>
  <si>
    <t>Damage</t>
  </si>
  <si>
    <t>EncDPS</t>
  </si>
  <si>
    <t>MinHit</t>
  </si>
  <si>
    <t>MaxHit</t>
  </si>
  <si>
    <t>Hits</t>
  </si>
  <si>
    <t>Swings</t>
  </si>
  <si>
    <t>ToHit</t>
  </si>
  <si>
    <t>AvgDelay</t>
  </si>
  <si>
    <t>Crit%</t>
  </si>
  <si>
    <t>CritTypes</t>
  </si>
  <si>
    <t>Resist</t>
  </si>
  <si>
    <t>SwingType</t>
  </si>
  <si>
    <t>ΔCB</t>
  </si>
  <si>
    <t>ΔPot</t>
  </si>
  <si>
    <t>ΔWdb</t>
  </si>
  <si>
    <t>smite</t>
  </si>
  <si>
    <t>13.8%L - 5.1%F - 0.5%M</t>
  </si>
  <si>
    <t>divine</t>
  </si>
  <si>
    <t>Multi</t>
  </si>
  <si>
    <t>"Pot"</t>
  </si>
  <si>
    <t>Stat</t>
  </si>
  <si>
    <t>DPS/%</t>
  </si>
  <si>
    <t>flurry +%</t>
  </si>
  <si>
    <t>variance reduction</t>
  </si>
  <si>
    <t>-var/100 skill</t>
  </si>
  <si>
    <t>Var Reduction</t>
  </si>
  <si>
    <t>2h</t>
  </si>
  <si>
    <t>Wand</t>
  </si>
  <si>
    <t>Normalized Reforge Ratios</t>
  </si>
  <si>
    <t xml:space="preserve"> +%</t>
  </si>
  <si>
    <t>x''</t>
  </si>
  <si>
    <t>delta/+100</t>
  </si>
  <si>
    <t>flurry</t>
  </si>
  <si>
    <t>Hit %</t>
  </si>
  <si>
    <t xml:space="preserve">CB (add 130%) </t>
  </si>
  <si>
    <t>Debuff%</t>
  </si>
  <si>
    <t>Potency(+100%)</t>
  </si>
  <si>
    <t>blah*(1+$D$2)*</t>
  </si>
  <si>
    <t>Rec%</t>
  </si>
  <si>
    <t>Spell Multi</t>
  </si>
  <si>
    <t>ae targets</t>
  </si>
  <si>
    <t>abilmod0</t>
  </si>
  <si>
    <t>AE? (1=Y)</t>
  </si>
  <si>
    <t>Spell</t>
  </si>
  <si>
    <t>Cast</t>
  </si>
  <si>
    <t>Reuse</t>
  </si>
  <si>
    <t>Dot min</t>
  </si>
  <si>
    <t>Dot max</t>
  </si>
  <si>
    <t>additional multiplier</t>
  </si>
  <si>
    <t>Duration</t>
  </si>
  <si>
    <t>tick/s</t>
  </si>
  <si>
    <t>Min crit</t>
  </si>
  <si>
    <t>Max Crit</t>
  </si>
  <si>
    <t>Dot min crit</t>
  </si>
  <si>
    <t>Dot max crit</t>
  </si>
  <si>
    <t>Max total</t>
  </si>
  <si>
    <t>Efficiency</t>
  </si>
  <si>
    <t>no multi</t>
  </si>
  <si>
    <t>Poison Bolt</t>
  </si>
  <si>
    <t>Vengeful Arrow 25</t>
  </si>
  <si>
    <t>Vengeful Arrow 50</t>
  </si>
  <si>
    <t>Construct's Sac</t>
  </si>
  <si>
    <t>Vengeful Arrow 75</t>
  </si>
  <si>
    <t>Vengeful Arrow</t>
  </si>
  <si>
    <t>Barrage</t>
  </si>
  <si>
    <t>Mist of Poison</t>
  </si>
  <si>
    <t>Unc. Wrath</t>
  </si>
  <si>
    <t>Healing Arrow</t>
  </si>
  <si>
    <t>Seeking Cascade</t>
  </si>
  <si>
    <t>Eye Shot</t>
  </si>
  <si>
    <t>Healing Barrage</t>
  </si>
  <si>
    <t>Downpour</t>
  </si>
  <si>
    <t>Snapshot</t>
  </si>
  <si>
    <t>Shatter Rain</t>
  </si>
  <si>
    <t>Abilmod Cap</t>
  </si>
  <si>
    <t>% Diff DPS</t>
  </si>
  <si>
    <t>if(and(Multi&lt;</t>
  </si>
  <si>
    <t>,Multi&gt;=</t>
  </si>
  <si>
    <t>),</t>
  </si>
  <si>
    <t>-</t>
  </si>
  <si>
    <t>)/(</t>
  </si>
  <si>
    <t>)*(Multi-</t>
  </si>
  <si>
    <t>mean</t>
  </si>
  <si>
    <t>sumx</t>
  </si>
  <si>
    <t>sumx2</t>
  </si>
  <si>
    <t>n</t>
  </si>
  <si>
    <t>s2</t>
  </si>
  <si>
    <t>variance</t>
  </si>
  <si>
    <t>s</t>
  </si>
  <si>
    <t>std dev</t>
  </si>
  <si>
    <t>cvar</t>
  </si>
  <si>
    <t>var</t>
  </si>
  <si>
    <t>x</t>
  </si>
  <si>
    <t>y</t>
  </si>
  <si>
    <t>sumy2</t>
  </si>
  <si>
    <t>xy</t>
  </si>
  <si>
    <t>sumy</t>
  </si>
  <si>
    <t>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</si>
</sst>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#,##0.###############"/>
    <numFmt numFmtId="165" formatCode="0.0%"/>
    <numFmt numFmtId="166" formatCode="#,##0.000"/>
    <numFmt numFmtId="167" formatCode="0.000"/>
    <numFmt numFmtId="168" formatCode="0.0"/>
    <numFmt numFmtId="169" formatCode="#,###"/>
    <numFmt numFmtId="170" formatCode="#,###.00"/>
  </numFmts>
  <fonts count="10">
    <font>
      <sz val="10.0"/>
      <color rgb="FF000000"/>
      <name val="Arial"/>
    </font>
    <font/>
    <font>
      <sz val="10.0"/>
      <color rgb="FF200B01"/>
    </font>
    <font>
      <sz val="11.0"/>
      <color rgb="FF11A9CC"/>
    </font>
    <font>
      <sz val="10.0"/>
    </font>
    <font>
      <sz val="11.0"/>
    </font>
    <font>
      <sz val="11.0"/>
      <color rgb="FF1155CC"/>
    </font>
    <font>
      <b/>
    </font>
    <font>
      <i/>
      <sz val="11.0"/>
    </font>
    <font>
      <color rgb="FF1155CC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1" numFmtId="0" xfId="0" applyAlignment="1" applyFont="1">
      <alignment vertical="bottom"/>
    </xf>
    <xf borderId="0" fillId="0" fontId="1" numFmtId="10" xfId="0" applyAlignment="1" applyFont="1" applyNumberForma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horizontal="right" vertical="bottom"/>
    </xf>
    <xf borderId="0" fillId="0" fontId="1" numFmtId="2" xfId="0" applyAlignment="1" applyFont="1" applyNumberFormat="1">
      <alignment readingOrder="0"/>
    </xf>
    <xf borderId="0" fillId="0" fontId="1" numFmtId="9" xfId="0" applyFont="1" applyNumberFormat="1"/>
    <xf borderId="0" fillId="0" fontId="1" numFmtId="10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1" numFmtId="1" xfId="0" applyAlignment="1" applyFont="1" applyNumberFormat="1">
      <alignment readingOrder="0"/>
    </xf>
    <xf borderId="0" fillId="0" fontId="1" numFmtId="0" xfId="0" applyAlignment="1" applyFont="1">
      <alignment readingOrder="0" vertical="bottom"/>
    </xf>
    <xf borderId="0" fillId="0" fontId="1" numFmtId="1" xfId="0" applyFont="1" applyNumberFormat="1"/>
    <xf borderId="0" fillId="0" fontId="1" numFmtId="49" xfId="0" applyAlignment="1" applyFont="1" applyNumberFormat="1">
      <alignment readingOrder="0"/>
    </xf>
    <xf borderId="0" fillId="0" fontId="1" numFmtId="1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10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10" xfId="0" applyFont="1" applyNumberFormat="1"/>
    <xf borderId="1" fillId="0" fontId="1" numFmtId="0" xfId="0" applyAlignment="1" applyBorder="1" applyFont="1">
      <alignment readingOrder="0"/>
    </xf>
    <xf borderId="1" fillId="2" fontId="1" numFmtId="10" xfId="0" applyAlignment="1" applyBorder="1" applyFill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1" numFmtId="9" xfId="0" applyAlignment="1" applyBorder="1" applyFont="1" applyNumberFormat="1">
      <alignment readingOrder="0"/>
    </xf>
    <xf borderId="1" fillId="2" fontId="1" numFmtId="0" xfId="0" applyAlignment="1" applyBorder="1" applyFont="1">
      <alignment readingOrder="0"/>
    </xf>
    <xf borderId="0" fillId="0" fontId="1" numFmtId="4" xfId="0" applyFont="1" applyNumberFormat="1"/>
    <xf borderId="0" fillId="0" fontId="1" numFmtId="10" xfId="0" applyFont="1" applyNumberFormat="1"/>
    <xf borderId="0" fillId="0" fontId="1" numFmtId="165" xfId="0" applyFont="1" applyNumberFormat="1"/>
    <xf borderId="1" fillId="0" fontId="1" numFmtId="0" xfId="0" applyBorder="1" applyFont="1"/>
    <xf borderId="1" fillId="2" fontId="1" numFmtId="164" xfId="0" applyAlignment="1" applyBorder="1" applyFont="1" applyNumberFormat="1">
      <alignment readingOrder="0"/>
    </xf>
    <xf borderId="0" fillId="0" fontId="1" numFmtId="0" xfId="0" applyFont="1"/>
    <xf borderId="0" fillId="0" fontId="1" numFmtId="4" xfId="0" applyAlignment="1" applyFont="1" applyNumberFormat="1">
      <alignment readingOrder="0"/>
    </xf>
    <xf borderId="0" fillId="0" fontId="1" numFmtId="9" xfId="0" applyFont="1" applyNumberFormat="1"/>
    <xf borderId="0" fillId="0" fontId="2" numFmtId="0" xfId="0" applyFont="1"/>
    <xf borderId="0" fillId="0" fontId="1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10" xfId="0" applyAlignment="1" applyFont="1" applyNumberFormat="1">
      <alignment horizontal="right" readingOrder="0" vertical="bottom"/>
    </xf>
    <xf borderId="0" fillId="0" fontId="4" numFmtId="0" xfId="0" applyAlignment="1" applyFont="1">
      <alignment vertical="bottom"/>
    </xf>
    <xf borderId="0" fillId="0" fontId="1" numFmtId="3" xfId="0" applyAlignment="1" applyFont="1" applyNumberFormat="1">
      <alignment vertical="bottom"/>
    </xf>
    <xf borderId="0" fillId="0" fontId="4" numFmtId="10" xfId="0" applyAlignment="1" applyFont="1" applyNumberFormat="1">
      <alignment horizontal="right" vertical="bottom"/>
    </xf>
    <xf borderId="0" fillId="0" fontId="4" numFmtId="3" xfId="0" applyAlignment="1" applyFont="1" applyNumberFormat="1">
      <alignment horizontal="right" vertical="bottom"/>
    </xf>
    <xf borderId="0" fillId="0" fontId="5" numFmtId="0" xfId="0" applyFont="1"/>
    <xf borderId="0" fillId="0" fontId="1" numFmtId="166" xfId="0" applyFont="1" applyNumberFormat="1"/>
    <xf borderId="0" fillId="3" fontId="5" numFmtId="165" xfId="0" applyFill="1" applyFont="1" applyNumberFormat="1"/>
    <xf borderId="0" fillId="0" fontId="1" numFmtId="167" xfId="0" applyAlignment="1" applyFont="1" applyNumberFormat="1">
      <alignment readingOrder="0"/>
    </xf>
    <xf borderId="0" fillId="0" fontId="1" numFmtId="167" xfId="0" applyFont="1" applyNumberFormat="1"/>
    <xf borderId="0" fillId="0" fontId="4" numFmtId="3" xfId="0" applyAlignment="1" applyFont="1" applyNumberFormat="1">
      <alignment horizontal="right" readingOrder="0" vertical="bottom"/>
    </xf>
    <xf borderId="0" fillId="0" fontId="4" numFmtId="10" xfId="0" applyAlignment="1" applyFont="1" applyNumberFormat="1">
      <alignment horizontal="right" readingOrder="0" vertical="bottom"/>
    </xf>
    <xf borderId="0" fillId="0" fontId="1" numFmtId="3" xfId="0" applyFont="1" applyNumberFormat="1"/>
    <xf borderId="0" fillId="0" fontId="6" numFmtId="3" xfId="0" applyFont="1" applyNumberFormat="1"/>
    <xf borderId="0" fillId="0" fontId="5" numFmtId="3" xfId="0" applyFont="1" applyNumberFormat="1"/>
    <xf borderId="0" fillId="0" fontId="5" numFmtId="3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3" fontId="5" numFmtId="0" xfId="0" applyAlignment="1" applyFont="1">
      <alignment readingOrder="0"/>
    </xf>
    <xf borderId="0" fillId="0" fontId="1" numFmtId="1" xfId="0" applyFont="1" applyNumberFormat="1"/>
    <xf borderId="0" fillId="0" fontId="7" numFmtId="0" xfId="0" applyAlignment="1" applyFont="1">
      <alignment horizontal="center" vertical="bottom"/>
    </xf>
    <xf borderId="0" fillId="3" fontId="1" numFmtId="168" xfId="0" applyAlignment="1" applyFont="1" applyNumberFormat="1">
      <alignment vertical="bottom"/>
    </xf>
    <xf borderId="0" fillId="3" fontId="8" numFmtId="168" xfId="0" applyAlignment="1" applyFont="1" applyNumberFormat="1">
      <alignment vertical="bottom"/>
    </xf>
    <xf borderId="0" fillId="0" fontId="1" numFmtId="168" xfId="0" applyAlignment="1" applyFont="1" applyNumberFormat="1">
      <alignment vertical="bottom"/>
    </xf>
    <xf borderId="0" fillId="0" fontId="1" numFmtId="169" xfId="0" applyAlignment="1" applyFont="1" applyNumberFormat="1">
      <alignment horizontal="right" vertical="bottom"/>
    </xf>
    <xf borderId="0" fillId="0" fontId="1" numFmtId="170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9" xfId="0" applyAlignment="1" applyFont="1" applyNumberFormat="1">
      <alignment horizontal="right" vertical="bottom"/>
    </xf>
    <xf borderId="0" fillId="0" fontId="1" numFmtId="1" xfId="0" applyAlignment="1" applyFont="1" applyNumberFormat="1">
      <alignment vertical="bottom"/>
    </xf>
    <xf borderId="0" fillId="0" fontId="9" numFmtId="0" xfId="0" applyAlignment="1" applyFont="1">
      <alignment horizontal="right" vertical="bottom"/>
    </xf>
    <xf borderId="0" fillId="0" fontId="1" numFmtId="170" xfId="0" applyFont="1" applyNumberFormat="1"/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4" fillId="4" fontId="7" numFmtId="1" xfId="0" applyAlignment="1" applyBorder="1" applyFill="1" applyFont="1" applyNumberFormat="1">
      <alignment horizontal="right" vertical="bottom"/>
    </xf>
    <xf borderId="0" fillId="0" fontId="1" numFmtId="0" xfId="0" applyAlignment="1" applyFont="1">
      <alignment horizontal="center" readingOrder="0"/>
    </xf>
    <xf borderId="1" fillId="2" fontId="1" numFmtId="0" xfId="0" applyBorder="1" applyFont="1"/>
    <xf borderId="5" fillId="0" fontId="1" numFmtId="0" xfId="0" applyBorder="1" applyFont="1"/>
    <xf borderId="6" fillId="0" fontId="1" numFmtId="0" xfId="0" applyBorder="1" applyFont="1"/>
    <xf borderId="0" fillId="0" fontId="1" numFmtId="10" xfId="0" applyFont="1" applyNumberFormat="1"/>
    <xf borderId="0" fillId="0" fontId="1" numFmtId="3" xfId="0" applyAlignment="1" applyFont="1" applyNumberForma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6" fillId="0" fontId="1" numFmtId="3" xfId="0" applyBorder="1" applyFont="1" applyNumberFormat="1"/>
    <xf borderId="5" fillId="0" fontId="1" numFmtId="3" xfId="0" applyBorder="1" applyFont="1" applyNumberFormat="1"/>
    <xf borderId="0" fillId="0" fontId="1" numFmtId="3" xfId="0" applyFont="1" applyNumberFormat="1"/>
    <xf borderId="0" fillId="0" fontId="1" numFmtId="10" xfId="0" applyFont="1" applyNumberFormat="1"/>
    <xf borderId="0" fillId="0" fontId="1" numFmtId="49" xfId="0" applyFont="1" applyNumberFormat="1"/>
    <xf borderId="0" fillId="3" fontId="4" numFmtId="0" xfId="0" applyAlignment="1" applyFont="1">
      <alignment readingOrder="0"/>
    </xf>
    <xf borderId="0" fillId="3" fontId="4" numFmtId="49" xfId="0" applyAlignment="1" applyFont="1" applyNumberFormat="1">
      <alignment readingOrder="0"/>
    </xf>
    <xf borderId="0" fillId="3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Chart title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'Autoattack Summary'!$B$9</c:f>
            </c:strRef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'Autoattack Summary'!$A$10:$A$20</c:f>
            </c:strRef>
          </c:cat>
          <c:val>
            <c:numRef>
              <c:f>'Autoattack Summary'!$B$10:$B$20</c:f>
              <c:numCache/>
            </c:numRef>
          </c:val>
        </c:ser>
        <c:ser>
          <c:idx val="1"/>
          <c:order val="1"/>
          <c:tx>
            <c:strRef>
              <c:f>'Autoattack Summary'!$D$9</c:f>
            </c:strRef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'Autoattack Summary'!$A$10:$A$20</c:f>
            </c:strRef>
          </c:cat>
          <c:val>
            <c:numRef>
              <c:f>'Autoattack Summary'!$D$10:$D$20</c:f>
              <c:numCache/>
            </c:numRef>
          </c:val>
        </c:ser>
        <c:axId val="1461411298"/>
        <c:axId val="870543511"/>
      </c:areaChart>
      <c:catAx>
        <c:axId val="14614112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70543511"/>
      </c:catAx>
      <c:valAx>
        <c:axId val="870543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61411298"/>
      </c:valAx>
    </c:plotArea>
    <c:legend>
      <c:legendPos val="tr"/>
      <c:overlay val="1"/>
      <c:txPr>
        <a:bodyPr/>
        <a:lstStyle/>
        <a:p>
          <a:pPr lvl="0">
            <a:defRPr b="0" sz="1200">
              <a:solidFill>
                <a:srgbClr val="222222"/>
              </a:solidFill>
              <a:latin typeface="Roboto"/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Chart title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'Autoattack Summary'!$B$21</c:f>
            </c:strRef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'Autoattack Summary'!$A$22:$A$27</c:f>
            </c:strRef>
          </c:cat>
          <c:val>
            <c:numRef>
              <c:f>'Autoattack Summary'!$B$22:$B$27</c:f>
              <c:numCache/>
            </c:numRef>
          </c:val>
        </c:ser>
        <c:axId val="821237052"/>
        <c:axId val="681655377"/>
      </c:areaChart>
      <c:catAx>
        <c:axId val="8212370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Attk Speed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81655377"/>
      </c:catAx>
      <c:valAx>
        <c:axId val="6816553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21237052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Chart title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'Autoattack Summary'!$B$30</c:f>
            </c:strRef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'Autoattack Summary'!$A$31:$A$55</c:f>
            </c:strRef>
          </c:cat>
          <c:val>
            <c:numRef>
              <c:f>'Autoattack Summary'!$B$31:$B$55</c:f>
              <c:numCache/>
            </c:numRef>
          </c:val>
        </c:ser>
        <c:axId val="1949753383"/>
        <c:axId val="89878623"/>
      </c:areaChart>
      <c:catAx>
        <c:axId val="1949753383"/>
        <c:scaling>
          <c:orientation val="minMax"/>
          <c:max val="12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9878623"/>
      </c:catAx>
      <c:valAx>
        <c:axId val="898786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49753383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Chart title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Calculations!$D$161:$D$165</c:f>
            </c:strRef>
          </c:cat>
          <c:val>
            <c:numRef>
              <c:f>Calculations!$E$161:$E$165</c:f>
              <c:numCache/>
            </c:numRef>
          </c:val>
          <c:smooth val="0"/>
        </c:ser>
        <c:axId val="528439035"/>
        <c:axId val="2129694694"/>
      </c:lineChart>
      <c:catAx>
        <c:axId val="5284390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29694694"/>
      </c:catAx>
      <c:valAx>
        <c:axId val="21296946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284390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+skill / Var Reduction / % dps change (from base) / % dps change from last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Calculations!$L$160</c:f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Calculations!$K$161:$K$211</c:f>
            </c:strRef>
          </c:cat>
          <c:val>
            <c:numRef>
              <c:f>Calculations!$L$161:$L$211</c:f>
              <c:numCache/>
            </c:numRef>
          </c:val>
          <c:smooth val="0"/>
        </c:ser>
        <c:ser>
          <c:idx val="1"/>
          <c:order val="1"/>
          <c:tx>
            <c:strRef>
              <c:f>Calculations!$M$160</c:f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Calculations!$K$161:$K$211</c:f>
            </c:strRef>
          </c:cat>
          <c:val>
            <c:numRef>
              <c:f>Calculations!$M$161:$M$211</c:f>
              <c:numCache/>
            </c:numRef>
          </c:val>
          <c:smooth val="0"/>
        </c:ser>
        <c:ser>
          <c:idx val="2"/>
          <c:order val="2"/>
          <c:tx>
            <c:strRef>
              <c:f>Calculations!$N$160</c:f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Calculations!$K$161:$K$211</c:f>
            </c:strRef>
          </c:cat>
          <c:val>
            <c:numRef>
              <c:f>Calculations!$N$161:$N$211</c:f>
              <c:numCache/>
            </c:numRef>
          </c:val>
          <c:smooth val="0"/>
        </c:ser>
        <c:axId val="1622815526"/>
        <c:axId val="1313006395"/>
      </c:lineChart>
      <c:catAx>
        <c:axId val="1622815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+skill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13006395"/>
      </c:catAx>
      <c:valAx>
        <c:axId val="131300639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43434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%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22815526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Total Damage increase for DPS stat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'Stat Conversion Curves'!$B$9</c:f>
            </c:strRef>
          </c:tx>
          <c:spPr>
            <a:solidFill>
              <a:srgbClr val="4285F4">
                <a:alpha val="30000"/>
              </a:srgbClr>
            </a:solidFill>
            <a:ln cmpd="sng" w="19050">
              <a:solidFill>
                <a:srgbClr val="4285F4"/>
              </a:solidFill>
            </a:ln>
          </c:spPr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'Stat Conversion Curves'!$A$10:$A$20</c:f>
            </c:strRef>
          </c:cat>
          <c:val>
            <c:numRef>
              <c:f>'Stat Conversion Curves'!$B$10:$B$20</c:f>
              <c:numCache/>
            </c:numRef>
          </c:val>
        </c:ser>
        <c:axId val="1469334691"/>
        <c:axId val="645998105"/>
      </c:areaChart>
      <c:catAx>
        <c:axId val="1469334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45998105"/>
      </c:catAx>
      <c:valAx>
        <c:axId val="6459981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69334691"/>
      </c:valAx>
    </c:plotArea>
    <c:legend>
      <c:legendPos val="tr"/>
      <c:overlay val="1"/>
      <c:txPr>
        <a:bodyPr/>
        <a:lstStyle/>
        <a:p>
          <a:pPr lvl="0">
            <a:defRPr b="0" sz="1200">
              <a:solidFill>
                <a:srgbClr val="222222"/>
              </a:solidFill>
              <a:latin typeface="Roboto"/>
            </a:defRPr>
          </a:pPr>
        </a:p>
      </c:txPr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Flurry% for overcap Haste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'Stat Conversion Curves'!$B$21</c:f>
            </c:strRef>
          </c:tx>
          <c:spPr>
            <a:solidFill>
              <a:srgbClr val="4285F4">
                <a:alpha val="30000"/>
              </a:srgbClr>
            </a:solidFill>
            <a:ln cmpd="sng" w="19050">
              <a:solidFill>
                <a:srgbClr val="4285F4"/>
              </a:solidFill>
            </a:ln>
          </c:spPr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'Stat Conversion Curves'!$A$22:$A$27</c:f>
            </c:strRef>
          </c:cat>
          <c:val>
            <c:numRef>
              <c:f>'Stat Conversion Curves'!$B$22:$B$27</c:f>
              <c:numCache/>
            </c:numRef>
          </c:val>
        </c:ser>
        <c:axId val="2062810016"/>
        <c:axId val="1911896782"/>
      </c:areaChart>
      <c:catAx>
        <c:axId val="206281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Attk Speed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11896782"/>
      </c:catAx>
      <c:valAx>
        <c:axId val="1911896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62810016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# of hits per swing for Multi-Attack Stat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'Stat Conversion Curves'!$B$30</c:f>
            </c:strRef>
          </c:tx>
          <c:spPr>
            <a:solidFill>
              <a:srgbClr val="4285F4">
                <a:alpha val="30000"/>
              </a:srgbClr>
            </a:solidFill>
            <a:ln cmpd="sng" w="19050">
              <a:solidFill>
                <a:srgbClr val="4285F4"/>
              </a:solidFill>
            </a:ln>
          </c:spPr>
          <c:cat>
            <c:strRef>
              <c:f>'Stat Conversion Curves'!$A$31:$A$55</c:f>
            </c:strRef>
          </c:cat>
          <c:val>
            <c:numRef>
              <c:f>'Stat Conversion Curves'!$B$31:$B$55</c:f>
              <c:numCache/>
            </c:numRef>
          </c:val>
        </c:ser>
        <c:axId val="1903795648"/>
        <c:axId val="264857037"/>
      </c:areaChart>
      <c:catAx>
        <c:axId val="1903795648"/>
        <c:scaling>
          <c:orientation val="minMax"/>
          <c:max val="12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64857037"/>
      </c:catAx>
      <c:valAx>
        <c:axId val="2648570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03795648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26</xdr:row>
      <xdr:rowOff>523875</xdr:rowOff>
    </xdr:from>
    <xdr:ext cx="3867150" cy="3028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142875</xdr:colOff>
      <xdr:row>44</xdr:row>
      <xdr:rowOff>76200</xdr:rowOff>
    </xdr:from>
    <xdr:ext cx="3924300" cy="27146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104775</xdr:colOff>
      <xdr:row>28</xdr:row>
      <xdr:rowOff>76200</xdr:rowOff>
    </xdr:from>
    <xdr:ext cx="4400550" cy="29527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676275</xdr:colOff>
      <xdr:row>1</xdr:row>
      <xdr:rowOff>161925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942975</xdr:colOff>
      <xdr:row>211</xdr:row>
      <xdr:rowOff>28575</xdr:rowOff>
    </xdr:from>
    <xdr:ext cx="8791575" cy="5438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428625</xdr:colOff>
      <xdr:row>14</xdr:row>
      <xdr:rowOff>180975</xdr:rowOff>
    </xdr:from>
    <xdr:ext cx="3924300" cy="30289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428625</xdr:colOff>
      <xdr:row>1</xdr:row>
      <xdr:rowOff>47625</xdr:rowOff>
    </xdr:from>
    <xdr:ext cx="3924300" cy="27146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514350</xdr:colOff>
      <xdr:row>1</xdr:row>
      <xdr:rowOff>47625</xdr:rowOff>
    </xdr:from>
    <xdr:ext cx="3867150" cy="27146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D1" s="3"/>
      <c r="F1" s="2" t="s">
        <v>1</v>
      </c>
      <c r="L1" s="4" t="s">
        <v>2</v>
      </c>
      <c r="M1" s="5">
        <v>1.151387387387387</v>
      </c>
    </row>
    <row r="2">
      <c r="A2" s="6" t="s">
        <v>3</v>
      </c>
      <c r="B2" s="7">
        <v>1.0</v>
      </c>
      <c r="D2" s="3"/>
      <c r="F2" s="2" t="s">
        <v>4</v>
      </c>
      <c r="G2" s="2" t="s">
        <v>5</v>
      </c>
      <c r="H2" s="2" t="s">
        <v>6</v>
      </c>
      <c r="I2" s="2"/>
      <c r="J2" s="2"/>
      <c r="K2" s="2"/>
      <c r="L2" s="4" t="s">
        <v>7</v>
      </c>
      <c r="M2" s="8">
        <v>849.8405405405422</v>
      </c>
    </row>
    <row r="3">
      <c r="A3" s="6" t="s">
        <v>8</v>
      </c>
      <c r="B3" s="7">
        <v>1.43181818181818</v>
      </c>
      <c r="D3" s="3"/>
      <c r="F3" s="2">
        <v>90.0</v>
      </c>
      <c r="G3" s="2">
        <v>36.0</v>
      </c>
      <c r="H3" s="2">
        <v>-72.0</v>
      </c>
      <c r="L3" s="4" t="s">
        <v>9</v>
      </c>
      <c r="M3" s="5">
        <v>0.9502612612612618</v>
      </c>
    </row>
    <row r="4">
      <c r="A4" s="6" t="s">
        <v>10</v>
      </c>
      <c r="B4" s="7">
        <v>1.43181818181818</v>
      </c>
      <c r="D4" s="9"/>
      <c r="F4" s="2">
        <v>0.2</v>
      </c>
      <c r="G4" s="2">
        <v>0.08</v>
      </c>
      <c r="H4" s="2">
        <v>0.29</v>
      </c>
      <c r="L4" s="4" t="s">
        <v>11</v>
      </c>
      <c r="M4" s="5">
        <v>0.1276486486486488</v>
      </c>
    </row>
    <row r="5">
      <c r="A5" s="1"/>
      <c r="D5" s="9"/>
      <c r="E5" s="7"/>
      <c r="F5">
        <f>G3*H4-H3*G4</f>
        <v>16.2</v>
      </c>
      <c r="G5">
        <f>H3*F4-F3*H4</f>
        <v>-40.5</v>
      </c>
      <c r="H5">
        <f>F3*G4-G3*F4</f>
        <v>0</v>
      </c>
      <c r="L5" s="4" t="s">
        <v>12</v>
      </c>
      <c r="M5" s="8">
        <v>310.063063063063</v>
      </c>
    </row>
    <row r="6">
      <c r="A6" s="1"/>
      <c r="C6" s="10"/>
      <c r="D6" s="9"/>
      <c r="E6" s="7"/>
      <c r="F6">
        <f t="shared" ref="F6:H6" si="1">F5/(4*pi()*10^-7)</f>
        <v>12891550.39</v>
      </c>
      <c r="G6">
        <f t="shared" si="1"/>
        <v>-32228875.98</v>
      </c>
      <c r="H6">
        <f t="shared" si="1"/>
        <v>0</v>
      </c>
      <c r="L6" s="4" t="s">
        <v>13</v>
      </c>
      <c r="M6" s="8">
        <v>418.0144144144147</v>
      </c>
      <c r="N6" s="1"/>
      <c r="P6" s="2" t="s">
        <v>14</v>
      </c>
      <c r="Q6" s="2" t="s">
        <v>15</v>
      </c>
      <c r="R6" s="2" t="s">
        <v>16</v>
      </c>
      <c r="S6" s="2" t="s">
        <v>17</v>
      </c>
      <c r="T6" s="2" t="s">
        <v>18</v>
      </c>
    </row>
    <row r="7">
      <c r="A7" s="1"/>
      <c r="D7" s="9"/>
      <c r="E7" s="11"/>
      <c r="F7">
        <f t="shared" ref="F7:G7" si="2">F6/10000000</f>
        <v>1.289155039</v>
      </c>
      <c r="G7">
        <f t="shared" si="2"/>
        <v>-3.222887598</v>
      </c>
      <c r="N7" s="6" t="s">
        <v>19</v>
      </c>
      <c r="O7" s="12">
        <f>1.3+800%-10%</f>
        <v>9.2</v>
      </c>
      <c r="P7" s="13">
        <v>719.0</v>
      </c>
      <c r="Q7" s="2">
        <v>2100.0</v>
      </c>
      <c r="R7" s="13">
        <v>719.0</v>
      </c>
      <c r="S7" s="2">
        <v>2100.0</v>
      </c>
    </row>
    <row r="8">
      <c r="A8" s="1"/>
      <c r="D8" s="9"/>
      <c r="E8" s="11"/>
      <c r="F8" s="14" t="s">
        <v>7</v>
      </c>
      <c r="G8" s="14" t="s">
        <v>9</v>
      </c>
      <c r="H8" s="14" t="s">
        <v>11</v>
      </c>
      <c r="I8" s="14" t="s">
        <v>12</v>
      </c>
      <c r="J8" s="14" t="s">
        <v>13</v>
      </c>
      <c r="N8" s="2" t="s">
        <v>20</v>
      </c>
      <c r="O8" s="12">
        <v>6.53</v>
      </c>
      <c r="P8" s="15">
        <f t="shared" ref="P8:Q8" si="3">P7*(1+$O$8)*(1+$O$9)*3.03186</f>
        <v>29201.75534</v>
      </c>
      <c r="Q8" s="15">
        <f t="shared" si="3"/>
        <v>85290.24508</v>
      </c>
      <c r="R8" s="2"/>
    </row>
    <row r="9">
      <c r="A9" s="6" t="s">
        <v>21</v>
      </c>
      <c r="B9" s="16" t="s">
        <v>22</v>
      </c>
      <c r="C9" s="6" t="s">
        <v>23</v>
      </c>
      <c r="D9" s="9" t="s">
        <v>24</v>
      </c>
      <c r="F9" s="17">
        <v>635.292429</v>
      </c>
      <c r="G9" s="18">
        <v>0.3893987382</v>
      </c>
      <c r="H9" s="18">
        <v>0.01839116719</v>
      </c>
      <c r="I9" s="17">
        <v>294.6899054</v>
      </c>
      <c r="J9" s="17">
        <v>359.6693375</v>
      </c>
      <c r="N9" s="6" t="s">
        <v>25</v>
      </c>
      <c r="O9" s="19">
        <v>0.779</v>
      </c>
      <c r="P9" s="2"/>
      <c r="Q9" s="2"/>
      <c r="R9" s="2"/>
    </row>
    <row r="10">
      <c r="A10" s="6">
        <v>0.0</v>
      </c>
      <c r="B10" s="7">
        <v>0.0</v>
      </c>
      <c r="C10" s="20">
        <v>0.0</v>
      </c>
      <c r="D10" s="3">
        <v>0.0</v>
      </c>
      <c r="F10" s="4"/>
      <c r="P10">
        <f t="shared" ref="P10:Q10" si="4">P8*$O$7</f>
        <v>268656.1491</v>
      </c>
      <c r="Q10">
        <f t="shared" si="4"/>
        <v>784670.2547</v>
      </c>
      <c r="R10">
        <f>average(P10:Q10)</f>
        <v>526663.2019</v>
      </c>
      <c r="S10">
        <f>R10*($H$15+3.05*$I$14)</f>
        <v>2744404.289</v>
      </c>
      <c r="T10">
        <f>S10/4</f>
        <v>686101.0722</v>
      </c>
    </row>
    <row r="11">
      <c r="A11" s="6">
        <v>100.0</v>
      </c>
      <c r="B11" s="7">
        <v>100.0</v>
      </c>
      <c r="C11" s="21">
        <f t="shared" ref="C11:C19" si="5">(B11-B10)/(A11-A10)</f>
        <v>1</v>
      </c>
      <c r="D11" s="3">
        <v>100.0</v>
      </c>
      <c r="H11" s="7" t="s">
        <v>26</v>
      </c>
    </row>
    <row r="12">
      <c r="A12" s="6">
        <v>200.0</v>
      </c>
      <c r="B12" s="7">
        <v>200.0</v>
      </c>
      <c r="C12" s="21">
        <f t="shared" si="5"/>
        <v>1</v>
      </c>
      <c r="D12" s="3">
        <v>100.0</v>
      </c>
      <c r="F12" s="22" t="s">
        <v>27</v>
      </c>
      <c r="G12" s="23">
        <v>0.776</v>
      </c>
      <c r="H12">
        <f>(1+H13)*(H15+3.05*H14)</f>
        <v>42.64911279</v>
      </c>
      <c r="I12" s="2" t="s">
        <v>28</v>
      </c>
      <c r="J12" s="2" t="s">
        <v>29</v>
      </c>
      <c r="K12" s="24" t="s">
        <v>30</v>
      </c>
      <c r="L12" s="2" t="s">
        <v>31</v>
      </c>
      <c r="M12" s="25" t="s">
        <v>32</v>
      </c>
      <c r="P12" s="2" t="s">
        <v>33</v>
      </c>
      <c r="Q12">
        <v>519880.38140312035</v>
      </c>
    </row>
    <row r="13">
      <c r="A13" s="6">
        <v>300.0</v>
      </c>
      <c r="B13" s="7">
        <v>300.0</v>
      </c>
      <c r="C13" s="21">
        <f t="shared" si="5"/>
        <v>1</v>
      </c>
      <c r="D13" s="3">
        <v>50.0</v>
      </c>
      <c r="F13" s="22" t="s">
        <v>21</v>
      </c>
      <c r="G13" s="26">
        <v>1125.0</v>
      </c>
      <c r="H13" s="27">
        <f>if(AND($G13&gt;=$A14,$G13&lt;=$A15),(($G13-$A14)*$C15+$B14)/100,if(AND($G13&gt;=$A15,$G13&lt;=$A16),(($G13-$A15)*$C16+$B15)/100,if(AND($G13&gt;=$A16,$G13&lt;=$A17),(($G13-$A16)*$C17+$B16)/100,if(AND($G13&gt;=$A17,$G13&lt;=$A18),(($G13-$A17)*$C18+$B17)/100,if(AND($G13&gt;=$A18,$G13&lt;=$A19),(($G13-$A18)*$C19+$B18)/100,FALSE)))))</f>
        <v>7.208333333</v>
      </c>
      <c r="I13" s="28">
        <f t="shared" ref="I13:J13" si="6">if(AND(($G13+50)&gt;=$A14,($G13+50)&lt;=$A15),((($G13+50)-$A14)*$C15+$B14)/100,if(AND(($G13+50)&gt;=$A15,($G13+50)&lt;=$A16),((($G13+50)-$A15)*$C16+$B15)/100,if(AND(($G13+50)&gt;=$A16,($G13+50)&lt;=$A17),((($G13+50)-$A16)*$C17+$B16)/100,if(AND(($G13+50)&gt;=$A17,($G13+50)&lt;=$A18),((($G13+50)-$A17)*$C18+$B17)/100,if(AND(($G13+50)&gt;=$A18,($G13+50)&lt;=$A19),((($G13+50)-$A18)*$C19+$B18)/100,FALSE)))))</f>
        <v>7.291666667</v>
      </c>
      <c r="J13" s="29">
        <f t="shared" si="6"/>
        <v>7.291666667</v>
      </c>
      <c r="K13" s="30">
        <f t="shared" ref="K13:L13" si="7">(1+I$13)*($H15+3.05*$H14)</f>
        <v>43.08209871</v>
      </c>
      <c r="L13" s="30">
        <f t="shared" si="7"/>
        <v>43.08209871</v>
      </c>
      <c r="M13" s="30">
        <f t="shared" ref="M13:M15" si="9">K13-(1+H$13)*(H$15+3.05*H$14)</f>
        <v>0.4329859167</v>
      </c>
      <c r="N13" s="28">
        <f t="shared" ref="N13:N15" si="10">(L13-$H$12)/$H$12</f>
        <v>0.01015228426</v>
      </c>
      <c r="P13" s="2" t="s">
        <v>25</v>
      </c>
      <c r="Q13">
        <v>548833.7345649174</v>
      </c>
    </row>
    <row r="14">
      <c r="A14" s="6">
        <v>400.0</v>
      </c>
      <c r="B14" s="7">
        <v>400.0</v>
      </c>
      <c r="C14" s="21">
        <f t="shared" si="5"/>
        <v>1</v>
      </c>
      <c r="D14" s="3">
        <v>33.33333333333333</v>
      </c>
      <c r="F14" s="22" t="s">
        <v>34</v>
      </c>
      <c r="G14" s="26">
        <f>414+60</f>
        <v>474</v>
      </c>
      <c r="H14" s="27">
        <f>$G$12+if(AND($G14&gt;=$A22,$G14&lt;=$A23),(($G14-$A22)*$C23+$B22)/100,if(AND($G14&gt;=$A23,$G14&lt;=$A24),(($G14-$A23)*$C24+$B23)/100,if(AND($G14&gt;=$A24,$G14&lt;=$A25),(($G14-$A24)*$C25+$B24)/100,if(AND($G14&gt;=$A25,$G14&lt;=$A26),(($G14-$A25)*$C26+$B25)/100,if(AND($G14&gt;=$A26,$G14&lt;=$A27),(($G14-$A26)*$C27+$B26)/100,FALSE)))))</f>
        <v>0.90142</v>
      </c>
      <c r="I14" s="27">
        <f>$G$12+if(AND(($G14+15)&gt;=$A22,($G14+15)&lt;=$A23),((($G14+15)-$A22)*$C23+$B22)/100,if(AND(($G14+15)&gt;=$A23,($G14+15)&lt;=$A24),((($G14+15)-$A23)*$C24+$B23)/100,if(AND(($G14+15)&gt;=$A24,($G14+15)&lt;=$A25),((($G14+15)-$A24)*$C25+$B24)/100,if(AND(($G14+15)&gt;=$A25,($G14+15)&lt;=$A26),((($G14+15)-$A25)*$C26+$B25)/100,if(AND(($G14+15)&gt;=$A26,($G14+15)&lt;=$A27),((($G14+15)-$A26)*$C27+$B26)/100,FALSE)))))</f>
        <v>0.90637</v>
      </c>
      <c r="J14" s="28">
        <f>$G$12+if(AND(($G14+50*1.43181818181818)&gt;=$A22,($G14+50*1.43181818181818)&lt;=$A23),((($G14+50*1.43181818181818)-$A22)*$C23+$B22)/100,if(AND(($G14+50*1.43181818181818)&gt;=$A23,($G14+50*1.43181818181818)&lt;=$A24),((($G14+50*1.43181818181818)-$A23)*$C24+$B23)/100,if(AND(($G14+50*1.43181818181818)&gt;=$A24,($G14+50*1.43181818181818)&lt;=$A25),((($G14+50*1.43181818181818)-$A24)*$C25+$B24)/100,if(AND(($G14+50*1.43181818181818)&gt;=$A25,($G14+50*1.43181818181818)&lt;=$A26),((($G14+50*1.43181818181818)-$A25)*$C26+$B25)/100,if(AND(($G14+50*1.43181818181818)&gt;=$A26,($G14+50*1.43181818181818)&lt;=$A27),((($G14+50*1.43181818181818)-$A26)*$C27+$B26)/100,FALSE)))))</f>
        <v>0.9241331818</v>
      </c>
      <c r="K14" s="30">
        <f t="shared" ref="K14:L14" si="8">(1+$H13)*($H15+3.05*I14)</f>
        <v>42.7730381</v>
      </c>
      <c r="L14" s="30">
        <f t="shared" si="8"/>
        <v>43.21774676</v>
      </c>
      <c r="M14" s="30">
        <f t="shared" si="9"/>
        <v>0.1239253125</v>
      </c>
      <c r="N14" s="28">
        <f t="shared" si="10"/>
        <v>0.01333284407</v>
      </c>
      <c r="P14" s="2" t="s">
        <v>35</v>
      </c>
      <c r="Q14">
        <f>Q13-Q12</f>
        <v>28953.35316</v>
      </c>
    </row>
    <row r="15">
      <c r="A15" s="6">
        <v>500.0</v>
      </c>
      <c r="B15" s="7">
        <v>500.0</v>
      </c>
      <c r="C15" s="21">
        <f t="shared" si="5"/>
        <v>1</v>
      </c>
      <c r="D15" s="3">
        <v>25.0</v>
      </c>
      <c r="E15">
        <f>((721.2+206.7-600)/(A17-A16)*100%+600%+1)/7.3</f>
        <v>1.07119863</v>
      </c>
      <c r="F15" s="22" t="s">
        <v>12</v>
      </c>
      <c r="G15" s="31">
        <f>403+90</f>
        <v>493</v>
      </c>
      <c r="H15" s="27">
        <f>if(AND($G15&gt;=$A50,$G15&lt;=$A51),(($G15-$A50)*$C51+$B50)/100,if(AND($G15&gt;=$A51,$G15&lt;=$A52),(($G15-$A51)*$C52+$B51)/100,if(AND($G15&gt;=$A52,$G15&lt;=$A53),(($G15-$A52)*$C53+$B52)/100,if(AND($G15&gt;=$A53,$G15&lt;=$A54),(($G15-$A53)*$C54+$B53)/100,if(AND($G15&gt;=$A54,$G15&lt;=$A55),(($G15-$A54)*$C55+$B54)/100,FALSE)))))</f>
        <v>2.4465</v>
      </c>
      <c r="I15" s="27">
        <f>if(AND(($G15+50)&gt;=$A50,($G15+50)&lt;=$A51),((($G15+50)-$A50)*$C51+$B50)/100,if(AND(($G15+50)&gt;=$A51,($G15+50)&lt;=$A52),((($G15+50)-$A51)*$C52+$B51)/100,if(AND(($G15+50)&gt;=$A52,($G15+50)&lt;=$A53),((($G15+50)-$A52)*$C53+$B52)/100,if(AND(($G15+50)&gt;=$A53,($G15+50)&lt;=$A54),((($G15+50)-$A53)*$C54+$B53)/100,if(AND(($G15+50)&gt;=$A54,($G15+50)&lt;=$A55),((($G15+50)-$A54)*$C55+$B54)/100,FALSE)))))</f>
        <v>2.4715</v>
      </c>
      <c r="J15" s="29">
        <f>if(AND(($G15+50*1.43181818181818)&gt;=$A50,($G15+50*1.43181818181818)&lt;=$A51),((($G15+50*1.43181818181818)-$A50)*$C51+$B50)/100,if(AND(($G15+50*1.43181818181818)&gt;=$A51,($G15+50*1.43181818181818)&lt;=$A52),((($G15+50*1.43181818181818)-$A51)*$C52+$B51)/100,if(AND(($G15+50*1.43181818181818)&gt;=$A52,($G15+50*1.43181818181818)&lt;=$A53),((($G15+50*1.43181818181818)-$A52)*$C53+$B52)/100,if(AND(($G15+50*1.43181818181818)&gt;=$A53,($G15+50*1.43181818181818)&lt;=$A54),((($G15+50*1.43181818181818)-$A53)*$C54+$B53)/100,if(AND(($G15+50*1.43181818181818)&gt;=$A54,($G15+50*1.43181818181818)&lt;=$A55),((($G15+50*1.43181818181818)-$A54)*$C55+$B54)/100,FALSE)))))</f>
        <v>2.482295455</v>
      </c>
      <c r="K15" s="30">
        <f t="shared" ref="K15:L15" si="11">(1+$H13)*(I15+3.05*$H14)</f>
        <v>42.85432113</v>
      </c>
      <c r="L15" s="30">
        <f t="shared" si="11"/>
        <v>42.94293381</v>
      </c>
      <c r="M15" s="30">
        <f t="shared" si="9"/>
        <v>0.2052083333</v>
      </c>
      <c r="N15" s="28">
        <f t="shared" si="10"/>
        <v>0.006889264594</v>
      </c>
      <c r="Q15">
        <f>Q14/330</f>
        <v>87.73743382</v>
      </c>
    </row>
    <row r="16">
      <c r="A16" s="6">
        <v>600.0</v>
      </c>
      <c r="B16" s="7">
        <v>600.0</v>
      </c>
      <c r="C16" s="21">
        <f t="shared" si="5"/>
        <v>1</v>
      </c>
      <c r="D16" s="3">
        <v>19.999999999999996</v>
      </c>
      <c r="E16">
        <f>700%+E18*(100%/(A17-A16))</f>
        <v>7.174665179</v>
      </c>
      <c r="F16">
        <f>8/7.63</f>
        <v>1.048492792</v>
      </c>
      <c r="G16" s="28">
        <f>H14-G12</f>
        <v>0.12542</v>
      </c>
      <c r="I16" s="27">
        <f>H17*(I13-H13)/50+H13</f>
        <v>7.210405176</v>
      </c>
      <c r="L16" t="str">
        <f>if(MAX(L13:L15)=L13,"DPS",if(MAX(L13:L15)=L14,"ASPD",if(MAX(L13:L15)=L15,"MA","")))</f>
        <v>ASPD</v>
      </c>
    </row>
    <row r="17">
      <c r="A17" s="6">
        <v>1000.0</v>
      </c>
      <c r="B17" s="7">
        <v>700.0</v>
      </c>
      <c r="C17" s="21">
        <f t="shared" si="5"/>
        <v>0.25</v>
      </c>
      <c r="D17" s="3">
        <v>16.666666666666675</v>
      </c>
      <c r="E17">
        <f>134.4/93.9</f>
        <v>1.431309904</v>
      </c>
      <c r="H17">
        <f>H12/I18</f>
        <v>1.243105706</v>
      </c>
      <c r="I17">
        <f>H17-1</f>
        <v>0.2431057064</v>
      </c>
      <c r="J17">
        <v>0.0075823010030517946</v>
      </c>
    </row>
    <row r="18">
      <c r="A18" s="6">
        <v>1600.0</v>
      </c>
      <c r="B18" s="7">
        <v>800.0</v>
      </c>
      <c r="C18" s="21">
        <f t="shared" si="5"/>
        <v>0.1666666667</v>
      </c>
      <c r="D18" s="3">
        <v>14.28571428571428</v>
      </c>
      <c r="E18">
        <f>100/E17</f>
        <v>69.86607143</v>
      </c>
      <c r="F18" s="12"/>
      <c r="G18" s="22" t="s">
        <v>27</v>
      </c>
      <c r="H18" s="7">
        <v>0.6390000000000001</v>
      </c>
      <c r="I18">
        <v>34.30851662250001</v>
      </c>
      <c r="J18">
        <v>35.0918277975</v>
      </c>
      <c r="K18">
        <f>J18/I18</f>
        <v>1.022831392</v>
      </c>
    </row>
    <row r="19">
      <c r="A19" s="6">
        <v>2300.0</v>
      </c>
      <c r="B19" s="7">
        <v>900.0</v>
      </c>
      <c r="C19" s="21">
        <f t="shared" si="5"/>
        <v>0.1428571429</v>
      </c>
      <c r="D19" s="3">
        <v>12.5</v>
      </c>
      <c r="E19">
        <f>382*((700-600)/400)+600</f>
        <v>695.5</v>
      </c>
      <c r="F19" s="12"/>
      <c r="G19" s="22" t="s">
        <v>21</v>
      </c>
      <c r="H19" s="7">
        <v>773.0</v>
      </c>
      <c r="I19">
        <v>6.4325</v>
      </c>
      <c r="J19">
        <v>6.4325</v>
      </c>
      <c r="K19">
        <v>1.0228313915060463</v>
      </c>
      <c r="M19">
        <f>K14/H12-1</f>
        <v>0.00290569497</v>
      </c>
    </row>
    <row r="20">
      <c r="A20" s="6" t="s">
        <v>36</v>
      </c>
      <c r="C20" s="1"/>
      <c r="D20" s="3"/>
      <c r="E20">
        <f>(800/795.5-1)*6100000</f>
        <v>34506.59962</v>
      </c>
      <c r="F20" s="12"/>
      <c r="G20" s="22" t="s">
        <v>34</v>
      </c>
      <c r="H20" s="7">
        <v>402.0</v>
      </c>
      <c r="I20">
        <v>0.7406600000000001</v>
      </c>
      <c r="J20">
        <v>0.7604600000000001</v>
      </c>
      <c r="M20">
        <v>0.002878959558603178</v>
      </c>
    </row>
    <row r="21">
      <c r="A21" s="6" t="s">
        <v>37</v>
      </c>
      <c r="B21" s="2" t="s">
        <v>38</v>
      </c>
      <c r="C21" s="6" t="s">
        <v>23</v>
      </c>
      <c r="D21" s="9" t="s">
        <v>24</v>
      </c>
      <c r="F21" s="12"/>
      <c r="G21" s="22" t="s">
        <v>12</v>
      </c>
      <c r="H21" s="7">
        <v>314.0</v>
      </c>
      <c r="I21" s="32">
        <v>2.3569999999999998</v>
      </c>
      <c r="J21">
        <v>2.4019999999999997</v>
      </c>
    </row>
    <row r="22">
      <c r="A22" s="6">
        <v>200.0</v>
      </c>
      <c r="B22" s="7">
        <v>0.0</v>
      </c>
      <c r="C22" s="1">
        <f>B22/A22</f>
        <v>0</v>
      </c>
      <c r="D22" s="3">
        <v>0.0</v>
      </c>
      <c r="F22" s="12"/>
      <c r="I22" s="2"/>
    </row>
    <row r="23">
      <c r="A23" s="6">
        <v>300.0</v>
      </c>
      <c r="B23" s="7">
        <v>6.8</v>
      </c>
      <c r="C23" s="21">
        <f t="shared" ref="C23:C27" si="12">(B23-B22)/(A23-A22)</f>
        <v>0.068</v>
      </c>
      <c r="D23" s="3">
        <v>100.0</v>
      </c>
      <c r="E23">
        <f>C23*(44+25)/100</f>
        <v>0.04692</v>
      </c>
      <c r="F23" s="12"/>
      <c r="H23">
        <v>25.31470725</v>
      </c>
      <c r="J23" s="2" t="s">
        <v>39</v>
      </c>
      <c r="K23">
        <v>41.78403654166667</v>
      </c>
    </row>
    <row r="24">
      <c r="A24" s="6">
        <v>500.0</v>
      </c>
      <c r="B24" s="7">
        <v>13.4</v>
      </c>
      <c r="C24" s="21">
        <f t="shared" si="12"/>
        <v>0.033</v>
      </c>
      <c r="D24" s="3">
        <v>97.05882352941177</v>
      </c>
      <c r="E24" s="21">
        <f>C23+C24+81.5/100</f>
        <v>0.916</v>
      </c>
      <c r="F24" s="33">
        <f>(446.8+295.8-700)/200*(B26-B25)+B25</f>
        <v>20.878</v>
      </c>
      <c r="H24">
        <f>H12/H23</f>
        <v>1.684756311</v>
      </c>
      <c r="K24">
        <v>42.64911279166667</v>
      </c>
      <c r="L24">
        <f>K24/K23</f>
        <v>1.020703511</v>
      </c>
    </row>
    <row r="25">
      <c r="A25" s="6">
        <v>700.0</v>
      </c>
      <c r="B25" s="7">
        <v>19.6</v>
      </c>
      <c r="C25" s="21">
        <f t="shared" si="12"/>
        <v>0.031</v>
      </c>
      <c r="D25" s="3">
        <v>46.26865671641791</v>
      </c>
      <c r="E25" s="21">
        <f>C23+2*C24+C25*61/100</f>
        <v>0.15291</v>
      </c>
      <c r="F25" s="12">
        <f>(55.5-11.6+20.88)</f>
        <v>64.78</v>
      </c>
      <c r="G25" s="34">
        <f>F25-55.5</f>
        <v>9.28</v>
      </c>
      <c r="L25">
        <v>1.02070351075673</v>
      </c>
    </row>
    <row r="26">
      <c r="A26" s="6">
        <v>900.0</v>
      </c>
      <c r="B26" s="7">
        <v>25.6</v>
      </c>
      <c r="C26" s="21">
        <f t="shared" si="12"/>
        <v>0.03</v>
      </c>
      <c r="D26" s="3">
        <v>30.612244897959172</v>
      </c>
      <c r="E26">
        <f>B26-B24</f>
        <v>12.2</v>
      </c>
      <c r="F26" s="12"/>
      <c r="G26">
        <f>9.28*24673</f>
        <v>228965.44</v>
      </c>
    </row>
    <row r="27">
      <c r="A27" s="6">
        <v>1200.0</v>
      </c>
      <c r="B27" s="7">
        <v>31.4</v>
      </c>
      <c r="C27" s="21">
        <f t="shared" si="12"/>
        <v>0.01933333333</v>
      </c>
      <c r="D27" s="3">
        <v>22.65624999999998</v>
      </c>
      <c r="F27" s="12"/>
    </row>
    <row r="28">
      <c r="A28" s="1"/>
      <c r="C28" s="1"/>
      <c r="D28" s="3"/>
    </row>
    <row r="29">
      <c r="A29" s="1"/>
      <c r="C29" s="1"/>
      <c r="D29" s="3"/>
    </row>
    <row r="30">
      <c r="A30" s="6" t="s">
        <v>12</v>
      </c>
      <c r="B30" s="2" t="s">
        <v>40</v>
      </c>
      <c r="C30" s="6" t="s">
        <v>23</v>
      </c>
      <c r="D30" s="9" t="s">
        <v>24</v>
      </c>
    </row>
    <row r="31">
      <c r="A31" s="6">
        <v>10.0</v>
      </c>
      <c r="B31" s="6">
        <v>112.0</v>
      </c>
      <c r="C31" s="21">
        <f>12%/10</f>
        <v>0.012</v>
      </c>
      <c r="D31" s="3">
        <v>10.0</v>
      </c>
    </row>
    <row r="32">
      <c r="A32" s="6">
        <v>20.0</v>
      </c>
      <c r="B32" s="6">
        <v>122.0</v>
      </c>
      <c r="C32" s="21">
        <f t="shared" ref="C32:C55" si="13">(B32-B31)/(A32-A31)</f>
        <v>1</v>
      </c>
      <c r="D32" s="3">
        <v>8.92857142857142</v>
      </c>
      <c r="E32" s="27">
        <f t="shared" ref="E32:E50" si="14">(B32-B31)/(A32-A31)</f>
        <v>1</v>
      </c>
    </row>
    <row r="33">
      <c r="A33" s="6">
        <v>30.0</v>
      </c>
      <c r="B33" s="6">
        <v>133.0</v>
      </c>
      <c r="C33" s="21">
        <f t="shared" si="13"/>
        <v>1.1</v>
      </c>
      <c r="D33" s="3">
        <v>9.016393442622949</v>
      </c>
      <c r="E33" s="27">
        <f t="shared" si="14"/>
        <v>1.1</v>
      </c>
    </row>
    <row r="34">
      <c r="A34" s="6">
        <v>40.0</v>
      </c>
      <c r="B34" s="6">
        <v>143.0</v>
      </c>
      <c r="C34" s="21">
        <f t="shared" si="13"/>
        <v>1</v>
      </c>
      <c r="D34" s="3">
        <v>7.518796992481214</v>
      </c>
      <c r="E34" s="27">
        <f t="shared" si="14"/>
        <v>1</v>
      </c>
      <c r="H34" s="7" t="s">
        <v>3</v>
      </c>
      <c r="I34" s="7" t="s">
        <v>41</v>
      </c>
    </row>
    <row r="35">
      <c r="A35" s="6">
        <v>50.0</v>
      </c>
      <c r="B35" s="6">
        <v>152.0</v>
      </c>
      <c r="C35" s="21">
        <f t="shared" si="13"/>
        <v>0.9</v>
      </c>
      <c r="D35" s="3">
        <v>6.2937062937062915</v>
      </c>
      <c r="E35" s="27">
        <f t="shared" si="14"/>
        <v>0.9</v>
      </c>
      <c r="H35" s="7" t="s">
        <v>42</v>
      </c>
    </row>
    <row r="36">
      <c r="A36" s="6">
        <v>60.0</v>
      </c>
      <c r="B36" s="6">
        <v>161.0</v>
      </c>
      <c r="C36" s="21">
        <f t="shared" si="13"/>
        <v>0.9</v>
      </c>
      <c r="D36" s="3">
        <v>5.921052631578938</v>
      </c>
      <c r="E36" s="27">
        <f t="shared" si="14"/>
        <v>0.9</v>
      </c>
    </row>
    <row r="37">
      <c r="A37" s="6">
        <v>70.0</v>
      </c>
      <c r="B37" s="6">
        <v>169.0</v>
      </c>
      <c r="C37" s="21">
        <f t="shared" si="13"/>
        <v>0.8</v>
      </c>
      <c r="D37" s="3">
        <v>4.968944099378891</v>
      </c>
      <c r="E37" s="27">
        <f t="shared" si="14"/>
        <v>0.8</v>
      </c>
      <c r="H37" s="7">
        <v>200.0</v>
      </c>
      <c r="I37" t="b">
        <f>if(AND(H37&gt;=A23,H37&lt;=A24),((H37-A23)*C24+B23)/100,if(AND(H38&gt;=A24,H38&lt;=A25),((H38-A24)*C25+B24)/100,if(AND(H39&gt;=A25,H39&lt;=A26),((H39-A25)*C26+B25)/100,if(AND(H40&gt;=A26,H40&lt;=A27),((H40-A26)*C27+B26)/100,FALSE))))</f>
        <v>0</v>
      </c>
    </row>
    <row r="38">
      <c r="A38" s="6">
        <v>80.0</v>
      </c>
      <c r="B38" s="6">
        <v>177.0</v>
      </c>
      <c r="C38" s="21">
        <f t="shared" si="13"/>
        <v>0.8</v>
      </c>
      <c r="D38" s="3">
        <v>4.7337278106508895</v>
      </c>
      <c r="E38" s="27">
        <f t="shared" si="14"/>
        <v>0.8</v>
      </c>
      <c r="H38" s="7">
        <v>346.7</v>
      </c>
      <c r="I38" t="b">
        <f>if(AND(H38&gt;=A24,H38&lt;=A25),((H38-A24)*C25+B24)/100,if(AND(H39&gt;=A25,H39&lt;=A26),((H39-A25)*C26+B25)/100,if(AND(H40&gt;=A26,H40&lt;=A27),((H40-A26)*C27+B26)/100,FALSE)))</f>
        <v>0</v>
      </c>
    </row>
    <row r="39">
      <c r="A39" s="6">
        <v>90.0</v>
      </c>
      <c r="B39" s="6">
        <v>184.0</v>
      </c>
      <c r="C39" s="21">
        <f t="shared" si="13"/>
        <v>0.7</v>
      </c>
      <c r="D39" s="3">
        <v>3.9548022598870025</v>
      </c>
      <c r="E39" s="27">
        <f t="shared" si="14"/>
        <v>0.7</v>
      </c>
      <c r="H39" s="7">
        <v>346.7</v>
      </c>
      <c r="I39" t="b">
        <f>if(AND(H39&gt;=A25,H39&lt;=A26),((H39-A25)*C26+B25)/100,if(AND(H40&gt;=A26,H40&lt;=A27),((H40-A26)*C27+B26)/100,FALSE))</f>
        <v>0</v>
      </c>
    </row>
    <row r="40">
      <c r="A40" s="6">
        <v>100.0</v>
      </c>
      <c r="B40" s="6">
        <v>191.0</v>
      </c>
      <c r="C40" s="21">
        <f t="shared" si="13"/>
        <v>0.7</v>
      </c>
      <c r="D40" s="3">
        <v>3.8043478260869623</v>
      </c>
      <c r="E40" s="27">
        <f t="shared" si="14"/>
        <v>0.7</v>
      </c>
      <c r="H40" s="7">
        <v>346.7</v>
      </c>
      <c r="I40" t="b">
        <f>if(AND(H40&gt;=A26,H40&lt;=A27),((H40-A26)*C27+B26)/100,FALSE)</f>
        <v>0</v>
      </c>
    </row>
    <row r="41">
      <c r="A41" s="6">
        <v>110.0</v>
      </c>
      <c r="B41" s="6">
        <v>197.0</v>
      </c>
      <c r="C41" s="21">
        <f t="shared" si="13"/>
        <v>0.6</v>
      </c>
      <c r="D41" s="3">
        <v>3.141361256544495</v>
      </c>
      <c r="E41" s="27">
        <f t="shared" si="14"/>
        <v>0.6</v>
      </c>
    </row>
    <row r="42">
      <c r="A42" s="6">
        <v>120.0</v>
      </c>
      <c r="B42" s="6">
        <v>202.0</v>
      </c>
      <c r="C42" s="21">
        <f t="shared" si="13"/>
        <v>0.5</v>
      </c>
      <c r="D42" s="3">
        <v>2.538071065989844</v>
      </c>
      <c r="E42" s="27">
        <f t="shared" si="14"/>
        <v>0.5</v>
      </c>
    </row>
    <row r="43">
      <c r="A43" s="6">
        <v>130.0</v>
      </c>
      <c r="B43" s="6">
        <v>207.0</v>
      </c>
      <c r="C43" s="21">
        <f t="shared" si="13"/>
        <v>0.5</v>
      </c>
      <c r="D43" s="3">
        <v>2.4752475247524774</v>
      </c>
      <c r="E43" s="27">
        <f t="shared" si="14"/>
        <v>0.5</v>
      </c>
    </row>
    <row r="44">
      <c r="A44" s="6">
        <v>140.0</v>
      </c>
      <c r="B44" s="6">
        <v>211.0</v>
      </c>
      <c r="C44" s="21">
        <f t="shared" si="13"/>
        <v>0.4</v>
      </c>
      <c r="D44" s="3">
        <v>1.9323671497584627</v>
      </c>
      <c r="E44" s="27">
        <f t="shared" si="14"/>
        <v>0.4</v>
      </c>
    </row>
    <row r="45">
      <c r="A45" s="6">
        <v>150.0</v>
      </c>
      <c r="B45" s="6">
        <v>215.0</v>
      </c>
      <c r="C45" s="21">
        <f t="shared" si="13"/>
        <v>0.4</v>
      </c>
      <c r="D45" s="3">
        <v>1.8957345971563955</v>
      </c>
      <c r="E45" s="27">
        <f t="shared" si="14"/>
        <v>0.4</v>
      </c>
    </row>
    <row r="46">
      <c r="A46" s="6">
        <v>160.0</v>
      </c>
      <c r="B46" s="6">
        <v>218.0</v>
      </c>
      <c r="C46" s="21">
        <f t="shared" si="13"/>
        <v>0.3</v>
      </c>
      <c r="D46" s="3">
        <v>1.3953488372093092</v>
      </c>
      <c r="E46" s="27">
        <f t="shared" si="14"/>
        <v>0.3</v>
      </c>
    </row>
    <row r="47">
      <c r="A47" s="6">
        <v>170.0</v>
      </c>
      <c r="B47" s="6">
        <v>221.0</v>
      </c>
      <c r="C47" s="21">
        <f t="shared" si="13"/>
        <v>0.3</v>
      </c>
      <c r="D47" s="3">
        <v>1.3761467889908285</v>
      </c>
      <c r="E47" s="27">
        <f t="shared" si="14"/>
        <v>0.3</v>
      </c>
    </row>
    <row r="48">
      <c r="A48" s="6">
        <v>180.0</v>
      </c>
      <c r="B48" s="6">
        <v>223.0</v>
      </c>
      <c r="C48" s="21">
        <f t="shared" si="13"/>
        <v>0.2</v>
      </c>
      <c r="D48" s="3">
        <v>0.9049773755656076</v>
      </c>
      <c r="E48" s="27">
        <f t="shared" si="14"/>
        <v>0.2</v>
      </c>
    </row>
    <row r="49">
      <c r="A49" s="6">
        <v>190.0</v>
      </c>
      <c r="B49" s="6">
        <v>224.0</v>
      </c>
      <c r="C49" s="21">
        <f t="shared" si="13"/>
        <v>0.1</v>
      </c>
      <c r="D49" s="3">
        <v>0.4484304932735439</v>
      </c>
      <c r="E49" s="27">
        <f t="shared" si="14"/>
        <v>0.1</v>
      </c>
    </row>
    <row r="50">
      <c r="A50" s="6">
        <v>200.0</v>
      </c>
      <c r="B50" s="6">
        <v>225.0</v>
      </c>
      <c r="C50" s="21">
        <f t="shared" si="13"/>
        <v>0.1</v>
      </c>
      <c r="D50" s="3">
        <v>0.44642857142858094</v>
      </c>
      <c r="E50" s="27">
        <f t="shared" si="14"/>
        <v>0.1</v>
      </c>
    </row>
    <row r="51">
      <c r="A51" s="6">
        <v>300.0</v>
      </c>
      <c r="B51" s="6">
        <v>235.0</v>
      </c>
      <c r="C51" s="21">
        <f t="shared" si="13"/>
        <v>0.1</v>
      </c>
      <c r="D51" s="3">
        <v>4.444444444444451</v>
      </c>
    </row>
    <row r="52">
      <c r="A52" s="6">
        <v>500.0</v>
      </c>
      <c r="B52" s="6">
        <v>245.0</v>
      </c>
      <c r="C52" s="21">
        <f t="shared" si="13"/>
        <v>0.05</v>
      </c>
      <c r="D52" s="3">
        <v>4.255319148936176</v>
      </c>
    </row>
    <row r="53">
      <c r="A53" s="6">
        <v>700.0</v>
      </c>
      <c r="B53" s="6">
        <v>255.0</v>
      </c>
      <c r="C53" s="21">
        <f t="shared" si="13"/>
        <v>0.05</v>
      </c>
      <c r="D53" s="3">
        <v>4.081632653061229</v>
      </c>
    </row>
    <row r="54">
      <c r="A54" s="6">
        <v>900.0</v>
      </c>
      <c r="B54" s="6">
        <v>265.0</v>
      </c>
      <c r="C54" s="21">
        <f t="shared" si="13"/>
        <v>0.05</v>
      </c>
      <c r="D54" s="3">
        <v>3.9215686274509887</v>
      </c>
    </row>
    <row r="55">
      <c r="A55" s="6">
        <v>1200.0</v>
      </c>
      <c r="B55" s="6">
        <v>275.0</v>
      </c>
      <c r="C55" s="21">
        <f t="shared" si="13"/>
        <v>0.03333333333</v>
      </c>
      <c r="D55" s="3">
        <v>3.7735849056603765</v>
      </c>
    </row>
    <row r="56">
      <c r="A56" s="1"/>
      <c r="D56" s="3"/>
    </row>
    <row r="57">
      <c r="A57" s="1"/>
      <c r="D57" s="3"/>
    </row>
    <row r="58">
      <c r="A58" s="1"/>
      <c r="B58">
        <f t="shared" ref="B58:B82" si="15">B31*100</f>
        <v>11200</v>
      </c>
      <c r="D58" s="3"/>
    </row>
    <row r="59">
      <c r="A59" s="1"/>
      <c r="B59">
        <f t="shared" si="15"/>
        <v>12200</v>
      </c>
      <c r="D59" s="3"/>
    </row>
    <row r="60">
      <c r="A60" s="1"/>
      <c r="B60">
        <f t="shared" si="15"/>
        <v>13300</v>
      </c>
      <c r="D60" s="3"/>
    </row>
    <row r="61">
      <c r="A61" s="1"/>
      <c r="B61">
        <f t="shared" si="15"/>
        <v>14300</v>
      </c>
      <c r="D61" s="3"/>
    </row>
    <row r="62">
      <c r="A62" s="1"/>
      <c r="B62">
        <f t="shared" si="15"/>
        <v>15200</v>
      </c>
      <c r="D62" s="3"/>
    </row>
    <row r="63">
      <c r="A63" s="1"/>
      <c r="B63">
        <f t="shared" si="15"/>
        <v>16100</v>
      </c>
      <c r="D63" s="3"/>
    </row>
    <row r="64">
      <c r="A64" s="1"/>
      <c r="B64">
        <f t="shared" si="15"/>
        <v>16900</v>
      </c>
      <c r="D64" s="3"/>
    </row>
    <row r="65">
      <c r="A65" s="1"/>
      <c r="B65">
        <f t="shared" si="15"/>
        <v>17700</v>
      </c>
      <c r="D65" s="3"/>
    </row>
    <row r="66">
      <c r="A66" s="1"/>
      <c r="B66">
        <f t="shared" si="15"/>
        <v>18400</v>
      </c>
      <c r="D66" s="3"/>
    </row>
    <row r="67">
      <c r="A67" s="1"/>
      <c r="B67">
        <f t="shared" si="15"/>
        <v>19100</v>
      </c>
      <c r="D67" s="3"/>
    </row>
    <row r="68">
      <c r="A68" s="1"/>
      <c r="B68">
        <f t="shared" si="15"/>
        <v>19700</v>
      </c>
      <c r="D68" s="3"/>
    </row>
    <row r="69">
      <c r="A69" s="1"/>
      <c r="B69">
        <f t="shared" si="15"/>
        <v>20200</v>
      </c>
      <c r="D69" s="3"/>
    </row>
    <row r="70">
      <c r="A70" s="1"/>
      <c r="B70">
        <f t="shared" si="15"/>
        <v>20700</v>
      </c>
      <c r="D70" s="3"/>
    </row>
    <row r="71">
      <c r="A71" s="1"/>
      <c r="B71">
        <f t="shared" si="15"/>
        <v>21100</v>
      </c>
      <c r="D71" s="3"/>
    </row>
    <row r="72">
      <c r="A72" s="1"/>
      <c r="B72">
        <f t="shared" si="15"/>
        <v>21500</v>
      </c>
      <c r="D72" s="3"/>
    </row>
    <row r="73">
      <c r="A73" s="1"/>
      <c r="B73">
        <f t="shared" si="15"/>
        <v>21800</v>
      </c>
      <c r="D73" s="3"/>
    </row>
    <row r="74">
      <c r="A74" s="1"/>
      <c r="B74">
        <f t="shared" si="15"/>
        <v>22100</v>
      </c>
      <c r="D74" s="3"/>
    </row>
    <row r="75">
      <c r="A75" s="1"/>
      <c r="B75">
        <f t="shared" si="15"/>
        <v>22300</v>
      </c>
      <c r="D75" s="3"/>
    </row>
    <row r="76">
      <c r="A76" s="1"/>
      <c r="B76">
        <f t="shared" si="15"/>
        <v>22400</v>
      </c>
      <c r="D76" s="3"/>
    </row>
    <row r="77">
      <c r="A77" s="1"/>
      <c r="B77">
        <f t="shared" si="15"/>
        <v>22500</v>
      </c>
      <c r="D77" s="3"/>
    </row>
    <row r="78">
      <c r="A78" s="1"/>
      <c r="B78">
        <f t="shared" si="15"/>
        <v>23500</v>
      </c>
      <c r="D78" s="3"/>
    </row>
    <row r="79">
      <c r="A79" s="1"/>
      <c r="B79">
        <f t="shared" si="15"/>
        <v>24500</v>
      </c>
      <c r="D79" s="3"/>
    </row>
    <row r="80">
      <c r="A80" s="1"/>
      <c r="B80">
        <f t="shared" si="15"/>
        <v>25500</v>
      </c>
      <c r="D80" s="3"/>
    </row>
    <row r="81">
      <c r="A81" s="1"/>
      <c r="B81">
        <f t="shared" si="15"/>
        <v>26500</v>
      </c>
      <c r="D81" s="3"/>
    </row>
    <row r="82">
      <c r="A82" s="1"/>
      <c r="B82">
        <f t="shared" si="15"/>
        <v>27500</v>
      </c>
      <c r="D82" s="3"/>
    </row>
    <row r="83">
      <c r="A83" s="1"/>
      <c r="D83" s="3"/>
    </row>
    <row r="84">
      <c r="A84" s="1"/>
      <c r="D84" s="3"/>
    </row>
    <row r="85">
      <c r="A85" s="1"/>
      <c r="D85" s="3"/>
    </row>
    <row r="86">
      <c r="A86" s="1"/>
      <c r="D86" s="3"/>
    </row>
    <row r="87">
      <c r="A87" s="1"/>
      <c r="D87" s="3"/>
      <c r="E87" s="12">
        <v>0.1</v>
      </c>
      <c r="F87" s="34">
        <f>sum(E87:E103)</f>
        <v>8.204</v>
      </c>
    </row>
    <row r="88">
      <c r="A88" s="1"/>
      <c r="D88" s="3"/>
      <c r="E88" s="2">
        <v>0.0</v>
      </c>
      <c r="F88">
        <f>F87/17</f>
        <v>0.4825882353</v>
      </c>
    </row>
    <row r="89">
      <c r="A89" s="1"/>
      <c r="D89" s="3"/>
      <c r="E89" s="19">
        <v>0.319</v>
      </c>
    </row>
    <row r="90">
      <c r="A90" s="1"/>
      <c r="D90" s="3"/>
      <c r="E90" s="2">
        <v>0.0</v>
      </c>
    </row>
    <row r="91">
      <c r="A91" s="1"/>
      <c r="D91" s="3"/>
      <c r="E91" s="19">
        <v>0.889</v>
      </c>
    </row>
    <row r="92">
      <c r="A92" s="1"/>
      <c r="D92" s="3"/>
      <c r="E92" s="19">
        <v>0.769</v>
      </c>
    </row>
    <row r="93">
      <c r="A93" s="1"/>
      <c r="D93" s="3"/>
      <c r="E93" s="19">
        <v>0.767</v>
      </c>
    </row>
    <row r="94">
      <c r="A94" s="1"/>
      <c r="D94" s="3"/>
      <c r="E94" s="19">
        <v>0.973</v>
      </c>
    </row>
    <row r="95">
      <c r="A95" s="1"/>
      <c r="D95" s="3"/>
      <c r="E95" s="19">
        <v>0.641</v>
      </c>
    </row>
    <row r="96">
      <c r="A96" s="1"/>
      <c r="D96" s="3"/>
      <c r="E96" s="19">
        <v>0.051</v>
      </c>
    </row>
    <row r="97">
      <c r="A97" s="1"/>
      <c r="D97" s="3"/>
      <c r="E97" s="19">
        <v>0.182</v>
      </c>
    </row>
    <row r="98">
      <c r="A98" s="1"/>
      <c r="D98" s="3"/>
      <c r="E98" s="19">
        <v>0.333</v>
      </c>
    </row>
    <row r="99">
      <c r="A99" s="1"/>
      <c r="D99" s="3"/>
      <c r="E99" s="19">
        <v>0.868</v>
      </c>
    </row>
    <row r="100">
      <c r="A100" s="1"/>
      <c r="D100" s="3"/>
      <c r="E100" s="2">
        <v>0.0</v>
      </c>
    </row>
    <row r="101">
      <c r="A101" s="1"/>
      <c r="D101" s="3"/>
      <c r="E101" s="19">
        <v>0.714</v>
      </c>
    </row>
    <row r="102">
      <c r="A102" s="1"/>
      <c r="D102" s="3"/>
      <c r="E102" s="12">
        <v>0.65</v>
      </c>
    </row>
    <row r="103">
      <c r="A103" s="1"/>
      <c r="D103" s="3"/>
      <c r="E103" s="19">
        <v>0.948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5"/>
    </row>
    <row r="2">
      <c r="A2" s="35"/>
    </row>
    <row r="3">
      <c r="A3" s="35"/>
    </row>
    <row r="4">
      <c r="A4" s="35"/>
    </row>
    <row r="13">
      <c r="B13" s="2"/>
      <c r="C13" s="29"/>
    </row>
    <row r="14">
      <c r="B14" s="19">
        <v>0.227</v>
      </c>
      <c r="C14" s="36">
        <v>0.227</v>
      </c>
      <c r="D14" s="19">
        <v>0.247</v>
      </c>
    </row>
    <row r="15">
      <c r="B15" s="2"/>
      <c r="C15" s="2" t="s">
        <v>43</v>
      </c>
    </row>
    <row r="16">
      <c r="C16" s="27">
        <f>(230-22.7%*633)/(1-22.7%)</f>
        <v>111.6545925</v>
      </c>
    </row>
    <row r="17">
      <c r="B17">
        <f>Average(112+(633-112)*B14,633)</f>
        <v>431.6335</v>
      </c>
      <c r="C17">
        <f>112+(633-112)*0.227</f>
        <v>230.267</v>
      </c>
      <c r="D17">
        <f>Average(112+(633-112)*D14,633)</f>
        <v>436.8435</v>
      </c>
    </row>
    <row r="18">
      <c r="D18">
        <f>D17/B17-1</f>
        <v>0.01207042549</v>
      </c>
    </row>
    <row r="20">
      <c r="B20" s="2"/>
      <c r="C20" s="2"/>
    </row>
    <row r="21">
      <c r="B21" s="2" t="s">
        <v>44</v>
      </c>
    </row>
    <row r="22">
      <c r="B22" s="2" t="s">
        <v>45</v>
      </c>
      <c r="E22" s="2"/>
      <c r="F22" s="2" t="s">
        <v>46</v>
      </c>
    </row>
    <row r="24">
      <c r="E24" s="37"/>
    </row>
    <row r="25">
      <c r="B25" s="2" t="s">
        <v>47</v>
      </c>
      <c r="C25" s="12">
        <v>1.5</v>
      </c>
    </row>
    <row r="26">
      <c r="C26" s="2" t="s">
        <v>48</v>
      </c>
      <c r="D26" s="2" t="s">
        <v>49</v>
      </c>
      <c r="E26">
        <f>(C29-G31*C30)/(1-G31)</f>
        <v>72.48153069</v>
      </c>
      <c r="G26" s="7" t="s">
        <v>26</v>
      </c>
    </row>
    <row r="27">
      <c r="B27" s="2" t="s">
        <v>50</v>
      </c>
      <c r="C27" s="38">
        <v>11.74</v>
      </c>
      <c r="D27" s="5">
        <f>C27</f>
        <v>11.74</v>
      </c>
      <c r="E27">
        <f>ROUND((C$29-G$31*C$30)/(1-G$31)+(C$30-(C$29-G$31*C$30)/(1-G$31))*H$31,0)</f>
        <v>202</v>
      </c>
      <c r="G27">
        <f>(1+G28)*(G30+3.05*G29)</f>
        <v>10.87054519</v>
      </c>
      <c r="K27" s="4" t="s">
        <v>51</v>
      </c>
      <c r="L27" s="4" t="s">
        <v>52</v>
      </c>
      <c r="M27" s="39"/>
      <c r="N27" s="39"/>
      <c r="O27" s="39"/>
      <c r="P27" s="39"/>
      <c r="Q27" s="39"/>
      <c r="R27" s="39"/>
      <c r="S27" s="39"/>
      <c r="T27" s="39"/>
    </row>
    <row r="28">
      <c r="B28" s="2" t="s">
        <v>53</v>
      </c>
      <c r="C28" s="8">
        <v>20035.126126126128</v>
      </c>
      <c r="D28" s="8">
        <v>20035.126126126128</v>
      </c>
      <c r="E28" s="7"/>
      <c r="F28" s="22" t="s">
        <v>21</v>
      </c>
      <c r="G28" s="27">
        <f t="shared" ref="G28:H28" si="1">if(AND(C33&gt;=$D116,C33&lt;=$D117),((C33-$D116)*$G117+$F116)/100,if(AND(C33&gt;=$D117,C33&lt;=$D118),((C33-$D117)*$G118+$F117)/100,if(AND(C33&gt;=$D118,C33&lt;=$D119),((C33-$D118)*$G119+$F118)/100,if(AND(C33&gt;=$D119,C33&lt;=$D120),((C33-$D119)*$G120+$F119)/100,if(AND(C33&gt;=$D120,C33&lt;=$D121),((C33-$D120)*$G121+$F120)/100,FALSE)))))</f>
        <v>6.689</v>
      </c>
      <c r="H28" s="27">
        <f t="shared" si="1"/>
        <v>6.689</v>
      </c>
      <c r="K28" s="40" t="s">
        <v>54</v>
      </c>
      <c r="L28" s="8">
        <v>20035.126126126128</v>
      </c>
      <c r="M28" s="41"/>
      <c r="N28" s="41"/>
      <c r="O28" s="42"/>
      <c r="P28" s="41"/>
      <c r="Q28" s="42"/>
      <c r="R28" s="42"/>
      <c r="S28" s="42"/>
      <c r="T28" s="42"/>
    </row>
    <row r="29">
      <c r="B29" s="2" t="s">
        <v>55</v>
      </c>
      <c r="C29" s="2">
        <v>202.0</v>
      </c>
      <c r="D29" s="43">
        <f>ROUND((C$29-G$31*C$30)/(1-G$31)+(C$30-(C$29-G$31*C$30)/(1-G$31))*H$31,0)</f>
        <v>202</v>
      </c>
      <c r="E29" s="7"/>
      <c r="F29" s="22" t="s">
        <v>34</v>
      </c>
      <c r="G29" s="27">
        <f t="shared" ref="G29:H29" si="2">if(AND(C$34&gt;=$D124,C$34&lt;=$D125),((C$34-$D124)*$G125+$F124)/100,if(AND(C$34&gt;=$D125,C$34&lt;=$D126),((C$34-$D125)*$G126+$F125)/100,if(AND(C$34&gt;=$D126,C$34&lt;=$D127),((C$34-$D126)*$G127+$F126)/100,if(AND(C$34&gt;=$D127,C$34&lt;=$D128),((C$34-$D127)*$G128+$F127)/100,if(AND(C$34&gt;=$D128,C$34&lt;=$D129),((C$34-$D128)*$G129+$F128)/100,FALSE)))))</f>
        <v>0.058616</v>
      </c>
      <c r="H29" s="27">
        <f t="shared" si="2"/>
        <v>0.058616</v>
      </c>
      <c r="K29" s="4" t="s">
        <v>56</v>
      </c>
      <c r="L29" s="5">
        <v>15.709099099099104</v>
      </c>
    </row>
    <row r="30">
      <c r="B30" s="2" t="s">
        <v>57</v>
      </c>
      <c r="C30" s="2">
        <v>596.0</v>
      </c>
      <c r="D30" s="2">
        <v>596.0</v>
      </c>
      <c r="E30" s="7"/>
      <c r="F30" s="22" t="s">
        <v>12</v>
      </c>
      <c r="G30" s="44">
        <f>if(and(C$36&lt;20,C$36&gt;=10),12%+(22%-12%)/(20-10)*(C$36-10),if(and(C$36&lt;30,C$36&gt;=20),22%+(33%-22%)/(30-20)*(C$36-20),if(and(C$36&lt;40,C$36&gt;=30),33%+(43%-33%)/(40-30)*(C$36-30),if(and(C$36&lt;50,C$36&gt;=40),43%+(52%-43%)/(50-40)*(C$36-40),if(and(C$36&lt;60,C$36&gt;=50),52%+(61%-52%)/(60-50)*(C$36-50),if(and(C$36&lt;70,C$36&gt;=60),61%+(69%-61%)/(70-60)*(C$36-60),if(and(C$36&lt;80,C$36&gt;=70),69%+(77%-69%)/(80-70)*(C$36-70),if(and(C$36&lt;90,C$36&gt;=80),77%+(84%-77%)/(90-80)*(C$36-80),if(and(C$36&lt;100,C$36&gt;=90),84%+(91%-84%)/(100-90)*(C$36-90),if(and(C$36&lt;110,C$36&gt;=100),91%+(97%-91%)/(110-100)*(C$36-100),if(and(C$36&lt;120,C$36&gt;=110),97%+(12%-97%)/(120-110)*(C$36-110),if(and(C$36&lt;130,C$36&gt;=120),12%+(17%-12%)/(130-120)*(C$36-120),if(and(C$36&lt;140,C$36&gt;=130),17%+(111%-17%)/(140-130)*(C$36-130),if(and(C$36&lt;150,C$36&gt;=140),111%+(115%-111%)/(150-140)*(C$36-140),if(and(C$36&lt;160,C$36&gt;=150),115%+(118%-115%)/(160-150)*(C$36-150),if(and(C$36&lt;170,C$36&gt;=160),118%+(121%-118%)/(170-160)*(C$36-160),if(and(C$36&lt;180,C$36&gt;=170),121%+(123%-121%)/(180-170)*(C$36-170),if(and(C$36&lt;190,C$36&gt;=180),123%+(124%-123%)/(190-180)*(C$36-180),if(and(C$36&lt;200,C$36&gt;=190),124%+(125%-124%)/(200-190)*(C$36-190),if(and(C$36&lt;300,C$36&gt;=200),125%+(135%-125%)/(300-200)*(C$36-200),if(and(C$36&lt;500,C$36&gt;=300),135%+(145%-135%)/(500-300)*(C$36-300),if(and(C$36&lt;700,C$36&gt;=500),145%+(155%-145%)/(700-500)*(C$36-500),if(and(C$36&lt;900,C$36&gt;=700),155%+(165%-155%)/(900-700)*(C$36-700),if(and(C$36&lt;1200,C$36&gt;=900),165%+(175%-165%)/(1200-900)*(C$36-900),if(C$36&gt;1200,"What the fuck are you doing","ERROR")))))))))))))))))))))))))</f>
        <v>1.235</v>
      </c>
      <c r="H30" s="27">
        <f>if(AND(D$36&gt;=$D152,D$36&lt;=$D153),((D$36-$D152)*$G153+$F152)/100,if(AND(D$36&gt;=$D153,D$36&lt;=$D154),((D$36-$D153)*$G154+$F153)/100,if(AND(D$36&gt;=$D154,D$36&lt;=$D155),((D$36-$D154)*$G155+$F154)/100,if(AND(D$36&gt;=$D155,D$36&lt;=$D156),((D$36-$D155)*$G156+$F155)/100,if(AND(D$36&gt;=$D156,D$36&lt;=$D157),((D$36-$D156)*$G157+$F156)/100,FALSE)))))</f>
        <v>2.2779</v>
      </c>
      <c r="K30" s="4" t="s">
        <v>58</v>
      </c>
      <c r="L30" s="5">
        <v>15.507531531531534</v>
      </c>
    </row>
    <row r="31">
      <c r="B31" s="2" t="s">
        <v>59</v>
      </c>
      <c r="C31" s="2">
        <v>2.4</v>
      </c>
      <c r="D31" s="2">
        <v>2.4</v>
      </c>
      <c r="E31" s="2"/>
      <c r="F31" s="2" t="s">
        <v>60</v>
      </c>
      <c r="G31" s="45">
        <f t="shared" ref="G31:H31" si="3">if((C$38-500)&gt;$E164,$F164+(((C$38-500)-$E164)*($F165-$F164)/($E165-$E164)),if((C$38-500)&gt;$E163,$F163+(((C$38-500)-$E163)*($F164-$F163)/($E164-$E163)),if((C$38-500)&gt;$E162,$F162+(((C$38-500)-$E162)*($F163-$F162)/($E163-$E162)),if((C$38-500)&gt;$E161,$F161+(((C$38-500)-$E161)*($F162-$F161)/($E162-$E161))," "))))</f>
        <v>0.2474</v>
      </c>
      <c r="H31" s="45">
        <f t="shared" si="3"/>
        <v>0.2474</v>
      </c>
      <c r="K31" s="4" t="s">
        <v>2</v>
      </c>
      <c r="L31" s="5">
        <v>1.151387387387387</v>
      </c>
    </row>
    <row r="32">
      <c r="B32" s="2" t="s">
        <v>61</v>
      </c>
      <c r="C32" s="46">
        <v>2.24</v>
      </c>
      <c r="D32" s="47">
        <f t="shared" ref="D32:D35" si="4">C32</f>
        <v>2.24</v>
      </c>
      <c r="E32" s="2"/>
      <c r="F32" s="2"/>
      <c r="G32" s="2"/>
      <c r="K32" s="4" t="s">
        <v>7</v>
      </c>
      <c r="L32" s="8">
        <v>849.8405405405422</v>
      </c>
    </row>
    <row r="33">
      <c r="B33" s="22" t="s">
        <v>21</v>
      </c>
      <c r="C33" s="48">
        <v>875.6</v>
      </c>
      <c r="D33" s="42">
        <f t="shared" si="4"/>
        <v>875.6</v>
      </c>
      <c r="K33" s="4" t="s">
        <v>9</v>
      </c>
      <c r="L33" s="5">
        <v>0.9502612612612618</v>
      </c>
    </row>
    <row r="34">
      <c r="B34" s="22" t="s">
        <v>34</v>
      </c>
      <c r="C34" s="48">
        <v>286.2</v>
      </c>
      <c r="D34" s="42">
        <f t="shared" si="4"/>
        <v>286.2</v>
      </c>
      <c r="E34" s="2"/>
      <c r="G34">
        <f t="shared" ref="G34:H34" si="5">ROUND((C$30-FLOOR((C$29-G$31*C$30)/(1-G$31),1))*G$31+FLOOR((C$29-G$31*C$30)/(1-G$31),1),0)</f>
        <v>202</v>
      </c>
      <c r="H34">
        <f t="shared" si="5"/>
        <v>202</v>
      </c>
      <c r="K34" s="4" t="s">
        <v>11</v>
      </c>
      <c r="L34" s="5">
        <v>0.1276486486486488</v>
      </c>
    </row>
    <row r="35">
      <c r="B35" s="24" t="s">
        <v>9</v>
      </c>
      <c r="C35" s="49">
        <v>0.788</v>
      </c>
      <c r="D35" s="41">
        <f t="shared" si="4"/>
        <v>0.788</v>
      </c>
      <c r="E35" s="2"/>
      <c r="F35" s="2" t="s">
        <v>62</v>
      </c>
      <c r="G35" s="50">
        <f>Average(C$30,ROUND((C$30-FLOOR((C$29-G$31*C$30)/(1-G$31),1))*G$31+FLOOR((C$29-G$31*C$30)/(1-G$31),1),0))*C$32*(1+G$28)*(log(C$28,2)*0.28-1.2)*(1+C$37)*($C$25+C$27)*(1+C$39)*(1+C$40*0.014)</f>
        <v>884924.4208</v>
      </c>
      <c r="H35" s="50">
        <f>Average(D$30,D$29)*D$32*(1+H$28)*(log(D$28,2)*0.28-1.2)*(1+D$37)*($C$25+D$27)*(1+D$39)*(1+D$40*0.014)</f>
        <v>884924.4208</v>
      </c>
      <c r="K35" s="4" t="s">
        <v>12</v>
      </c>
      <c r="L35" s="8">
        <v>310.063063063063</v>
      </c>
    </row>
    <row r="36">
      <c r="B36" s="22" t="s">
        <v>12</v>
      </c>
      <c r="C36" s="48">
        <v>185.0</v>
      </c>
      <c r="D36" s="42">
        <f>C36+42.9</f>
        <v>227.9</v>
      </c>
      <c r="E36" s="2"/>
      <c r="F36" s="2"/>
      <c r="G36" s="50"/>
      <c r="H36" s="50"/>
      <c r="K36" s="4" t="s">
        <v>13</v>
      </c>
      <c r="L36" s="8">
        <v>418.0144144144147</v>
      </c>
    </row>
    <row r="37">
      <c r="B37" s="2" t="s">
        <v>63</v>
      </c>
      <c r="C37" s="49">
        <f>70%+3.4%*20</f>
        <v>1.38</v>
      </c>
      <c r="D37" s="49">
        <f t="shared" ref="D37:D38" si="6">C37</f>
        <v>1.38</v>
      </c>
      <c r="E37" s="2"/>
      <c r="F37" s="2" t="s">
        <v>64</v>
      </c>
      <c r="G37" s="51">
        <f>ROUND((C$30-FLOOR((C$29-G$31*C$30)/(1-G$31),1))*G$31+FLOOR((C$29-G$31*C$30)/(1-G$31),1),0)*C$32*(1+G$28)*(log(C$28,2)*0.28-1.2)*(1+C$37)*($C$25+C$27)*(1+C$39)*(1+C$40*0.014)</f>
        <v>448006.8496</v>
      </c>
      <c r="H37" s="52">
        <f>D$29*D$32*(1+H$28)*(log(D$28,2)*0.28-1.2)*(1+D$37)*($C$25+D$27)*(1+D$39)*(1+D$40*0.014)</f>
        <v>448006.8496</v>
      </c>
      <c r="K37" s="4" t="s">
        <v>65</v>
      </c>
      <c r="L37" s="8">
        <v>26336.441441441442</v>
      </c>
    </row>
    <row r="38">
      <c r="B38" s="2" t="s">
        <v>66</v>
      </c>
      <c r="C38" s="2">
        <f>1911+300</f>
        <v>2211</v>
      </c>
      <c r="D38" s="2">
        <f t="shared" si="6"/>
        <v>2211</v>
      </c>
      <c r="E38" s="2"/>
      <c r="F38" s="2" t="s">
        <v>67</v>
      </c>
      <c r="G38" s="52">
        <f t="shared" ref="G38:H38" si="7">C$30*C$32*(1+G$28)*(log(C$28,2)*0.28-1.2)*(1+C$37)*($C$25+C$27)*(1+C$39)*(1+C$40*0.014)</f>
        <v>1321841.992</v>
      </c>
      <c r="H38" s="52">
        <f t="shared" si="7"/>
        <v>1321841.992</v>
      </c>
    </row>
    <row r="39">
      <c r="B39" s="2" t="s">
        <v>68</v>
      </c>
      <c r="C39" s="12">
        <v>0.4</v>
      </c>
      <c r="D39" s="12">
        <v>0.4</v>
      </c>
      <c r="E39" s="2"/>
      <c r="I39" s="2" t="s">
        <v>32</v>
      </c>
    </row>
    <row r="40">
      <c r="B40" s="2" t="s">
        <v>69</v>
      </c>
      <c r="C40" s="2">
        <v>3.0</v>
      </c>
      <c r="D40" s="2">
        <v>3.0</v>
      </c>
      <c r="F40" s="2" t="s">
        <v>70</v>
      </c>
      <c r="G40" s="50">
        <f t="shared" ref="G40:H40" si="8">(G$38+G$37)/2*(G$30+2.7*Min(C$35,1))/C$31</f>
        <v>1239852.857</v>
      </c>
      <c r="H40" s="50">
        <f t="shared" si="8"/>
        <v>1624389.39</v>
      </c>
      <c r="I40" s="50">
        <f t="shared" ref="I40:I45" si="9">H40-G40</f>
        <v>384536.5327</v>
      </c>
    </row>
    <row r="41">
      <c r="B41" s="2" t="s">
        <v>71</v>
      </c>
      <c r="C41" s="2">
        <v>6872.0</v>
      </c>
      <c r="E41" s="2" t="s">
        <v>72</v>
      </c>
      <c r="F41" s="2" t="s">
        <v>66</v>
      </c>
      <c r="G41" s="52">
        <f>((G$38+G$37)/2*(G$30+Min(C$35,1))-(C$32*(1+G$28)*(log(C$28,2)*0.28-1.2)*(1+C$37)*($C$25+C$27)*(1+C$39)*(1+C$40*0.014)*(FLOOR((C$29-G$31*C$30)/(1-G$31),1)+C$30)/2*(G$30+Min(C$35,1))))*C$31^-1</f>
        <v>121515.3892</v>
      </c>
      <c r="H41" s="52">
        <f>((H$38+H$37)/2*(H$30+Min(D$35,1))-(D$32*(1+H$28)*(log(D$28,2)*0.28-1.2)*(1+D$37)*($C$25+D$27)*(1+D$39)*(1+D$40*0.014)*D$29/2*(H$30+Min(D$35,1))))*D$31^-1</f>
        <v>844299.034</v>
      </c>
      <c r="I41" s="50">
        <f t="shared" si="9"/>
        <v>722783.6448</v>
      </c>
    </row>
    <row r="42">
      <c r="B42" s="2" t="s">
        <v>73</v>
      </c>
      <c r="C42" s="2">
        <v>40123.0</v>
      </c>
      <c r="F42" s="2" t="s">
        <v>21</v>
      </c>
      <c r="G42" s="53">
        <f t="shared" ref="G42:H42" si="10">(Average(ROUND((C$30-FLOOR((C$29-G$31*C$30)/(1-G$31),1))*G$31+FLOOR((C$29-G$31*C$30)/(1-G$31),1),0),C$30)*C$32*(log(C$28,2)*0.28-1.2)*(1+C$37)*($C$25+C$27)*(1+C$39)*(1+C$40*0.014)*(G$28-1)*(G$30+Min(C$35,1)))*C$31^-1</f>
        <v>551895.5524</v>
      </c>
      <c r="H42" s="53">
        <f t="shared" si="10"/>
        <v>836409.5769</v>
      </c>
      <c r="I42" s="50">
        <f t="shared" si="9"/>
        <v>284514.0245</v>
      </c>
    </row>
    <row r="43">
      <c r="C43">
        <f>1.5/1.25</f>
        <v>1.2</v>
      </c>
      <c r="D43">
        <f>763/700</f>
        <v>1.09</v>
      </c>
      <c r="F43" s="2" t="s">
        <v>37</v>
      </c>
      <c r="G43" s="53">
        <f t="shared" ref="G43:H43" si="11">(Average(ROUND((C$30-FLOOR((C$29-G$31*C$30)/(1-G$31),1))*G$31+FLOOR((C$29-G$31*C$30)/(1-G$31),1),0),C$30)*C$32*(log(C$28,2)*0.28-1.2)*(1+C$37)*($C$25+C$27)*(1+C$39)*(1+C$40*0.014)*(1+G$28)*3*G$29)*C$31^-1</f>
        <v>64838.41231</v>
      </c>
      <c r="H43" s="53">
        <f t="shared" si="11"/>
        <v>64838.41231</v>
      </c>
      <c r="I43" s="50">
        <f t="shared" si="9"/>
        <v>0</v>
      </c>
      <c r="M43" s="2"/>
    </row>
    <row r="44">
      <c r="D44">
        <f>24.9/17.4</f>
        <v>1.431034483</v>
      </c>
      <c r="E44" s="2"/>
      <c r="F44" s="2" t="s">
        <v>12</v>
      </c>
      <c r="G44" s="53">
        <f t="shared" ref="G44:H44" si="12">(Average(ROUND((C$30-FLOOR((C$29-G$31*C$30)/(1-G$31),1))*G$31+FLOOR((C$29-G$31*C$30)/(1-G$31),1),0),C$30)*C$32*(log(C$28,2)*0.28-1.2)*(1+C$37)*($C$25+C$27)*(1+C$39)*(1+C$40*0.014)*(1+G$28)*(G$30-1))*C$31^-1</f>
        <v>86648.84954</v>
      </c>
      <c r="H44" s="53">
        <f t="shared" si="12"/>
        <v>471185.3822</v>
      </c>
      <c r="I44" s="50">
        <f t="shared" si="9"/>
        <v>384536.5327</v>
      </c>
      <c r="K44" s="2"/>
      <c r="L44" s="2"/>
      <c r="M44" s="2"/>
      <c r="N44" s="2"/>
      <c r="O44" s="2"/>
    </row>
    <row r="45">
      <c r="D45">
        <f>D44*250</f>
        <v>357.7586207</v>
      </c>
      <c r="F45" s="2" t="s">
        <v>63</v>
      </c>
      <c r="G45" s="53">
        <f t="shared" ref="G45:H45" si="13">(Average(ROUND((C$30-FLOOR((C$29-G$31*C$30)/(1-G$31),1))*G$31+FLOOR((C$29-G$31*C$30)/(1-G$31),1),0),C$30)*C$32*(log(C$28,2)*0.28-1.2)*C$37*($C$25+C$27)*(1+C$39)*(1+C$40*0.014)*(1+G$28)*(G$30+Min(C$35,1)))*C$31^-1</f>
        <v>432506.8107</v>
      </c>
      <c r="H45" s="53">
        <f t="shared" si="13"/>
        <v>655473.3717</v>
      </c>
      <c r="I45" s="50">
        <f t="shared" si="9"/>
        <v>222966.561</v>
      </c>
    </row>
    <row r="46">
      <c r="G46" s="50"/>
      <c r="H46" s="50"/>
      <c r="J46" s="2" t="s">
        <v>74</v>
      </c>
      <c r="K46" s="2" t="s">
        <v>75</v>
      </c>
    </row>
    <row r="47">
      <c r="G47" s="50"/>
      <c r="H47" s="50"/>
      <c r="J47" s="2" t="s">
        <v>76</v>
      </c>
      <c r="K47" s="2" t="s">
        <v>77</v>
      </c>
    </row>
    <row r="48">
      <c r="A48">
        <f>C32*C30*(1+G28)*(log(C$28,2)*0.28-1.2)*(1+C37)</f>
        <v>68437.76286</v>
      </c>
    </row>
    <row r="49">
      <c r="A49">
        <f>C30*C32*(log(C$28,2)*0.28-1.2)*(1+C37)*(1+G28)</f>
        <v>68437.76286</v>
      </c>
      <c r="C49" s="2" t="s">
        <v>55</v>
      </c>
      <c r="D49" s="2" t="s">
        <v>57</v>
      </c>
      <c r="E49" s="2"/>
      <c r="F49" s="2" t="s">
        <v>78</v>
      </c>
      <c r="G49" s="2" t="s">
        <v>2</v>
      </c>
      <c r="H49" s="2" t="s">
        <v>79</v>
      </c>
    </row>
    <row r="50">
      <c r="C50" s="2" t="s">
        <v>80</v>
      </c>
      <c r="D50" s="2" t="s">
        <v>81</v>
      </c>
      <c r="G50" s="2" t="s">
        <v>82</v>
      </c>
      <c r="H50" s="54" t="s">
        <v>83</v>
      </c>
    </row>
    <row r="51">
      <c r="M51" s="2"/>
      <c r="N51" s="55"/>
    </row>
    <row r="52">
      <c r="D52" s="2" t="s">
        <v>84</v>
      </c>
      <c r="E52" s="2"/>
      <c r="F52" s="2" t="s">
        <v>63</v>
      </c>
      <c r="G52" s="2" t="s">
        <v>85</v>
      </c>
      <c r="I52" s="2" t="s">
        <v>79</v>
      </c>
      <c r="J52" s="2" t="s">
        <v>21</v>
      </c>
      <c r="M52" s="2"/>
      <c r="N52" s="2"/>
    </row>
    <row r="53">
      <c r="M53" s="2"/>
      <c r="N53" s="2"/>
    </row>
    <row r="54">
      <c r="M54" s="2"/>
      <c r="N54" s="56"/>
    </row>
    <row r="55">
      <c r="B55">
        <v>15.709099099099104</v>
      </c>
    </row>
    <row r="56">
      <c r="B56">
        <v>20035.126126126128</v>
      </c>
      <c r="F56" s="2" t="s">
        <v>86</v>
      </c>
      <c r="G56" s="57">
        <f t="shared" ref="G56:H56" si="14">ROUND((C$30-FLOOR((C$29-G$31*C$30)/(1-G$31),1))*G$31+FLOOR((C$29-G$31*C$30)/(1-G$31),1),0)</f>
        <v>202</v>
      </c>
      <c r="H56" s="50">
        <f t="shared" si="14"/>
        <v>202</v>
      </c>
      <c r="M56" s="2"/>
      <c r="N56" s="2"/>
    </row>
    <row r="57">
      <c r="B57" s="7">
        <v>202.0</v>
      </c>
      <c r="F57" s="2" t="s">
        <v>87</v>
      </c>
      <c r="H57" s="50">
        <f>D$30*D$32*(1+H$28)*(log(D$28,2)*0.28-1.2)*(1+D$37)</f>
        <v>68437.76286</v>
      </c>
      <c r="M57" s="2"/>
      <c r="N57" s="2"/>
    </row>
    <row r="58">
      <c r="B58" s="7">
        <v>596.0</v>
      </c>
      <c r="M58" s="2"/>
      <c r="N58" s="2"/>
    </row>
    <row r="59">
      <c r="B59" s="7">
        <v>2.4</v>
      </c>
    </row>
    <row r="60">
      <c r="B60">
        <v>2.2322816295578822</v>
      </c>
    </row>
    <row r="61">
      <c r="B61">
        <v>849.8405405405422</v>
      </c>
    </row>
    <row r="62">
      <c r="B62">
        <v>418.0144144144147</v>
      </c>
    </row>
    <row r="63">
      <c r="B63">
        <v>0.9502612612612618</v>
      </c>
    </row>
    <row r="64">
      <c r="B64">
        <v>310.063063063063</v>
      </c>
    </row>
    <row r="65">
      <c r="B65" s="7">
        <v>1.15138738738739</v>
      </c>
    </row>
    <row r="66">
      <c r="B66" s="7">
        <v>1637.0</v>
      </c>
    </row>
    <row r="67">
      <c r="B67" s="7">
        <v>0.4</v>
      </c>
      <c r="C67" s="2" t="s">
        <v>84</v>
      </c>
      <c r="D67" s="2">
        <v>26888.0</v>
      </c>
    </row>
    <row r="68">
      <c r="B68" s="7">
        <v>3.0</v>
      </c>
      <c r="C68" s="2" t="s">
        <v>88</v>
      </c>
      <c r="D68" s="2">
        <v>99776.0</v>
      </c>
    </row>
    <row r="69">
      <c r="C69" s="2" t="s">
        <v>89</v>
      </c>
      <c r="D69" s="2">
        <v>15545.0</v>
      </c>
    </row>
    <row r="70">
      <c r="C70" s="2" t="s">
        <v>85</v>
      </c>
      <c r="D70">
        <f>D68*1/(log(D$69,2)*0.28-1.2)*1/D67</f>
        <v>1.374999112</v>
      </c>
    </row>
    <row r="71">
      <c r="D71" s="2" t="s">
        <v>90</v>
      </c>
    </row>
    <row r="77">
      <c r="A77" s="58" t="s">
        <v>91</v>
      </c>
      <c r="B77" s="58" t="s">
        <v>92</v>
      </c>
      <c r="C77" s="58" t="s">
        <v>93</v>
      </c>
      <c r="D77" s="58" t="s">
        <v>52</v>
      </c>
      <c r="E77" s="58" t="s">
        <v>94</v>
      </c>
      <c r="F77" s="58" t="s">
        <v>95</v>
      </c>
      <c r="G77" s="58" t="s">
        <v>96</v>
      </c>
      <c r="H77" s="58" t="s">
        <v>97</v>
      </c>
      <c r="I77" s="58" t="s">
        <v>98</v>
      </c>
      <c r="J77" s="58" t="s">
        <v>99</v>
      </c>
      <c r="K77" s="58" t="s">
        <v>100</v>
      </c>
      <c r="L77" s="58" t="s">
        <v>101</v>
      </c>
      <c r="M77" s="58" t="s">
        <v>102</v>
      </c>
      <c r="N77" s="58" t="s">
        <v>103</v>
      </c>
      <c r="O77" s="59"/>
      <c r="P77" s="60" t="s">
        <v>104</v>
      </c>
      <c r="Q77" s="61" t="s">
        <v>105</v>
      </c>
      <c r="R77" s="4" t="s">
        <v>106</v>
      </c>
      <c r="S77" s="4" t="s">
        <v>79</v>
      </c>
      <c r="T77" s="4"/>
      <c r="U77" s="4"/>
      <c r="V77" s="4"/>
      <c r="W77" s="4"/>
      <c r="X77" s="4"/>
      <c r="Y77" s="4"/>
      <c r="Z77" s="4"/>
      <c r="AA77" s="4"/>
    </row>
    <row r="78">
      <c r="A78" s="4" t="s">
        <v>107</v>
      </c>
      <c r="B78" s="62">
        <v>8.71474125E8</v>
      </c>
      <c r="C78" s="63">
        <v>1423977.33</v>
      </c>
      <c r="D78" s="63">
        <v>1581623.0</v>
      </c>
      <c r="E78" s="62">
        <v>581193.0</v>
      </c>
      <c r="F78" s="62">
        <v>5347158.0</v>
      </c>
      <c r="G78" s="62">
        <v>551.0</v>
      </c>
      <c r="H78" s="62">
        <v>551.0</v>
      </c>
      <c r="I78" s="64">
        <v>100.0</v>
      </c>
      <c r="J78" s="64">
        <v>3.92</v>
      </c>
      <c r="K78" s="65">
        <v>1.0</v>
      </c>
      <c r="L78" s="4" t="s">
        <v>108</v>
      </c>
      <c r="M78" s="4" t="s">
        <v>109</v>
      </c>
      <c r="N78" s="64">
        <v>1.0</v>
      </c>
      <c r="O78" s="66"/>
      <c r="P78" s="8" t="str">
        <f>if($N78&lt;4,$C78*(($J$2+C$2+1%)/($J$2+C$2)-1),"")</f>
        <v>#DIV/0!</v>
      </c>
      <c r="Q78" s="66" t="str">
        <f>if(OR($N78=2,$N78=5),$C78*((1.5+D$2+1%)/(1.5+D$2)-1),"")</f>
        <v/>
      </c>
      <c r="R78" s="8">
        <f>if($N78=1,$C78*((1+E$2+1%)/(1+E$2)-1),"")</f>
        <v>14239.7733</v>
      </c>
      <c r="S78" s="67" t="str">
        <f>if(OR($N78&lt;3,$N78=5),C78*((floor((log($B$2+500,2)*0.28-1.2)*100,0.001)/100)/(floor((log($B$2,2)*0.28-1.2)*100,0.001)/100)-1),"")</f>
        <v>#NUM!</v>
      </c>
      <c r="T78" s="4"/>
      <c r="U78" s="4"/>
      <c r="V78" s="4"/>
      <c r="W78" s="4"/>
      <c r="X78" s="4"/>
      <c r="Y78" s="4"/>
      <c r="Z78" s="4"/>
      <c r="AA78" s="4"/>
    </row>
    <row r="79">
      <c r="C79">
        <f>C78*(1.3/1.375)</f>
        <v>1346305.839</v>
      </c>
      <c r="D79">
        <f>C79*((1+1.4021)/(1+1.9021))</f>
        <v>1114352.109</v>
      </c>
      <c r="E79" s="68">
        <f>D79-C78</f>
        <v>-309625.2207</v>
      </c>
    </row>
    <row r="81">
      <c r="A81" s="4" t="s">
        <v>2</v>
      </c>
      <c r="C81" s="2" t="s">
        <v>110</v>
      </c>
      <c r="D81" s="2">
        <v>0.075</v>
      </c>
    </row>
    <row r="82">
      <c r="A82" s="38">
        <v>1.9021</v>
      </c>
      <c r="C82" s="2" t="s">
        <v>63</v>
      </c>
      <c r="D82" s="2">
        <v>50.0</v>
      </c>
    </row>
    <row r="83">
      <c r="C83" s="2" t="s">
        <v>21</v>
      </c>
      <c r="D83" s="2">
        <v>25.0</v>
      </c>
    </row>
    <row r="84">
      <c r="C84" s="2" t="s">
        <v>111</v>
      </c>
      <c r="D84" s="19">
        <v>0.165</v>
      </c>
    </row>
    <row r="86">
      <c r="C86" s="69" t="s">
        <v>112</v>
      </c>
      <c r="D86" s="70" t="s">
        <v>113</v>
      </c>
    </row>
    <row r="87">
      <c r="C87" s="71" t="s">
        <v>56</v>
      </c>
      <c r="D87" s="72">
        <v>2440.266449082112</v>
      </c>
    </row>
    <row r="88">
      <c r="C88" s="71" t="s">
        <v>58</v>
      </c>
      <c r="D88" s="72">
        <v>1826.4548837420284</v>
      </c>
    </row>
    <row r="89">
      <c r="C89" s="71" t="s">
        <v>63</v>
      </c>
      <c r="D89" s="72">
        <v>4906.6351674116395</v>
      </c>
    </row>
    <row r="90">
      <c r="C90" s="71" t="s">
        <v>54</v>
      </c>
      <c r="D90" s="72">
        <v>72.00008750463765</v>
      </c>
    </row>
    <row r="111">
      <c r="D111" s="6" t="s">
        <v>21</v>
      </c>
      <c r="E111" s="16"/>
      <c r="F111" s="16" t="s">
        <v>22</v>
      </c>
      <c r="G111" s="6" t="s">
        <v>23</v>
      </c>
      <c r="H111" s="9" t="s">
        <v>24</v>
      </c>
      <c r="J111" s="17">
        <v>635.292429</v>
      </c>
      <c r="K111" s="18">
        <v>0.3893987382</v>
      </c>
      <c r="L111" s="18">
        <v>0.01839116719</v>
      </c>
    </row>
    <row r="112">
      <c r="D112" s="6">
        <v>0.0</v>
      </c>
      <c r="E112" s="7"/>
      <c r="F112" s="7">
        <v>0.0</v>
      </c>
      <c r="G112" s="20">
        <v>0.0</v>
      </c>
      <c r="H112" s="3">
        <v>0.0</v>
      </c>
      <c r="J112" s="4"/>
    </row>
    <row r="113">
      <c r="D113" s="6">
        <v>100.0</v>
      </c>
      <c r="E113" s="7"/>
      <c r="F113" s="7">
        <v>100.0</v>
      </c>
      <c r="G113" s="21">
        <f t="shared" ref="G113:G121" si="15">(F113-F112)/(D113-D112)</f>
        <v>1</v>
      </c>
      <c r="H113" s="3">
        <v>100.0</v>
      </c>
    </row>
    <row r="114">
      <c r="D114" s="6">
        <v>200.0</v>
      </c>
      <c r="E114" s="7"/>
      <c r="F114" s="7">
        <v>200.0</v>
      </c>
      <c r="G114" s="21">
        <f t="shared" si="15"/>
        <v>1</v>
      </c>
      <c r="H114" s="3">
        <v>100.0</v>
      </c>
    </row>
    <row r="115">
      <c r="D115" s="6">
        <v>300.0</v>
      </c>
      <c r="E115" s="7"/>
      <c r="F115" s="7">
        <v>300.0</v>
      </c>
      <c r="G115" s="21">
        <f t="shared" si="15"/>
        <v>1</v>
      </c>
      <c r="H115" s="3">
        <v>50.0</v>
      </c>
    </row>
    <row r="116">
      <c r="D116" s="6">
        <v>400.0</v>
      </c>
      <c r="E116" s="7"/>
      <c r="F116" s="7">
        <v>400.0</v>
      </c>
      <c r="G116" s="21">
        <f t="shared" si="15"/>
        <v>1</v>
      </c>
      <c r="H116" s="3">
        <v>33.33333333333333</v>
      </c>
    </row>
    <row r="117">
      <c r="D117" s="6">
        <v>500.0</v>
      </c>
      <c r="E117" s="7"/>
      <c r="F117" s="7">
        <v>500.0</v>
      </c>
      <c r="G117" s="21">
        <f t="shared" si="15"/>
        <v>1</v>
      </c>
      <c r="H117" s="3">
        <v>25.0</v>
      </c>
    </row>
    <row r="118">
      <c r="D118" s="6">
        <v>600.0</v>
      </c>
      <c r="E118" s="7"/>
      <c r="F118" s="7">
        <v>600.0</v>
      </c>
      <c r="G118" s="21">
        <f t="shared" si="15"/>
        <v>1</v>
      </c>
      <c r="H118" s="3">
        <v>19.999999999999996</v>
      </c>
      <c r="K118" s="28"/>
    </row>
    <row r="119">
      <c r="D119" s="6">
        <v>1000.0</v>
      </c>
      <c r="E119" s="7"/>
      <c r="F119" s="7">
        <v>700.0</v>
      </c>
      <c r="G119" s="21">
        <f t="shared" si="15"/>
        <v>0.25</v>
      </c>
      <c r="H119" s="3">
        <v>16.666666666666675</v>
      </c>
    </row>
    <row r="120">
      <c r="D120" s="6">
        <v>1600.0</v>
      </c>
      <c r="E120" s="7"/>
      <c r="F120" s="7">
        <v>800.0</v>
      </c>
      <c r="G120" s="21">
        <f t="shared" si="15"/>
        <v>0.1666666667</v>
      </c>
      <c r="H120" s="3">
        <v>14.28571428571428</v>
      </c>
      <c r="I120">
        <f>(9/8.05-1)*8.4</f>
        <v>0.9913043478</v>
      </c>
      <c r="J120" s="12"/>
    </row>
    <row r="121">
      <c r="D121" s="6">
        <v>2300.0</v>
      </c>
      <c r="E121" s="7"/>
      <c r="F121" s="7">
        <v>900.0</v>
      </c>
      <c r="G121" s="21">
        <f t="shared" si="15"/>
        <v>0.1428571429</v>
      </c>
      <c r="H121" s="3">
        <v>12.5</v>
      </c>
      <c r="J121" s="12"/>
    </row>
    <row r="122">
      <c r="D122" s="6" t="s">
        <v>36</v>
      </c>
      <c r="G122" s="1"/>
      <c r="H122" s="3"/>
      <c r="J122" s="12"/>
    </row>
    <row r="123">
      <c r="D123" s="6" t="s">
        <v>37</v>
      </c>
      <c r="E123" s="2"/>
      <c r="F123" s="2" t="s">
        <v>114</v>
      </c>
      <c r="G123" s="6" t="s">
        <v>23</v>
      </c>
      <c r="H123" s="9" t="s">
        <v>24</v>
      </c>
      <c r="J123" s="12"/>
    </row>
    <row r="124">
      <c r="D124" s="6">
        <v>200.0</v>
      </c>
      <c r="E124" s="7"/>
      <c r="F124" s="7">
        <v>0.0</v>
      </c>
      <c r="G124" s="1">
        <f>F124/D124</f>
        <v>0</v>
      </c>
      <c r="H124" s="3">
        <v>0.0</v>
      </c>
      <c r="J124" s="12"/>
    </row>
    <row r="125">
      <c r="D125" s="6">
        <v>300.0</v>
      </c>
      <c r="E125" s="7"/>
      <c r="F125" s="7">
        <v>6.8</v>
      </c>
      <c r="G125" s="21">
        <f t="shared" ref="G125:G129" si="16">(F125-F124)/(D125-D124)</f>
        <v>0.068</v>
      </c>
      <c r="H125" s="3">
        <v>100.0</v>
      </c>
      <c r="I125">
        <f>G125*(44+25)/100</f>
        <v>0.04692</v>
      </c>
      <c r="J125" s="12"/>
    </row>
    <row r="126">
      <c r="D126" s="6">
        <v>500.0</v>
      </c>
      <c r="E126" s="7"/>
      <c r="F126" s="7">
        <v>13.4</v>
      </c>
      <c r="G126" s="21">
        <f t="shared" si="16"/>
        <v>0.033</v>
      </c>
      <c r="H126" s="3">
        <v>97.05882352941177</v>
      </c>
      <c r="I126" s="21">
        <f>G125+G126+81.5/100</f>
        <v>0.916</v>
      </c>
      <c r="J126" s="12"/>
    </row>
    <row r="127">
      <c r="D127" s="6">
        <v>700.0</v>
      </c>
      <c r="E127" s="7"/>
      <c r="F127" s="7">
        <v>19.6</v>
      </c>
      <c r="G127" s="21">
        <f t="shared" si="16"/>
        <v>0.031</v>
      </c>
      <c r="H127" s="3">
        <v>46.26865671641791</v>
      </c>
      <c r="I127" s="21">
        <f>G125+2*G126+G127*61/100</f>
        <v>0.15291</v>
      </c>
      <c r="J127" s="12"/>
    </row>
    <row r="128">
      <c r="D128" s="6">
        <v>900.0</v>
      </c>
      <c r="E128" s="7"/>
      <c r="F128" s="7">
        <v>25.6</v>
      </c>
      <c r="G128" s="21">
        <f t="shared" si="16"/>
        <v>0.03</v>
      </c>
      <c r="H128" s="3">
        <v>30.612244897959172</v>
      </c>
      <c r="J128" s="12"/>
    </row>
    <row r="129">
      <c r="D129" s="6">
        <v>1200.0</v>
      </c>
      <c r="E129" s="7"/>
      <c r="F129" s="7">
        <v>31.4</v>
      </c>
      <c r="G129" s="21">
        <f t="shared" si="16"/>
        <v>0.01933333333</v>
      </c>
      <c r="H129" s="3">
        <v>22.65624999999998</v>
      </c>
      <c r="J129" s="12"/>
    </row>
    <row r="130">
      <c r="D130" s="1"/>
      <c r="G130" s="1"/>
      <c r="H130" s="3"/>
    </row>
    <row r="131">
      <c r="D131" s="1"/>
      <c r="G131" s="1"/>
      <c r="H131" s="3"/>
    </row>
    <row r="132">
      <c r="D132" s="6" t="s">
        <v>12</v>
      </c>
      <c r="E132" s="2"/>
      <c r="F132" s="2" t="s">
        <v>40</v>
      </c>
      <c r="G132" s="6" t="s">
        <v>23</v>
      </c>
      <c r="H132" s="9" t="s">
        <v>24</v>
      </c>
    </row>
    <row r="133">
      <c r="D133" s="6">
        <v>10.0</v>
      </c>
      <c r="E133" s="6"/>
      <c r="F133" s="6">
        <v>112.0</v>
      </c>
      <c r="G133" s="21">
        <f>12%/10</f>
        <v>0.012</v>
      </c>
      <c r="H133" s="3">
        <v>10.0</v>
      </c>
    </row>
    <row r="134">
      <c r="D134" s="6">
        <v>20.0</v>
      </c>
      <c r="E134" s="6"/>
      <c r="F134" s="6">
        <v>122.0</v>
      </c>
      <c r="G134" s="21">
        <f t="shared" ref="G134:G157" si="17">(F134-F133)/(D134-D133)</f>
        <v>1</v>
      </c>
      <c r="H134" s="3">
        <v>8.92857142857142</v>
      </c>
    </row>
    <row r="135">
      <c r="D135" s="6">
        <v>30.0</v>
      </c>
      <c r="E135" s="6"/>
      <c r="F135" s="6">
        <v>133.0</v>
      </c>
      <c r="G135" s="21">
        <f t="shared" si="17"/>
        <v>1.1</v>
      </c>
      <c r="H135" s="3">
        <v>9.016393442622949</v>
      </c>
    </row>
    <row r="136">
      <c r="D136" s="6">
        <v>40.0</v>
      </c>
      <c r="E136" s="6"/>
      <c r="F136" s="6">
        <v>143.0</v>
      </c>
      <c r="G136" s="21">
        <f t="shared" si="17"/>
        <v>1</v>
      </c>
      <c r="H136" s="3">
        <v>7.518796992481214</v>
      </c>
      <c r="L136" s="7" t="s">
        <v>3</v>
      </c>
    </row>
    <row r="137">
      <c r="D137" s="6">
        <v>50.0</v>
      </c>
      <c r="E137" s="6"/>
      <c r="F137" s="6">
        <v>152.0</v>
      </c>
      <c r="G137" s="21">
        <f t="shared" si="17"/>
        <v>0.9</v>
      </c>
      <c r="H137" s="3">
        <v>6.2937062937062915</v>
      </c>
      <c r="L137" s="7" t="s">
        <v>42</v>
      </c>
    </row>
    <row r="138">
      <c r="D138" s="6">
        <v>60.0</v>
      </c>
      <c r="E138" s="6"/>
      <c r="F138" s="6">
        <v>161.0</v>
      </c>
      <c r="G138" s="21">
        <f t="shared" si="17"/>
        <v>0.9</v>
      </c>
      <c r="H138" s="3">
        <v>5.921052631578938</v>
      </c>
    </row>
    <row r="139">
      <c r="D139" s="6">
        <v>70.0</v>
      </c>
      <c r="E139" s="6"/>
      <c r="F139" s="6">
        <v>169.0</v>
      </c>
      <c r="G139" s="21">
        <f t="shared" si="17"/>
        <v>0.8</v>
      </c>
      <c r="H139" s="3">
        <v>4.968944099378891</v>
      </c>
      <c r="L139" s="7">
        <v>200.0</v>
      </c>
    </row>
    <row r="140">
      <c r="D140" s="6">
        <v>80.0</v>
      </c>
      <c r="E140" s="6"/>
      <c r="F140" s="6">
        <v>177.0</v>
      </c>
      <c r="G140" s="21">
        <f t="shared" si="17"/>
        <v>0.8</v>
      </c>
      <c r="H140" s="3">
        <v>4.7337278106508895</v>
      </c>
      <c r="L140" s="7">
        <v>346.7</v>
      </c>
    </row>
    <row r="141">
      <c r="D141" s="6">
        <v>90.0</v>
      </c>
      <c r="E141" s="6"/>
      <c r="F141" s="6">
        <v>184.0</v>
      </c>
      <c r="G141" s="21">
        <f t="shared" si="17"/>
        <v>0.7</v>
      </c>
      <c r="H141" s="3">
        <v>3.9548022598870025</v>
      </c>
      <c r="L141" s="7">
        <v>346.7</v>
      </c>
    </row>
    <row r="142">
      <c r="D142" s="6">
        <v>100.0</v>
      </c>
      <c r="E142" s="6"/>
      <c r="F142" s="6">
        <v>191.0</v>
      </c>
      <c r="G142" s="21">
        <f t="shared" si="17"/>
        <v>0.7</v>
      </c>
      <c r="H142" s="3">
        <v>3.8043478260869623</v>
      </c>
      <c r="L142" s="7">
        <v>346.7</v>
      </c>
    </row>
    <row r="143">
      <c r="D143" s="6">
        <v>110.0</v>
      </c>
      <c r="E143" s="6"/>
      <c r="F143" s="6">
        <v>197.0</v>
      </c>
      <c r="G143" s="21">
        <f t="shared" si="17"/>
        <v>0.6</v>
      </c>
      <c r="H143" s="3">
        <v>3.141361256544495</v>
      </c>
    </row>
    <row r="144">
      <c r="D144" s="6">
        <v>120.0</v>
      </c>
      <c r="E144" s="6"/>
      <c r="F144" s="6">
        <v>202.0</v>
      </c>
      <c r="G144" s="21">
        <f t="shared" si="17"/>
        <v>0.5</v>
      </c>
      <c r="H144" s="3">
        <v>2.538071065989844</v>
      </c>
      <c r="I144">
        <f>0.13-2.5*24</f>
        <v>-59.87</v>
      </c>
      <c r="J144">
        <f>(F127-F126)/(D127-D126)</f>
        <v>0.031</v>
      </c>
      <c r="K144">
        <f>J144*24</f>
        <v>0.744</v>
      </c>
      <c r="L144">
        <f>K144/100*2.5</f>
        <v>0.0186</v>
      </c>
    </row>
    <row r="145">
      <c r="D145" s="6">
        <v>130.0</v>
      </c>
      <c r="E145" s="6"/>
      <c r="F145" s="6">
        <v>207.0</v>
      </c>
      <c r="G145" s="21">
        <f t="shared" si="17"/>
        <v>0.5</v>
      </c>
      <c r="H145" s="3">
        <v>2.4752475247524774</v>
      </c>
    </row>
    <row r="146">
      <c r="D146" s="6">
        <v>140.0</v>
      </c>
      <c r="E146" s="6"/>
      <c r="F146" s="6">
        <v>211.0</v>
      </c>
      <c r="G146" s="21">
        <f t="shared" si="17"/>
        <v>0.4</v>
      </c>
      <c r="H146" s="3">
        <v>1.9323671497584627</v>
      </c>
    </row>
    <row r="147">
      <c r="D147" s="6">
        <v>150.0</v>
      </c>
      <c r="E147" s="6"/>
      <c r="F147" s="6">
        <v>215.0</v>
      </c>
      <c r="G147" s="21">
        <f t="shared" si="17"/>
        <v>0.4</v>
      </c>
      <c r="H147" s="3">
        <v>1.8957345971563955</v>
      </c>
    </row>
    <row r="148">
      <c r="D148" s="6">
        <v>160.0</v>
      </c>
      <c r="E148" s="6"/>
      <c r="F148" s="6">
        <v>218.0</v>
      </c>
      <c r="G148" s="21">
        <f t="shared" si="17"/>
        <v>0.3</v>
      </c>
      <c r="H148" s="3">
        <v>1.3953488372093092</v>
      </c>
    </row>
    <row r="149">
      <c r="D149" s="6">
        <v>170.0</v>
      </c>
      <c r="E149" s="6"/>
      <c r="F149" s="6">
        <v>221.0</v>
      </c>
      <c r="G149" s="21">
        <f t="shared" si="17"/>
        <v>0.3</v>
      </c>
      <c r="H149" s="3">
        <v>1.3761467889908285</v>
      </c>
    </row>
    <row r="150">
      <c r="D150" s="6">
        <v>180.0</v>
      </c>
      <c r="E150" s="6"/>
      <c r="F150" s="6">
        <v>223.0</v>
      </c>
      <c r="G150" s="21">
        <f t="shared" si="17"/>
        <v>0.2</v>
      </c>
      <c r="H150" s="3">
        <v>0.9049773755656076</v>
      </c>
    </row>
    <row r="151">
      <c r="D151" s="6">
        <v>190.0</v>
      </c>
      <c r="E151" s="6"/>
      <c r="F151" s="6">
        <v>224.0</v>
      </c>
      <c r="G151" s="21">
        <f t="shared" si="17"/>
        <v>0.1</v>
      </c>
      <c r="H151" s="3">
        <v>0.4484304932735439</v>
      </c>
    </row>
    <row r="152">
      <c r="D152" s="6">
        <v>200.0</v>
      </c>
      <c r="E152" s="6"/>
      <c r="F152" s="6">
        <v>225.0</v>
      </c>
      <c r="G152" s="21">
        <f t="shared" si="17"/>
        <v>0.1</v>
      </c>
      <c r="H152" s="3">
        <v>0.44642857142858094</v>
      </c>
    </row>
    <row r="153">
      <c r="D153" s="6">
        <v>300.0</v>
      </c>
      <c r="E153" s="6"/>
      <c r="F153" s="6">
        <v>235.0</v>
      </c>
      <c r="G153" s="21">
        <f t="shared" si="17"/>
        <v>0.1</v>
      </c>
      <c r="H153" s="3">
        <v>4.444444444444451</v>
      </c>
    </row>
    <row r="154">
      <c r="D154" s="6">
        <v>500.0</v>
      </c>
      <c r="E154" s="6"/>
      <c r="F154" s="6">
        <v>245.0</v>
      </c>
      <c r="G154" s="21">
        <f t="shared" si="17"/>
        <v>0.05</v>
      </c>
      <c r="H154" s="3">
        <v>4.255319148936176</v>
      </c>
    </row>
    <row r="155">
      <c r="D155" s="6">
        <v>700.0</v>
      </c>
      <c r="E155" s="6"/>
      <c r="F155" s="6">
        <v>255.0</v>
      </c>
      <c r="G155" s="21">
        <f t="shared" si="17"/>
        <v>0.05</v>
      </c>
      <c r="H155" s="3">
        <v>4.081632653061229</v>
      </c>
    </row>
    <row r="156">
      <c r="D156" s="6">
        <v>900.0</v>
      </c>
      <c r="E156" s="6"/>
      <c r="F156" s="6">
        <v>265.0</v>
      </c>
      <c r="G156" s="21">
        <f t="shared" si="17"/>
        <v>0.05</v>
      </c>
      <c r="H156" s="3">
        <v>3.9215686274509887</v>
      </c>
    </row>
    <row r="157">
      <c r="D157" s="6">
        <v>1200.0</v>
      </c>
      <c r="E157" s="6"/>
      <c r="F157" s="6">
        <v>275.0</v>
      </c>
      <c r="G157" s="21">
        <f t="shared" si="17"/>
        <v>0.03333333333</v>
      </c>
      <c r="H157" s="3">
        <v>3.7735849056603765</v>
      </c>
    </row>
    <row r="160">
      <c r="E160" s="2" t="str">
        <f>"+skill"</f>
        <v>+skill</v>
      </c>
      <c r="F160" s="2" t="s">
        <v>115</v>
      </c>
      <c r="G160" s="2" t="s">
        <v>116</v>
      </c>
      <c r="K160" t="str">
        <f>"+skill"</f>
        <v>+skill</v>
      </c>
      <c r="L160" s="2" t="s">
        <v>117</v>
      </c>
      <c r="M160" t="str">
        <f>"% dps change (from base)"
</f>
        <v>% dps change (from base)</v>
      </c>
      <c r="N160" t="str">
        <f>"% dps change from last"</f>
        <v>% dps change from last</v>
      </c>
    </row>
    <row r="161">
      <c r="E161" s="2">
        <v>0.0</v>
      </c>
      <c r="F161" s="2">
        <v>0.0</v>
      </c>
      <c r="G161" s="2">
        <v>0.0</v>
      </c>
      <c r="I161" s="2">
        <v>107.0</v>
      </c>
      <c r="J161" s="2">
        <v>107.0</v>
      </c>
      <c r="K161" s="2">
        <v>0.0</v>
      </c>
      <c r="L161" s="29">
        <f t="shared" ref="L161:L211" si="18">if(K161&lt;=$E$163,K161/100*$G$163,if(K161&lt;=$E$164,($F$164-$F$163)/($E$164-$E$163)*(K161-$E$163)+$F$163,if(K161&lt;=$E$165,($F$165-$F$164)/($E$165-$E$164)*(K161-$E$164)+$F$164,"null")))</f>
        <v>0</v>
      </c>
      <c r="M161" s="28">
        <f t="shared" ref="M161:M211" si="19">(AVERAGE(J$162,J$161+(J$162-J$161)*$L161)/(AVERAGE(J$162,J$161)))-100%</f>
        <v>0</v>
      </c>
    </row>
    <row r="162">
      <c r="E162" s="2">
        <v>100.0</v>
      </c>
      <c r="F162" s="12">
        <v>0.02</v>
      </c>
      <c r="G162" s="29">
        <f>F162</f>
        <v>0.02</v>
      </c>
      <c r="I162" s="2">
        <v>608.0</v>
      </c>
      <c r="J162" s="2">
        <v>608.0</v>
      </c>
      <c r="K162">
        <f t="shared" ref="K162:K211" si="20">K161+100</f>
        <v>100</v>
      </c>
      <c r="L162" s="29">
        <f t="shared" si="18"/>
        <v>0.02</v>
      </c>
      <c r="M162" s="28">
        <f t="shared" si="19"/>
        <v>0.01401398601</v>
      </c>
    </row>
    <row r="163">
      <c r="E163" s="2">
        <v>1000.0</v>
      </c>
      <c r="F163" s="12">
        <v>0.2</v>
      </c>
      <c r="G163" s="29">
        <f t="shared" ref="G163:G165" si="21">((F163-F162)/(E163-E162))*100</f>
        <v>0.02</v>
      </c>
      <c r="K163">
        <f t="shared" si="20"/>
        <v>200</v>
      </c>
      <c r="L163" s="29">
        <f t="shared" si="18"/>
        <v>0.04</v>
      </c>
      <c r="M163" s="28">
        <f t="shared" si="19"/>
        <v>0.02802797203</v>
      </c>
      <c r="N163" s="28">
        <f t="shared" ref="N163:N211" si="22">(M163-M162)/M162</f>
        <v>1</v>
      </c>
    </row>
    <row r="164">
      <c r="E164" s="2">
        <v>2500.0</v>
      </c>
      <c r="F164" s="12">
        <v>0.3</v>
      </c>
      <c r="G164" s="29">
        <f t="shared" si="21"/>
        <v>0.006666666667</v>
      </c>
      <c r="K164">
        <f t="shared" si="20"/>
        <v>300</v>
      </c>
      <c r="L164" s="29">
        <f t="shared" si="18"/>
        <v>0.06</v>
      </c>
      <c r="M164" s="28">
        <f t="shared" si="19"/>
        <v>0.04204195804</v>
      </c>
      <c r="N164" s="28">
        <f t="shared" si="22"/>
        <v>0.5</v>
      </c>
    </row>
    <row r="165">
      <c r="E165" s="2">
        <v>5000.0</v>
      </c>
      <c r="F165" s="12">
        <v>0.4</v>
      </c>
      <c r="G165" s="29">
        <f t="shared" si="21"/>
        <v>0.004</v>
      </c>
      <c r="K165">
        <f t="shared" si="20"/>
        <v>400</v>
      </c>
      <c r="L165" s="29">
        <f t="shared" si="18"/>
        <v>0.08</v>
      </c>
      <c r="M165" s="28">
        <f t="shared" si="19"/>
        <v>0.05605594406</v>
      </c>
      <c r="N165" s="28">
        <f t="shared" si="22"/>
        <v>0.3333333333</v>
      </c>
    </row>
    <row r="166">
      <c r="K166">
        <f t="shared" si="20"/>
        <v>500</v>
      </c>
      <c r="L166" s="29">
        <f t="shared" si="18"/>
        <v>0.1</v>
      </c>
      <c r="M166" s="28">
        <f t="shared" si="19"/>
        <v>0.07006993007</v>
      </c>
      <c r="N166" s="28">
        <f t="shared" si="22"/>
        <v>0.25</v>
      </c>
    </row>
    <row r="167">
      <c r="K167">
        <f t="shared" si="20"/>
        <v>600</v>
      </c>
      <c r="L167" s="29">
        <f t="shared" si="18"/>
        <v>0.12</v>
      </c>
      <c r="M167" s="28">
        <f t="shared" si="19"/>
        <v>0.08408391608</v>
      </c>
      <c r="N167" s="28">
        <f t="shared" si="22"/>
        <v>0.2</v>
      </c>
    </row>
    <row r="168">
      <c r="K168">
        <f t="shared" si="20"/>
        <v>700</v>
      </c>
      <c r="L168" s="29">
        <f t="shared" si="18"/>
        <v>0.14</v>
      </c>
      <c r="M168" s="28">
        <f t="shared" si="19"/>
        <v>0.0980979021</v>
      </c>
      <c r="N168" s="28">
        <f t="shared" si="22"/>
        <v>0.1666666667</v>
      </c>
    </row>
    <row r="169">
      <c r="K169">
        <f t="shared" si="20"/>
        <v>800</v>
      </c>
      <c r="L169" s="29">
        <f t="shared" si="18"/>
        <v>0.16</v>
      </c>
      <c r="M169" s="28">
        <f t="shared" si="19"/>
        <v>0.1121118881</v>
      </c>
      <c r="N169" s="28">
        <f t="shared" si="22"/>
        <v>0.1428571429</v>
      </c>
    </row>
    <row r="170">
      <c r="C170" s="2" t="s">
        <v>118</v>
      </c>
      <c r="K170">
        <f t="shared" si="20"/>
        <v>900</v>
      </c>
      <c r="L170" s="29">
        <f t="shared" si="18"/>
        <v>0.18</v>
      </c>
      <c r="M170" s="28">
        <f t="shared" si="19"/>
        <v>0.1261258741</v>
      </c>
      <c r="N170" s="28">
        <f t="shared" si="22"/>
        <v>0.125</v>
      </c>
    </row>
    <row r="171">
      <c r="C171" s="2">
        <v>13919.0</v>
      </c>
      <c r="K171">
        <f t="shared" si="20"/>
        <v>1000</v>
      </c>
      <c r="L171" s="29">
        <f t="shared" si="18"/>
        <v>0.2</v>
      </c>
      <c r="M171" s="28">
        <f t="shared" si="19"/>
        <v>0.1401398601</v>
      </c>
      <c r="N171" s="28">
        <f t="shared" si="22"/>
        <v>0.1111111111</v>
      </c>
    </row>
    <row r="172">
      <c r="C172" s="2">
        <v>46570.0</v>
      </c>
      <c r="F172">
        <f>(C172/2.5737)/C171</f>
        <v>1.299990805</v>
      </c>
      <c r="K172">
        <f t="shared" si="20"/>
        <v>1100</v>
      </c>
      <c r="L172" s="29">
        <f t="shared" si="18"/>
        <v>0.2066666667</v>
      </c>
      <c r="M172" s="28">
        <f t="shared" si="19"/>
        <v>0.1448111888</v>
      </c>
      <c r="N172" s="28">
        <f t="shared" si="22"/>
        <v>0.03333333333</v>
      </c>
    </row>
    <row r="173">
      <c r="K173">
        <f t="shared" si="20"/>
        <v>1200</v>
      </c>
      <c r="L173" s="29">
        <f t="shared" si="18"/>
        <v>0.2133333333</v>
      </c>
      <c r="M173" s="28">
        <f t="shared" si="19"/>
        <v>0.1494825175</v>
      </c>
      <c r="N173" s="28">
        <f t="shared" si="22"/>
        <v>0.03225806452</v>
      </c>
    </row>
    <row r="174">
      <c r="C174" s="2" t="s">
        <v>119</v>
      </c>
      <c r="K174">
        <f t="shared" si="20"/>
        <v>1300</v>
      </c>
      <c r="L174" s="29">
        <f t="shared" si="18"/>
        <v>0.22</v>
      </c>
      <c r="M174" s="28">
        <f t="shared" si="19"/>
        <v>0.1541538462</v>
      </c>
      <c r="N174" s="28">
        <f t="shared" si="22"/>
        <v>0.03125</v>
      </c>
    </row>
    <row r="175">
      <c r="C175" s="2">
        <v>16740.0</v>
      </c>
      <c r="K175">
        <f t="shared" si="20"/>
        <v>1400</v>
      </c>
      <c r="L175" s="29">
        <f t="shared" si="18"/>
        <v>0.2266666667</v>
      </c>
      <c r="M175" s="28">
        <f t="shared" si="19"/>
        <v>0.1588251748</v>
      </c>
      <c r="N175" s="28">
        <f t="shared" si="22"/>
        <v>0.0303030303</v>
      </c>
    </row>
    <row r="176">
      <c r="C176" s="2">
        <v>43083.0</v>
      </c>
      <c r="F176">
        <f>(C176/2.5737)/C175</f>
        <v>0.9999828706</v>
      </c>
      <c r="K176">
        <f t="shared" si="20"/>
        <v>1500</v>
      </c>
      <c r="L176" s="29">
        <f t="shared" si="18"/>
        <v>0.2333333333</v>
      </c>
      <c r="M176" s="28">
        <f t="shared" si="19"/>
        <v>0.1634965035</v>
      </c>
      <c r="N176" s="28">
        <f t="shared" si="22"/>
        <v>0.02941176471</v>
      </c>
    </row>
    <row r="177">
      <c r="K177">
        <f t="shared" si="20"/>
        <v>1600</v>
      </c>
      <c r="L177" s="29">
        <f t="shared" si="18"/>
        <v>0.24</v>
      </c>
      <c r="M177" s="28">
        <f t="shared" si="19"/>
        <v>0.1681678322</v>
      </c>
      <c r="N177" s="28">
        <f t="shared" si="22"/>
        <v>0.02857142857</v>
      </c>
    </row>
    <row r="178">
      <c r="K178">
        <f t="shared" si="20"/>
        <v>1700</v>
      </c>
      <c r="L178" s="29">
        <f t="shared" si="18"/>
        <v>0.2466666667</v>
      </c>
      <c r="M178" s="28">
        <f t="shared" si="19"/>
        <v>0.1728391608</v>
      </c>
      <c r="N178" s="28">
        <f t="shared" si="22"/>
        <v>0.02777777778</v>
      </c>
    </row>
    <row r="179">
      <c r="K179">
        <f t="shared" si="20"/>
        <v>1800</v>
      </c>
      <c r="L179" s="29">
        <f t="shared" si="18"/>
        <v>0.2533333333</v>
      </c>
      <c r="M179" s="28">
        <f t="shared" si="19"/>
        <v>0.1775104895</v>
      </c>
      <c r="N179" s="28">
        <f t="shared" si="22"/>
        <v>0.02702702703</v>
      </c>
    </row>
    <row r="180">
      <c r="C180" s="2" t="s">
        <v>118</v>
      </c>
      <c r="K180">
        <f t="shared" si="20"/>
        <v>1900</v>
      </c>
      <c r="L180" s="29">
        <f t="shared" si="18"/>
        <v>0.26</v>
      </c>
      <c r="M180" s="28">
        <f t="shared" si="19"/>
        <v>0.1821818182</v>
      </c>
      <c r="N180" s="28">
        <f t="shared" si="22"/>
        <v>0.02631578947</v>
      </c>
    </row>
    <row r="181">
      <c r="C181" s="2">
        <v>2181.0</v>
      </c>
      <c r="K181">
        <f t="shared" si="20"/>
        <v>2000</v>
      </c>
      <c r="L181" s="29">
        <f t="shared" si="18"/>
        <v>0.2666666667</v>
      </c>
      <c r="M181" s="28">
        <f t="shared" si="19"/>
        <v>0.1868531469</v>
      </c>
      <c r="N181" s="28">
        <f t="shared" si="22"/>
        <v>0.02564102564</v>
      </c>
    </row>
    <row r="182">
      <c r="C182" s="2">
        <v>5240.0</v>
      </c>
      <c r="D182" s="2">
        <v>2.4029</v>
      </c>
      <c r="F182">
        <f>(C182/D182)/C181</f>
        <v>0.9998616794</v>
      </c>
      <c r="K182">
        <f t="shared" si="20"/>
        <v>2100</v>
      </c>
      <c r="L182" s="29">
        <f t="shared" si="18"/>
        <v>0.2733333333</v>
      </c>
      <c r="M182" s="28">
        <f t="shared" si="19"/>
        <v>0.1915244755</v>
      </c>
      <c r="N182" s="28">
        <f t="shared" si="22"/>
        <v>0.025</v>
      </c>
    </row>
    <row r="183">
      <c r="K183">
        <f t="shared" si="20"/>
        <v>2200</v>
      </c>
      <c r="L183" s="29">
        <f t="shared" si="18"/>
        <v>0.28</v>
      </c>
      <c r="M183" s="28">
        <f t="shared" si="19"/>
        <v>0.1961958042</v>
      </c>
      <c r="N183" s="28">
        <f t="shared" si="22"/>
        <v>0.0243902439</v>
      </c>
    </row>
    <row r="184">
      <c r="C184" s="2" t="s">
        <v>119</v>
      </c>
      <c r="K184">
        <f t="shared" si="20"/>
        <v>2300</v>
      </c>
      <c r="L184" s="29">
        <f t="shared" si="18"/>
        <v>0.2866666667</v>
      </c>
      <c r="M184" s="28">
        <f t="shared" si="19"/>
        <v>0.2008671329</v>
      </c>
      <c r="N184" s="28">
        <f t="shared" si="22"/>
        <v>0.02380952381</v>
      </c>
    </row>
    <row r="185">
      <c r="C185" s="2">
        <v>6266.0</v>
      </c>
      <c r="K185">
        <f t="shared" si="20"/>
        <v>2400</v>
      </c>
      <c r="L185" s="29">
        <f t="shared" si="18"/>
        <v>0.2933333333</v>
      </c>
      <c r="M185" s="28">
        <f t="shared" si="19"/>
        <v>0.2055384615</v>
      </c>
      <c r="N185" s="28">
        <f t="shared" si="22"/>
        <v>0.02325581395</v>
      </c>
    </row>
    <row r="186">
      <c r="C186" s="2">
        <v>30114.0</v>
      </c>
      <c r="F186">
        <f>(C186/2.4029)/C185</f>
        <v>2.000056932</v>
      </c>
      <c r="K186">
        <f t="shared" si="20"/>
        <v>2500</v>
      </c>
      <c r="L186" s="29">
        <f t="shared" si="18"/>
        <v>0.3</v>
      </c>
      <c r="M186" s="28">
        <f t="shared" si="19"/>
        <v>0.2102097902</v>
      </c>
      <c r="N186" s="28">
        <f t="shared" si="22"/>
        <v>0.02272727273</v>
      </c>
    </row>
    <row r="187">
      <c r="K187">
        <f t="shared" si="20"/>
        <v>2600</v>
      </c>
      <c r="L187" s="29">
        <f t="shared" si="18"/>
        <v>0.304</v>
      </c>
      <c r="M187" s="28">
        <f t="shared" si="19"/>
        <v>0.2130125874</v>
      </c>
      <c r="N187" s="28">
        <f t="shared" si="22"/>
        <v>0.01333333333</v>
      </c>
    </row>
    <row r="188">
      <c r="K188">
        <f t="shared" si="20"/>
        <v>2700</v>
      </c>
      <c r="L188" s="29">
        <f t="shared" si="18"/>
        <v>0.308</v>
      </c>
      <c r="M188" s="28">
        <f t="shared" si="19"/>
        <v>0.2158153846</v>
      </c>
      <c r="N188" s="28">
        <f t="shared" si="22"/>
        <v>0.01315789474</v>
      </c>
    </row>
    <row r="189">
      <c r="K189">
        <f t="shared" si="20"/>
        <v>2800</v>
      </c>
      <c r="L189" s="29">
        <f t="shared" si="18"/>
        <v>0.312</v>
      </c>
      <c r="M189" s="28">
        <f t="shared" si="19"/>
        <v>0.2186181818</v>
      </c>
      <c r="N189" s="28">
        <f t="shared" si="22"/>
        <v>0.01298701299</v>
      </c>
    </row>
    <row r="190">
      <c r="K190">
        <f t="shared" si="20"/>
        <v>2900</v>
      </c>
      <c r="L190" s="29">
        <f t="shared" si="18"/>
        <v>0.316</v>
      </c>
      <c r="M190" s="28">
        <f t="shared" si="19"/>
        <v>0.221420979</v>
      </c>
      <c r="N190" s="28">
        <f t="shared" si="22"/>
        <v>0.01282051282</v>
      </c>
    </row>
    <row r="191">
      <c r="K191">
        <f t="shared" si="20"/>
        <v>3000</v>
      </c>
      <c r="L191" s="29">
        <f t="shared" si="18"/>
        <v>0.32</v>
      </c>
      <c r="M191" s="28">
        <f t="shared" si="19"/>
        <v>0.2242237762</v>
      </c>
      <c r="N191" s="28">
        <f t="shared" si="22"/>
        <v>0.01265822785</v>
      </c>
    </row>
    <row r="192">
      <c r="K192">
        <f t="shared" si="20"/>
        <v>3100</v>
      </c>
      <c r="L192" s="29">
        <f t="shared" si="18"/>
        <v>0.324</v>
      </c>
      <c r="M192" s="28">
        <f t="shared" si="19"/>
        <v>0.2270265734</v>
      </c>
      <c r="N192" s="28">
        <f t="shared" si="22"/>
        <v>0.0125</v>
      </c>
    </row>
    <row r="193">
      <c r="K193">
        <f t="shared" si="20"/>
        <v>3200</v>
      </c>
      <c r="L193" s="29">
        <f t="shared" si="18"/>
        <v>0.328</v>
      </c>
      <c r="M193" s="28">
        <f t="shared" si="19"/>
        <v>0.2298293706</v>
      </c>
      <c r="N193" s="28">
        <f t="shared" si="22"/>
        <v>0.01234567901</v>
      </c>
    </row>
    <row r="194">
      <c r="K194">
        <f t="shared" si="20"/>
        <v>3300</v>
      </c>
      <c r="L194" s="29">
        <f t="shared" si="18"/>
        <v>0.332</v>
      </c>
      <c r="M194" s="28">
        <f t="shared" si="19"/>
        <v>0.2326321678</v>
      </c>
      <c r="N194" s="28">
        <f t="shared" si="22"/>
        <v>0.01219512195</v>
      </c>
    </row>
    <row r="195">
      <c r="K195">
        <f t="shared" si="20"/>
        <v>3400</v>
      </c>
      <c r="L195" s="29">
        <f t="shared" si="18"/>
        <v>0.336</v>
      </c>
      <c r="M195" s="28">
        <f t="shared" si="19"/>
        <v>0.235434965</v>
      </c>
      <c r="N195" s="28">
        <f t="shared" si="22"/>
        <v>0.01204819277</v>
      </c>
    </row>
    <row r="196">
      <c r="K196">
        <f t="shared" si="20"/>
        <v>3500</v>
      </c>
      <c r="L196" s="29">
        <f t="shared" si="18"/>
        <v>0.34</v>
      </c>
      <c r="M196" s="28">
        <f t="shared" si="19"/>
        <v>0.2382377622</v>
      </c>
      <c r="N196" s="28">
        <f t="shared" si="22"/>
        <v>0.0119047619</v>
      </c>
    </row>
    <row r="197">
      <c r="K197">
        <f t="shared" si="20"/>
        <v>3600</v>
      </c>
      <c r="L197" s="29">
        <f t="shared" si="18"/>
        <v>0.344</v>
      </c>
      <c r="M197" s="28">
        <f t="shared" si="19"/>
        <v>0.2410405594</v>
      </c>
      <c r="N197" s="28">
        <f t="shared" si="22"/>
        <v>0.01176470588</v>
      </c>
    </row>
    <row r="198">
      <c r="K198">
        <f t="shared" si="20"/>
        <v>3700</v>
      </c>
      <c r="L198" s="29">
        <f t="shared" si="18"/>
        <v>0.348</v>
      </c>
      <c r="M198" s="28">
        <f t="shared" si="19"/>
        <v>0.2438433566</v>
      </c>
      <c r="N198" s="28">
        <f t="shared" si="22"/>
        <v>0.01162790698</v>
      </c>
    </row>
    <row r="199">
      <c r="K199">
        <f t="shared" si="20"/>
        <v>3800</v>
      </c>
      <c r="L199" s="29">
        <f t="shared" si="18"/>
        <v>0.352</v>
      </c>
      <c r="M199" s="28">
        <f t="shared" si="19"/>
        <v>0.2466461538</v>
      </c>
      <c r="N199" s="28">
        <f t="shared" si="22"/>
        <v>0.01149425287</v>
      </c>
    </row>
    <row r="200">
      <c r="K200">
        <f t="shared" si="20"/>
        <v>3900</v>
      </c>
      <c r="L200" s="29">
        <f t="shared" si="18"/>
        <v>0.356</v>
      </c>
      <c r="M200" s="28">
        <f t="shared" si="19"/>
        <v>0.249448951</v>
      </c>
      <c r="N200" s="28">
        <f t="shared" si="22"/>
        <v>0.01136363636</v>
      </c>
    </row>
    <row r="201">
      <c r="K201">
        <f t="shared" si="20"/>
        <v>4000</v>
      </c>
      <c r="L201" s="29">
        <f t="shared" si="18"/>
        <v>0.36</v>
      </c>
      <c r="M201" s="28">
        <f t="shared" si="19"/>
        <v>0.2522517483</v>
      </c>
      <c r="N201" s="28">
        <f t="shared" si="22"/>
        <v>0.01123595506</v>
      </c>
    </row>
    <row r="202">
      <c r="K202">
        <f t="shared" si="20"/>
        <v>4100</v>
      </c>
      <c r="L202" s="29">
        <f t="shared" si="18"/>
        <v>0.364</v>
      </c>
      <c r="M202" s="28">
        <f t="shared" si="19"/>
        <v>0.2550545455</v>
      </c>
      <c r="N202" s="28">
        <f t="shared" si="22"/>
        <v>0.01111111111</v>
      </c>
    </row>
    <row r="203">
      <c r="K203">
        <f t="shared" si="20"/>
        <v>4200</v>
      </c>
      <c r="L203" s="29">
        <f t="shared" si="18"/>
        <v>0.368</v>
      </c>
      <c r="M203" s="28">
        <f t="shared" si="19"/>
        <v>0.2578573427</v>
      </c>
      <c r="N203" s="28">
        <f t="shared" si="22"/>
        <v>0.01098901099</v>
      </c>
    </row>
    <row r="204">
      <c r="K204">
        <f t="shared" si="20"/>
        <v>4300</v>
      </c>
      <c r="L204" s="29">
        <f t="shared" si="18"/>
        <v>0.372</v>
      </c>
      <c r="M204" s="28">
        <f t="shared" si="19"/>
        <v>0.2606601399</v>
      </c>
      <c r="N204" s="28">
        <f t="shared" si="22"/>
        <v>0.01086956522</v>
      </c>
    </row>
    <row r="205">
      <c r="K205">
        <f t="shared" si="20"/>
        <v>4400</v>
      </c>
      <c r="L205" s="29">
        <f t="shared" si="18"/>
        <v>0.376</v>
      </c>
      <c r="M205" s="28">
        <f t="shared" si="19"/>
        <v>0.2634629371</v>
      </c>
      <c r="N205" s="28">
        <f t="shared" si="22"/>
        <v>0.01075268817</v>
      </c>
    </row>
    <row r="206">
      <c r="K206">
        <f t="shared" si="20"/>
        <v>4500</v>
      </c>
      <c r="L206" s="29">
        <f t="shared" si="18"/>
        <v>0.38</v>
      </c>
      <c r="M206" s="28">
        <f t="shared" si="19"/>
        <v>0.2662657343</v>
      </c>
      <c r="N206" s="28">
        <f t="shared" si="22"/>
        <v>0.01063829787</v>
      </c>
    </row>
    <row r="207">
      <c r="K207">
        <f t="shared" si="20"/>
        <v>4600</v>
      </c>
      <c r="L207" s="29">
        <f t="shared" si="18"/>
        <v>0.384</v>
      </c>
      <c r="M207" s="28">
        <f t="shared" si="19"/>
        <v>0.2690685315</v>
      </c>
      <c r="N207" s="28">
        <f t="shared" si="22"/>
        <v>0.01052631579</v>
      </c>
    </row>
    <row r="208">
      <c r="K208">
        <f t="shared" si="20"/>
        <v>4700</v>
      </c>
      <c r="L208" s="29">
        <f t="shared" si="18"/>
        <v>0.388</v>
      </c>
      <c r="M208" s="28">
        <f t="shared" si="19"/>
        <v>0.2718713287</v>
      </c>
      <c r="N208" s="28">
        <f t="shared" si="22"/>
        <v>0.01041666667</v>
      </c>
    </row>
    <row r="209">
      <c r="K209">
        <f t="shared" si="20"/>
        <v>4800</v>
      </c>
      <c r="L209" s="29">
        <f t="shared" si="18"/>
        <v>0.392</v>
      </c>
      <c r="M209" s="28">
        <f t="shared" si="19"/>
        <v>0.2746741259</v>
      </c>
      <c r="N209" s="28">
        <f t="shared" si="22"/>
        <v>0.01030927835</v>
      </c>
    </row>
    <row r="210">
      <c r="K210">
        <f t="shared" si="20"/>
        <v>4900</v>
      </c>
      <c r="L210" s="29">
        <f t="shared" si="18"/>
        <v>0.396</v>
      </c>
      <c r="M210" s="28">
        <f t="shared" si="19"/>
        <v>0.2774769231</v>
      </c>
      <c r="N210" s="28">
        <f t="shared" si="22"/>
        <v>0.01020408163</v>
      </c>
    </row>
    <row r="211">
      <c r="K211">
        <f t="shared" si="20"/>
        <v>5000</v>
      </c>
      <c r="L211" s="29">
        <f t="shared" si="18"/>
        <v>0.4</v>
      </c>
      <c r="M211" s="28">
        <f t="shared" si="19"/>
        <v>0.2802797203</v>
      </c>
      <c r="N211" s="28">
        <f t="shared" si="22"/>
        <v>0.0101010101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3" t="s">
        <v>120</v>
      </c>
    </row>
    <row r="2">
      <c r="A2" s="6" t="s">
        <v>3</v>
      </c>
      <c r="B2" s="7">
        <v>1.0</v>
      </c>
    </row>
    <row r="3">
      <c r="A3" s="6" t="s">
        <v>8</v>
      </c>
      <c r="B3" s="7">
        <v>1.43181818181818</v>
      </c>
    </row>
    <row r="4">
      <c r="A4" s="6" t="s">
        <v>10</v>
      </c>
      <c r="B4" s="7">
        <v>1.43181818181818</v>
      </c>
      <c r="D4" s="7"/>
    </row>
    <row r="5">
      <c r="A5" s="1"/>
      <c r="D5" s="7"/>
      <c r="E5" s="7"/>
    </row>
    <row r="6">
      <c r="A6" s="1"/>
      <c r="C6" s="10"/>
      <c r="D6" s="7"/>
      <c r="E6" s="7"/>
    </row>
    <row r="7">
      <c r="A7" s="1"/>
      <c r="D7" s="7"/>
      <c r="E7" s="11"/>
    </row>
    <row r="8">
      <c r="A8" s="1"/>
      <c r="D8" s="7"/>
      <c r="E8" s="11"/>
    </row>
    <row r="9">
      <c r="A9" s="6" t="s">
        <v>21</v>
      </c>
      <c r="B9" s="6" t="s">
        <v>121</v>
      </c>
      <c r="C9" s="6" t="s">
        <v>23</v>
      </c>
      <c r="D9" s="6" t="s">
        <v>122</v>
      </c>
    </row>
    <row r="10">
      <c r="A10" s="6">
        <v>0.0</v>
      </c>
      <c r="B10" s="7">
        <v>0.0</v>
      </c>
      <c r="C10" s="20">
        <v>0.0</v>
      </c>
      <c r="D10" s="1"/>
    </row>
    <row r="11">
      <c r="A11" s="6">
        <v>100.0</v>
      </c>
      <c r="B11" s="7">
        <v>100.0</v>
      </c>
      <c r="C11" s="21">
        <f t="shared" ref="C11:C19" si="1">(B11-B10)/(A11-A10)</f>
        <v>1</v>
      </c>
      <c r="D11" s="1"/>
      <c r="G11" s="7" t="s">
        <v>26</v>
      </c>
    </row>
    <row r="12">
      <c r="A12" s="6">
        <v>200.0</v>
      </c>
      <c r="B12" s="7">
        <v>200.0</v>
      </c>
      <c r="C12" s="21">
        <f t="shared" si="1"/>
        <v>1</v>
      </c>
      <c r="D12" s="1"/>
      <c r="E12" s="22" t="s">
        <v>27</v>
      </c>
      <c r="F12" s="74">
        <f>45.4%-8.3%</f>
        <v>0.371</v>
      </c>
      <c r="G12">
        <f>(1+G13)*(G15+3.05*G14)</f>
        <v>10.37561864</v>
      </c>
      <c r="H12" s="7" t="s">
        <v>123</v>
      </c>
      <c r="I12" s="24" t="s">
        <v>30</v>
      </c>
      <c r="J12" s="25" t="s">
        <v>32</v>
      </c>
    </row>
    <row r="13">
      <c r="A13" s="6">
        <v>300.0</v>
      </c>
      <c r="B13" s="7">
        <v>300.0</v>
      </c>
      <c r="C13" s="21">
        <f t="shared" si="1"/>
        <v>1</v>
      </c>
      <c r="E13" s="22" t="s">
        <v>21</v>
      </c>
      <c r="F13" s="26">
        <v>781.3</v>
      </c>
      <c r="G13">
        <f>if(AND($F13&gt;=$A14,$F13&lt;=$A15),(($F13-$A14)*$C15+$B14)/100,if(AND($F13&gt;=$A15,$F13&lt;=$A16),(($F13-$A15)*$C16+$B15)/100,if(AND($F13&gt;=$A16,$F13&lt;=$A17),(($F13-$A16)*$C17+$B16)/100,if(AND($F13&gt;=$A17,$F13&lt;=$A18),(($F13-$A17)*$C18+$B17)/100,if(AND($F13&gt;=$A18,$F13&lt;=$A19),(($F13-$A18)*$C19+$B18)/100,FALSE)))))</f>
        <v>6.45325</v>
      </c>
      <c r="H13">
        <f>if(AND(($F13+100)&gt;=$A14,($F13+100)&lt;=$A15),((($F13+100)-$A14)*$C15+$B14)/100,if(AND(($F13+100)&gt;=$A15,($F13+100)&lt;=$A16),((($F13+100)-$A15)*$C16+$B15)/100,if(AND(($F13+100)&gt;=$A16,($F13+100)&lt;=$A17),((($F13+100)-$A16)*$C17+$B16)/100,if(AND(($F13+100)&gt;=$A17,($F13+100)&lt;=$A18),((($F13+100)-$A17)*$C18+$B17)/100,if(AND(($F13+100)&gt;=$A18,($F13+100)&lt;=$A19),((($F13+100)-$A18)*$C19+$B18)/100,FALSE)))))</f>
        <v>6.70325</v>
      </c>
      <c r="I13" s="30">
        <f>(1+H13)*(G15+3.05*G14)</f>
        <v>10.72364194</v>
      </c>
      <c r="J13" s="30">
        <f t="shared" ref="J13:J15" si="2">I13-(1+G$13)*(G$15+3.05*G$14)</f>
        <v>0.3480233</v>
      </c>
    </row>
    <row r="14">
      <c r="A14" s="6">
        <v>400.0</v>
      </c>
      <c r="B14" s="7">
        <v>400.0</v>
      </c>
      <c r="C14" s="21">
        <f t="shared" si="1"/>
        <v>1</v>
      </c>
      <c r="E14" s="22" t="s">
        <v>34</v>
      </c>
      <c r="F14" s="26">
        <v>352.8</v>
      </c>
      <c r="G14">
        <f>$F$12+if(AND($F14&gt;=$A22,$F14&lt;=$A23),(($F14-$A22)*$C23+$B22)/100,if(AND($F14&gt;=$A23,$F14&lt;=$A24),(($F14-$A23)*$C24+$B23)/100,if(AND($F14&gt;=$A24,$F14&lt;=$A25),(($F14-$A24)*$C25+$B24)/100,if(AND($F14&gt;=$A25,$F14&lt;=$A26),(($F14-$A25)*$C26+$B25)/100,if(AND($F14&gt;=$A26,$F14&lt;=$A27),(($F14-$A26)*$C27+$B26)/100,FALSE)))))</f>
        <v>0.456424</v>
      </c>
      <c r="H14">
        <f>$F$12+if(AND(($F14+100)&gt;=$A22,($F14+100)&lt;=$A23),((($F14+100)-$A22)*$C23+$B22)/100,if(AND(($F14+100)&gt;=$A23,($F14+100)&lt;=$A24),((($F14+100)-$A23)*$C24+$B23)/100,if(AND(($F14+100)&gt;=$A24,($F14+100)&lt;=$A25),((($F14+100)-$A24)*$C25+$B24)/100,if(AND(($F14+100)&gt;=$A25,($F14+100)&lt;=$A26),((($F14+100)-$A25)*$C26+$B25)/100,if(AND(($F14+100)&gt;=$A26,($F14+100)&lt;=$A27),((($F14+100)-$A26)*$C27+$B26)/100,FALSE)))))</f>
        <v>0.489424</v>
      </c>
      <c r="I14" s="30">
        <f>(1+G13)*(G15+3.05*H14)</f>
        <v>11.12578826</v>
      </c>
      <c r="J14" s="30">
        <f t="shared" si="2"/>
        <v>0.7501696125</v>
      </c>
    </row>
    <row r="15">
      <c r="A15" s="6">
        <v>500.0</v>
      </c>
      <c r="B15" s="7">
        <v>500.0</v>
      </c>
      <c r="C15" s="21">
        <f t="shared" si="1"/>
        <v>1</v>
      </c>
      <c r="E15" s="22" t="s">
        <v>12</v>
      </c>
      <c r="F15" s="31">
        <v>152.3</v>
      </c>
      <c r="G15" t="b">
        <f>if(AND($F15&gt;=$A50,$F15&lt;=$A51),(($F15-$A50)*$C51+$B50)/100,if(AND($F15&gt;=$A51,$F15&lt;=$A52),(($F15-$A51)*$C52+$B51)/100,if(AND($F15&gt;=$A52,$F15&lt;=$A53),(($F15-$A52)*$C53+$B52)/100,if(AND($F15&gt;=$A53,$F15&lt;=$A54),(($F15-$A53)*$C54+$B53)/100,if(AND($F15&gt;=$A54,$F15&lt;=$A55),(($F15-$A54)*$C55+$B54)/100,FALSE)))))</f>
        <v>0</v>
      </c>
      <c r="H15">
        <f>if(AND(($F15+100)&gt;=$A50,($F15+100)&lt;=$A51),((($F15+100)-$A50)*$C51+$B50)/100,if(AND(($F15+100)&gt;=$A51,($F15+100)&lt;=$A52),((($F15+100)-$A51)*$C52+$B51)/100,if(AND(($F15+100)&gt;=$A52,($F15+100)&lt;=$A53),((($F15+100)-$A52)*$C53+$B52)/100,if(AND(($F15+100)&gt;=$A53,($F15+100)&lt;=$A54),((($F15+100)-$A53)*$C54+$B53)/100,if(AND(($F15+100)&gt;=$A54,($F15+100)&lt;=$A55),((($F15+100)-$A54)*$C55+$B54)/100,FALSE)))))</f>
        <v>2.3023</v>
      </c>
      <c r="I15" s="30">
        <f>(1+G13)*(H15+3.05*G14)</f>
        <v>27.53523612</v>
      </c>
      <c r="J15" s="30">
        <f t="shared" si="2"/>
        <v>17.15961748</v>
      </c>
    </row>
    <row r="16">
      <c r="A16" s="6">
        <v>600.0</v>
      </c>
      <c r="B16" s="7">
        <v>600.0</v>
      </c>
      <c r="C16" s="21">
        <f t="shared" si="1"/>
        <v>1</v>
      </c>
      <c r="D16" s="1"/>
    </row>
    <row r="17">
      <c r="A17" s="6">
        <v>1000.0</v>
      </c>
      <c r="B17" s="7">
        <v>700.0</v>
      </c>
      <c r="C17" s="21">
        <f t="shared" si="1"/>
        <v>0.25</v>
      </c>
      <c r="D17" s="1"/>
    </row>
    <row r="18">
      <c r="A18" s="6">
        <v>1600.0</v>
      </c>
      <c r="B18" s="7">
        <v>800.0</v>
      </c>
      <c r="C18" s="21">
        <f t="shared" si="1"/>
        <v>0.1666666667</v>
      </c>
      <c r="D18" s="1"/>
    </row>
    <row r="19">
      <c r="A19" s="6">
        <v>2300.0</v>
      </c>
      <c r="B19" s="7">
        <v>900.0</v>
      </c>
      <c r="C19" s="21">
        <f t="shared" si="1"/>
        <v>0.1428571429</v>
      </c>
      <c r="D19" s="1"/>
    </row>
    <row r="20">
      <c r="A20" s="6" t="s">
        <v>36</v>
      </c>
      <c r="C20" s="1"/>
      <c r="D20" s="1"/>
    </row>
    <row r="21">
      <c r="A21" s="6" t="s">
        <v>37</v>
      </c>
      <c r="B21" s="7" t="s">
        <v>124</v>
      </c>
      <c r="C21" s="6" t="s">
        <v>23</v>
      </c>
    </row>
    <row r="22">
      <c r="A22" s="6">
        <v>200.0</v>
      </c>
      <c r="B22" s="7">
        <v>0.0</v>
      </c>
      <c r="C22" s="1">
        <f>B22/A22</f>
        <v>0</v>
      </c>
      <c r="D22" s="1"/>
    </row>
    <row r="23">
      <c r="A23" s="6">
        <v>300.0</v>
      </c>
      <c r="B23" s="7">
        <v>6.8</v>
      </c>
      <c r="C23" s="21">
        <f t="shared" ref="C23:C27" si="3">(B23-B22)/(A23-A22)</f>
        <v>0.068</v>
      </c>
      <c r="D23" s="1"/>
    </row>
    <row r="24">
      <c r="A24" s="6">
        <v>500.0</v>
      </c>
      <c r="B24" s="7">
        <v>13.4</v>
      </c>
      <c r="C24" s="21">
        <f t="shared" si="3"/>
        <v>0.033</v>
      </c>
      <c r="D24" s="1"/>
    </row>
    <row r="25">
      <c r="A25" s="6">
        <v>700.0</v>
      </c>
      <c r="B25" s="7">
        <v>19.6</v>
      </c>
      <c r="C25" s="21">
        <f t="shared" si="3"/>
        <v>0.031</v>
      </c>
      <c r="D25" s="1"/>
    </row>
    <row r="26">
      <c r="A26" s="6">
        <v>900.0</v>
      </c>
      <c r="B26" s="7">
        <v>25.6</v>
      </c>
      <c r="C26" s="21">
        <f t="shared" si="3"/>
        <v>0.03</v>
      </c>
      <c r="D26" s="1"/>
    </row>
    <row r="27">
      <c r="A27" s="6">
        <v>1200.0</v>
      </c>
      <c r="B27" s="7">
        <v>31.4</v>
      </c>
      <c r="C27" s="21">
        <f t="shared" si="3"/>
        <v>0.01933333333</v>
      </c>
      <c r="D27" s="1"/>
    </row>
    <row r="28">
      <c r="A28" s="1"/>
      <c r="C28" s="1"/>
      <c r="D28" s="1"/>
    </row>
    <row r="29">
      <c r="A29" s="1"/>
      <c r="C29" s="1"/>
      <c r="D29" s="1"/>
    </row>
    <row r="30">
      <c r="A30" s="6" t="s">
        <v>12</v>
      </c>
      <c r="B30" s="7" t="s">
        <v>125</v>
      </c>
      <c r="C30" s="6" t="s">
        <v>23</v>
      </c>
      <c r="D30" s="1"/>
    </row>
    <row r="31">
      <c r="A31" s="6">
        <v>10.0</v>
      </c>
      <c r="B31" s="6">
        <v>112.0</v>
      </c>
      <c r="C31" s="21">
        <f>12%/10</f>
        <v>0.012</v>
      </c>
      <c r="D31" s="1"/>
    </row>
    <row r="32">
      <c r="A32" s="6">
        <v>20.0</v>
      </c>
      <c r="B32" s="6">
        <v>122.0</v>
      </c>
      <c r="C32" s="21">
        <f t="shared" ref="C32:C55" si="4">(B32-B31)/(A32-A31)</f>
        <v>1</v>
      </c>
      <c r="D32" s="1"/>
    </row>
    <row r="33">
      <c r="A33" s="6">
        <v>30.0</v>
      </c>
      <c r="B33" s="6">
        <v>133.0</v>
      </c>
      <c r="C33" s="21">
        <f t="shared" si="4"/>
        <v>1.1</v>
      </c>
      <c r="D33" s="1"/>
    </row>
    <row r="34">
      <c r="A34" s="6">
        <v>40.0</v>
      </c>
      <c r="B34" s="6">
        <v>143.0</v>
      </c>
      <c r="C34" s="21">
        <f t="shared" si="4"/>
        <v>1</v>
      </c>
      <c r="D34" s="1"/>
      <c r="H34" s="7" t="s">
        <v>3</v>
      </c>
      <c r="I34" s="7" t="s">
        <v>41</v>
      </c>
    </row>
    <row r="35">
      <c r="A35" s="6">
        <v>50.0</v>
      </c>
      <c r="B35" s="6">
        <v>152.0</v>
      </c>
      <c r="C35" s="21">
        <f t="shared" si="4"/>
        <v>0.9</v>
      </c>
      <c r="D35" s="1"/>
      <c r="H35" s="7" t="s">
        <v>42</v>
      </c>
    </row>
    <row r="36">
      <c r="A36" s="6">
        <v>60.0</v>
      </c>
      <c r="B36" s="6">
        <v>161.0</v>
      </c>
      <c r="C36" s="21">
        <f t="shared" si="4"/>
        <v>0.9</v>
      </c>
      <c r="D36" s="1"/>
    </row>
    <row r="37">
      <c r="A37" s="6">
        <v>70.0</v>
      </c>
      <c r="B37" s="6">
        <v>169.0</v>
      </c>
      <c r="C37" s="21">
        <f t="shared" si="4"/>
        <v>0.8</v>
      </c>
      <c r="D37" s="1"/>
      <c r="H37" s="7">
        <v>200.0</v>
      </c>
      <c r="I37" t="b">
        <f>if(AND(H37&gt;=A23,H37&lt;=A24),((H37-A23)*C24+B23)/100,if(AND(H38&gt;=A24,H38&lt;=A25),((H38-A24)*C25+B24)/100,if(AND(H39&gt;=A25,H39&lt;=A26),((H39-A25)*C26+B25)/100,if(AND(H40&gt;=A26,H40&lt;=A27),((H40-A26)*C27+B26)/100,FALSE))))</f>
        <v>0</v>
      </c>
    </row>
    <row r="38">
      <c r="A38" s="6">
        <v>80.0</v>
      </c>
      <c r="B38" s="6">
        <v>177.0</v>
      </c>
      <c r="C38" s="21">
        <f t="shared" si="4"/>
        <v>0.8</v>
      </c>
      <c r="D38" s="1"/>
      <c r="H38" s="7">
        <v>346.7</v>
      </c>
      <c r="I38" t="b">
        <f>if(AND(H38&gt;=A24,H38&lt;=A25),((H38-A24)*C25+B24)/100,if(AND(H39&gt;=A25,H39&lt;=A26),((H39-A25)*C26+B25)/100,if(AND(H40&gt;=A26,H40&lt;=A27),((H40-A26)*C27+B26)/100,FALSE)))</f>
        <v>0</v>
      </c>
    </row>
    <row r="39">
      <c r="A39" s="6">
        <v>90.0</v>
      </c>
      <c r="B39" s="6">
        <v>184.0</v>
      </c>
      <c r="C39" s="21">
        <f t="shared" si="4"/>
        <v>0.7</v>
      </c>
      <c r="D39" s="1"/>
      <c r="H39" s="7">
        <v>346.7</v>
      </c>
      <c r="I39" t="b">
        <f>if(AND(H39&gt;=A25,H39&lt;=A26),((H39-A25)*C26+B25)/100,if(AND(H40&gt;=A26,H40&lt;=A27),((H40-A26)*C27+B26)/100,FALSE))</f>
        <v>0</v>
      </c>
    </row>
    <row r="40">
      <c r="A40" s="6">
        <v>100.0</v>
      </c>
      <c r="B40" s="6">
        <v>191.0</v>
      </c>
      <c r="C40" s="21">
        <f t="shared" si="4"/>
        <v>0.7</v>
      </c>
      <c r="D40" s="1"/>
      <c r="H40" s="7">
        <v>346.7</v>
      </c>
      <c r="I40" t="b">
        <f>if(AND(H40&gt;=A26,H40&lt;=A27),((H40-A26)*C27+B26)/100,FALSE)</f>
        <v>0</v>
      </c>
    </row>
    <row r="41">
      <c r="A41" s="6">
        <v>110.0</v>
      </c>
      <c r="B41" s="6">
        <v>197.0</v>
      </c>
      <c r="C41" s="21">
        <f t="shared" si="4"/>
        <v>0.6</v>
      </c>
      <c r="D41" s="1"/>
    </row>
    <row r="42">
      <c r="A42" s="6">
        <v>120.0</v>
      </c>
      <c r="B42" s="6">
        <v>202.0</v>
      </c>
      <c r="C42" s="21">
        <f t="shared" si="4"/>
        <v>0.5</v>
      </c>
      <c r="D42" s="1"/>
    </row>
    <row r="43">
      <c r="A43" s="6">
        <v>130.0</v>
      </c>
      <c r="B43" s="6">
        <v>207.0</v>
      </c>
      <c r="C43" s="21">
        <f t="shared" si="4"/>
        <v>0.5</v>
      </c>
      <c r="D43" s="1"/>
    </row>
    <row r="44">
      <c r="A44" s="6">
        <v>140.0</v>
      </c>
      <c r="B44" s="6">
        <v>211.0</v>
      </c>
      <c r="C44" s="21">
        <f t="shared" si="4"/>
        <v>0.4</v>
      </c>
      <c r="D44" s="1"/>
    </row>
    <row r="45">
      <c r="A45" s="6">
        <v>150.0</v>
      </c>
      <c r="B45" s="6">
        <v>215.0</v>
      </c>
      <c r="C45" s="21">
        <f t="shared" si="4"/>
        <v>0.4</v>
      </c>
      <c r="D45" s="1"/>
    </row>
    <row r="46">
      <c r="A46" s="6">
        <v>160.0</v>
      </c>
      <c r="B46" s="6">
        <v>218.0</v>
      </c>
      <c r="C46" s="21">
        <f t="shared" si="4"/>
        <v>0.3</v>
      </c>
      <c r="D46" s="1"/>
    </row>
    <row r="47">
      <c r="A47" s="6">
        <v>170.0</v>
      </c>
      <c r="B47" s="6">
        <v>221.0</v>
      </c>
      <c r="C47" s="21">
        <f t="shared" si="4"/>
        <v>0.3</v>
      </c>
      <c r="D47" s="1"/>
    </row>
    <row r="48">
      <c r="A48" s="6">
        <v>180.0</v>
      </c>
      <c r="B48" s="6">
        <v>223.0</v>
      </c>
      <c r="C48" s="21">
        <f t="shared" si="4"/>
        <v>0.2</v>
      </c>
      <c r="D48" s="1"/>
    </row>
    <row r="49">
      <c r="A49" s="6">
        <v>190.0</v>
      </c>
      <c r="B49" s="6">
        <v>224.0</v>
      </c>
      <c r="C49" s="21">
        <f t="shared" si="4"/>
        <v>0.1</v>
      </c>
    </row>
    <row r="50">
      <c r="A50" s="6">
        <v>200.0</v>
      </c>
      <c r="B50" s="6">
        <v>225.0</v>
      </c>
      <c r="C50" s="21">
        <f t="shared" si="4"/>
        <v>0.1</v>
      </c>
    </row>
    <row r="51">
      <c r="A51" s="6">
        <v>300.0</v>
      </c>
      <c r="B51" s="6">
        <v>235.0</v>
      </c>
      <c r="C51" s="21">
        <f t="shared" si="4"/>
        <v>0.1</v>
      </c>
      <c r="D51" s="1"/>
    </row>
    <row r="52">
      <c r="A52" s="6">
        <v>500.0</v>
      </c>
      <c r="B52" s="6">
        <v>245.0</v>
      </c>
      <c r="C52" s="21">
        <f t="shared" si="4"/>
        <v>0.05</v>
      </c>
      <c r="D52" s="1"/>
    </row>
    <row r="53">
      <c r="A53" s="6">
        <v>700.0</v>
      </c>
      <c r="B53" s="6">
        <v>255.0</v>
      </c>
      <c r="C53" s="21">
        <f t="shared" si="4"/>
        <v>0.05</v>
      </c>
      <c r="D53" s="1"/>
    </row>
    <row r="54">
      <c r="A54" s="6">
        <v>900.0</v>
      </c>
      <c r="B54" s="6">
        <v>265.0</v>
      </c>
      <c r="C54" s="21">
        <f t="shared" si="4"/>
        <v>0.05</v>
      </c>
      <c r="D54" s="1"/>
    </row>
    <row r="55">
      <c r="A55" s="6">
        <v>1200.0</v>
      </c>
      <c r="B55" s="6">
        <v>275.0</v>
      </c>
      <c r="C55" s="21">
        <f t="shared" si="4"/>
        <v>0.03333333333</v>
      </c>
      <c r="D55" s="1"/>
    </row>
    <row r="56">
      <c r="A56" s="1"/>
    </row>
    <row r="57">
      <c r="A57" s="1"/>
    </row>
    <row r="58">
      <c r="A58" s="1"/>
      <c r="B58">
        <f t="shared" ref="B58:B82" si="5">B31*100</f>
        <v>11200</v>
      </c>
    </row>
    <row r="59">
      <c r="A59" s="1"/>
      <c r="B59">
        <f t="shared" si="5"/>
        <v>12200</v>
      </c>
    </row>
    <row r="60">
      <c r="A60" s="1"/>
      <c r="B60">
        <f t="shared" si="5"/>
        <v>13300</v>
      </c>
    </row>
    <row r="61">
      <c r="A61" s="1"/>
      <c r="B61">
        <f t="shared" si="5"/>
        <v>14300</v>
      </c>
    </row>
    <row r="62">
      <c r="A62" s="1"/>
      <c r="B62">
        <f t="shared" si="5"/>
        <v>15200</v>
      </c>
    </row>
    <row r="63">
      <c r="A63" s="1"/>
      <c r="B63">
        <f t="shared" si="5"/>
        <v>16100</v>
      </c>
    </row>
    <row r="64">
      <c r="A64" s="1"/>
      <c r="B64">
        <f t="shared" si="5"/>
        <v>16900</v>
      </c>
    </row>
    <row r="65">
      <c r="A65" s="1"/>
      <c r="B65">
        <f t="shared" si="5"/>
        <v>17700</v>
      </c>
    </row>
    <row r="66">
      <c r="A66" s="1"/>
      <c r="B66">
        <f t="shared" si="5"/>
        <v>18400</v>
      </c>
    </row>
    <row r="67">
      <c r="A67" s="1"/>
      <c r="B67">
        <f t="shared" si="5"/>
        <v>19100</v>
      </c>
    </row>
    <row r="68">
      <c r="A68" s="1"/>
      <c r="B68">
        <f t="shared" si="5"/>
        <v>19700</v>
      </c>
    </row>
    <row r="69">
      <c r="A69" s="1"/>
      <c r="B69">
        <f t="shared" si="5"/>
        <v>20200</v>
      </c>
    </row>
    <row r="70">
      <c r="A70" s="1"/>
      <c r="B70">
        <f t="shared" si="5"/>
        <v>20700</v>
      </c>
    </row>
    <row r="71">
      <c r="A71" s="1"/>
      <c r="B71">
        <f t="shared" si="5"/>
        <v>21100</v>
      </c>
    </row>
    <row r="72">
      <c r="A72" s="1"/>
      <c r="B72">
        <f t="shared" si="5"/>
        <v>21500</v>
      </c>
    </row>
    <row r="73">
      <c r="A73" s="1"/>
      <c r="B73">
        <f t="shared" si="5"/>
        <v>21800</v>
      </c>
    </row>
    <row r="74">
      <c r="A74" s="1"/>
      <c r="B74">
        <f t="shared" si="5"/>
        <v>22100</v>
      </c>
    </row>
    <row r="75">
      <c r="A75" s="1"/>
      <c r="B75">
        <f t="shared" si="5"/>
        <v>22300</v>
      </c>
    </row>
    <row r="76">
      <c r="A76" s="1"/>
      <c r="B76">
        <f t="shared" si="5"/>
        <v>22400</v>
      </c>
    </row>
    <row r="77">
      <c r="A77" s="1"/>
      <c r="B77">
        <f t="shared" si="5"/>
        <v>22500</v>
      </c>
    </row>
    <row r="78">
      <c r="A78" s="1"/>
      <c r="B78">
        <f t="shared" si="5"/>
        <v>23500</v>
      </c>
    </row>
    <row r="79">
      <c r="A79" s="1"/>
      <c r="B79">
        <f t="shared" si="5"/>
        <v>24500</v>
      </c>
    </row>
    <row r="80">
      <c r="A80" s="1"/>
      <c r="B80">
        <f t="shared" si="5"/>
        <v>25500</v>
      </c>
    </row>
    <row r="81">
      <c r="A81" s="1"/>
      <c r="B81">
        <f t="shared" si="5"/>
        <v>26500</v>
      </c>
    </row>
    <row r="82">
      <c r="A82" s="1"/>
      <c r="B82">
        <f t="shared" si="5"/>
        <v>27500</v>
      </c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</sheetData>
  <mergeCells count="1">
    <mergeCell ref="A1:B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126</v>
      </c>
      <c r="B1" s="21">
        <f>1.3+6.646</f>
        <v>7.946</v>
      </c>
      <c r="C1" s="21">
        <f>((B1-1.3)/(1+1/12)+90%+25%+24*1.5%+15%)*(13/12)*(1+0.05+0.15)+1.3</f>
        <v>11.4332</v>
      </c>
      <c r="D1" s="7" t="s">
        <v>127</v>
      </c>
      <c r="K1" s="75"/>
      <c r="L1" s="76"/>
    </row>
    <row r="2">
      <c r="A2" s="7" t="s">
        <v>128</v>
      </c>
      <c r="B2" s="21">
        <f>640%+1</f>
        <v>7.4</v>
      </c>
      <c r="C2" s="21">
        <f>((B2-1)/(1+1/12)+0.3757)*(1+1/12)+1+0.8</f>
        <v>8.607008333</v>
      </c>
      <c r="D2" s="21">
        <f>50%+0.5%+0.3%</f>
        <v>0.508</v>
      </c>
      <c r="E2" s="7" t="s">
        <v>129</v>
      </c>
      <c r="K2" s="75"/>
      <c r="L2" s="76"/>
    </row>
    <row r="3">
      <c r="A3" s="7" t="s">
        <v>130</v>
      </c>
      <c r="B3" s="20">
        <v>0.694</v>
      </c>
      <c r="C3" s="77">
        <f t="shared" ref="C3:C5" si="1">B3</f>
        <v>0.694</v>
      </c>
      <c r="K3" s="75"/>
      <c r="L3" s="76"/>
    </row>
    <row r="4">
      <c r="A4" s="7" t="s">
        <v>131</v>
      </c>
      <c r="B4" s="11">
        <v>0.004</v>
      </c>
      <c r="C4" s="77">
        <f t="shared" si="1"/>
        <v>0.004</v>
      </c>
      <c r="K4" s="75"/>
      <c r="L4" s="76"/>
    </row>
    <row r="5">
      <c r="A5" s="7" t="s">
        <v>132</v>
      </c>
      <c r="B5" s="7">
        <v>1.0</v>
      </c>
      <c r="C5">
        <f t="shared" si="1"/>
        <v>1</v>
      </c>
      <c r="K5" s="75"/>
      <c r="L5" s="76"/>
    </row>
    <row r="6">
      <c r="A6" s="7" t="s">
        <v>133</v>
      </c>
      <c r="B6" s="78">
        <v>10487.0</v>
      </c>
      <c r="C6" s="7">
        <v>10487.0</v>
      </c>
      <c r="K6" s="75"/>
      <c r="L6" s="76"/>
    </row>
    <row r="7">
      <c r="A7" s="7" t="s">
        <v>134</v>
      </c>
      <c r="B7" s="7" t="s">
        <v>135</v>
      </c>
      <c r="C7" s="7" t="s">
        <v>136</v>
      </c>
      <c r="D7" s="7" t="s">
        <v>137</v>
      </c>
      <c r="E7" s="7" t="s">
        <v>55</v>
      </c>
      <c r="F7" s="7" t="s">
        <v>57</v>
      </c>
      <c r="G7" s="7" t="s">
        <v>138</v>
      </c>
      <c r="H7" s="7" t="s">
        <v>139</v>
      </c>
      <c r="I7" s="20" t="s">
        <v>140</v>
      </c>
      <c r="J7" s="7" t="s">
        <v>141</v>
      </c>
      <c r="K7" s="79" t="s">
        <v>142</v>
      </c>
      <c r="L7" s="80" t="s">
        <v>143</v>
      </c>
      <c r="M7" s="7" t="s">
        <v>144</v>
      </c>
      <c r="N7" s="7" t="s">
        <v>145</v>
      </c>
      <c r="O7" s="7" t="s">
        <v>146</v>
      </c>
      <c r="P7" s="7" t="s">
        <v>147</v>
      </c>
      <c r="Q7" s="7" t="s">
        <v>52</v>
      </c>
      <c r="R7" s="7" t="s">
        <v>148</v>
      </c>
      <c r="T7" s="7" t="s">
        <v>18</v>
      </c>
      <c r="U7" s="7" t="s">
        <v>149</v>
      </c>
    </row>
    <row r="8">
      <c r="B8" s="7" t="s">
        <v>150</v>
      </c>
      <c r="C8" s="7">
        <v>0.35</v>
      </c>
      <c r="D8" s="7">
        <v>0.0</v>
      </c>
      <c r="E8" s="7">
        <v>46206.0</v>
      </c>
      <c r="F8" s="7">
        <v>74679.0</v>
      </c>
      <c r="I8" s="21"/>
      <c r="J8" s="7">
        <v>1.0</v>
      </c>
      <c r="K8" s="79">
        <v>1.0</v>
      </c>
      <c r="L8" s="81">
        <f t="shared" ref="L8:L23" si="2">if(E8*($B$1+$I8)&lt;(F8+1),F8+1,E8*($I8+$B$1))</f>
        <v>367152.876</v>
      </c>
      <c r="M8" s="82">
        <f t="shared" ref="M8:M23" si="3">F8*($B$1+$I8)</f>
        <v>593399.334</v>
      </c>
      <c r="N8" s="81">
        <f t="shared" ref="N8:N22" si="4">if(if(G8*($B$1+$I8)&lt;(H8+1),H8+1,G8*($I8+$B$1))=1,0,if(G8*($B$1+$I8)&lt;(H8+1),H8+1,G8*($I8+$B$1)))</f>
        <v>0</v>
      </c>
      <c r="O8" s="83">
        <f t="shared" ref="O8:O22" si="5">H8*($B$1+$I8)</f>
        <v>0</v>
      </c>
      <c r="P8" s="83">
        <f t="shared" ref="P8:P23" si="6">M8+O8*K8*J8</f>
        <v>593399.334</v>
      </c>
      <c r="Q8" s="83">
        <f t="shared" ref="Q8:Q23" si="7">(if($A8=1,$B$5,1)*((L8*E8+F8*M8)/(E8+F8)+if(G8&gt;0,(N8*G8+H8*O8)/(G8+H8)*J8*K8,0)))</f>
        <v>506920.9137</v>
      </c>
      <c r="R8" s="83">
        <f t="shared" ref="R8:R23" si="8">Q8/(C8+0.5*(1/(1+$B$3)))</f>
        <v>785729.7354</v>
      </c>
      <c r="S8" t="str">
        <f t="shared" ref="S8:S23" si="9">B8</f>
        <v>Poison Bolt</v>
      </c>
      <c r="T8" s="83">
        <f t="shared" ref="T8:T10" si="10">$Q8/(($C8+IF($D8&lt;=$J8,if($J8&gt;1,$J8,$D8),$D8)))</f>
        <v>1448345.468</v>
      </c>
      <c r="U8" s="83"/>
    </row>
    <row r="9">
      <c r="B9" s="7" t="s">
        <v>151</v>
      </c>
      <c r="C9" s="7">
        <v>1.5</v>
      </c>
      <c r="D9" s="7">
        <v>0.0</v>
      </c>
      <c r="E9" s="7">
        <v>11059.0</v>
      </c>
      <c r="F9" s="7">
        <v>17066.0</v>
      </c>
      <c r="G9" s="7">
        <v>12477.0</v>
      </c>
      <c r="H9" s="7">
        <v>20794.0</v>
      </c>
      <c r="J9" s="7">
        <v>1.0</v>
      </c>
      <c r="K9" s="79">
        <v>3.0</v>
      </c>
      <c r="L9" s="81">
        <f t="shared" si="2"/>
        <v>87874.814</v>
      </c>
      <c r="M9" s="82">
        <f t="shared" si="3"/>
        <v>135606.436</v>
      </c>
      <c r="N9" s="81">
        <f t="shared" si="4"/>
        <v>99142.242</v>
      </c>
      <c r="O9" s="83">
        <f t="shared" si="5"/>
        <v>165229.124</v>
      </c>
      <c r="P9" s="83">
        <f t="shared" si="6"/>
        <v>631293.808</v>
      </c>
      <c r="Q9" s="83">
        <f t="shared" si="7"/>
        <v>538175.3331</v>
      </c>
      <c r="R9" s="83">
        <f t="shared" si="8"/>
        <v>299792.5072</v>
      </c>
      <c r="S9" t="str">
        <f t="shared" si="9"/>
        <v>Vengeful Arrow 25</v>
      </c>
      <c r="T9" s="83">
        <f t="shared" si="10"/>
        <v>358783.5554</v>
      </c>
      <c r="U9" s="83"/>
    </row>
    <row r="10">
      <c r="B10" s="7" t="s">
        <v>152</v>
      </c>
      <c r="C10" s="7">
        <v>1.5</v>
      </c>
      <c r="D10" s="7">
        <v>0.0</v>
      </c>
      <c r="E10" s="7">
        <v>11059.0</v>
      </c>
      <c r="F10" s="7">
        <v>17066.0</v>
      </c>
      <c r="G10" s="7">
        <v>12477.0</v>
      </c>
      <c r="H10" s="7">
        <v>20794.0</v>
      </c>
      <c r="J10" s="7">
        <v>1.0</v>
      </c>
      <c r="K10" s="79">
        <v>2.0</v>
      </c>
      <c r="L10" s="81">
        <f t="shared" si="2"/>
        <v>87874.814</v>
      </c>
      <c r="M10" s="82">
        <f t="shared" si="3"/>
        <v>135606.436</v>
      </c>
      <c r="N10" s="81">
        <f t="shared" si="4"/>
        <v>99142.242</v>
      </c>
      <c r="O10" s="83">
        <f t="shared" si="5"/>
        <v>165229.124</v>
      </c>
      <c r="P10" s="83">
        <f t="shared" si="6"/>
        <v>466064.684</v>
      </c>
      <c r="Q10" s="83">
        <f t="shared" si="7"/>
        <v>397729.5347</v>
      </c>
      <c r="R10" s="83">
        <f t="shared" si="8"/>
        <v>221556.6694</v>
      </c>
      <c r="S10" t="str">
        <f t="shared" si="9"/>
        <v>Vengeful Arrow 50</v>
      </c>
      <c r="T10" s="83">
        <f t="shared" si="10"/>
        <v>265153.0231</v>
      </c>
      <c r="U10" s="83"/>
    </row>
    <row r="11">
      <c r="B11" s="7" t="s">
        <v>153</v>
      </c>
      <c r="C11" s="7">
        <v>0.0</v>
      </c>
      <c r="D11" s="7">
        <v>2.5</v>
      </c>
      <c r="E11" s="7">
        <v>17113.0</v>
      </c>
      <c r="F11" s="7">
        <v>27943.0</v>
      </c>
      <c r="G11">
        <f t="shared" ref="G11:H11" si="11">E11</f>
        <v>17113</v>
      </c>
      <c r="H11">
        <f t="shared" si="11"/>
        <v>27943</v>
      </c>
      <c r="I11" s="21"/>
      <c r="J11" s="7">
        <v>4.0</v>
      </c>
      <c r="K11" s="79">
        <v>1.0</v>
      </c>
      <c r="L11" s="81">
        <f t="shared" si="2"/>
        <v>135979.898</v>
      </c>
      <c r="M11" s="82">
        <f t="shared" si="3"/>
        <v>222035.078</v>
      </c>
      <c r="N11" s="81">
        <f t="shared" si="4"/>
        <v>135979.898</v>
      </c>
      <c r="O11" s="83">
        <f t="shared" si="5"/>
        <v>222035.078</v>
      </c>
      <c r="P11" s="83">
        <f t="shared" si="6"/>
        <v>1110175.39</v>
      </c>
      <c r="Q11" s="83">
        <f t="shared" si="7"/>
        <v>946749.6204</v>
      </c>
      <c r="R11" s="83">
        <f t="shared" si="8"/>
        <v>3207587.714</v>
      </c>
      <c r="S11" t="str">
        <f t="shared" si="9"/>
        <v>Construct's Sac</v>
      </c>
      <c r="T11" s="83">
        <f>$Q11/(($C11+0.5*1/(1+$B$3)+IF($D11&lt;=$J11,if($J11&gt;1,$J11,$D11),$D11)))</f>
        <v>220422.4652</v>
      </c>
      <c r="U11" s="78">
        <v>1.0</v>
      </c>
    </row>
    <row r="12">
      <c r="B12" s="7" t="s">
        <v>154</v>
      </c>
      <c r="C12" s="7">
        <v>1.5</v>
      </c>
      <c r="D12" s="7">
        <v>0.0</v>
      </c>
      <c r="E12" s="7">
        <v>11059.0</v>
      </c>
      <c r="F12" s="7">
        <v>17066.0</v>
      </c>
      <c r="G12" s="7">
        <v>12477.0</v>
      </c>
      <c r="H12" s="7">
        <v>20794.0</v>
      </c>
      <c r="J12" s="7">
        <v>1.0</v>
      </c>
      <c r="K12" s="79">
        <v>1.0</v>
      </c>
      <c r="L12" s="81">
        <f t="shared" si="2"/>
        <v>87874.814</v>
      </c>
      <c r="M12" s="82">
        <f t="shared" si="3"/>
        <v>135606.436</v>
      </c>
      <c r="N12" s="81">
        <f t="shared" si="4"/>
        <v>99142.242</v>
      </c>
      <c r="O12" s="83">
        <f t="shared" si="5"/>
        <v>165229.124</v>
      </c>
      <c r="P12" s="83">
        <f t="shared" si="6"/>
        <v>300835.56</v>
      </c>
      <c r="Q12" s="83">
        <f t="shared" si="7"/>
        <v>257283.7363</v>
      </c>
      <c r="R12" s="83">
        <f t="shared" si="8"/>
        <v>143320.8317</v>
      </c>
      <c r="S12" t="str">
        <f t="shared" si="9"/>
        <v>Vengeful Arrow 75</v>
      </c>
      <c r="T12" s="83">
        <f t="shared" ref="T12:T23" si="12">$Q12/(($C12+IF($D12&lt;=$J12,if($J12&gt;1,$J12,$D12),$D12)))</f>
        <v>171522.4909</v>
      </c>
      <c r="U12" s="83"/>
    </row>
    <row r="13">
      <c r="B13" s="7" t="s">
        <v>155</v>
      </c>
      <c r="C13" s="7">
        <v>1.5</v>
      </c>
      <c r="D13" s="7">
        <v>0.0</v>
      </c>
      <c r="E13" s="7">
        <v>11059.0</v>
      </c>
      <c r="F13" s="7">
        <v>17066.0</v>
      </c>
      <c r="J13" s="7">
        <v>1.0</v>
      </c>
      <c r="K13" s="79">
        <v>1.0</v>
      </c>
      <c r="L13" s="81">
        <f t="shared" si="2"/>
        <v>87874.814</v>
      </c>
      <c r="M13" s="82">
        <f t="shared" si="3"/>
        <v>135606.436</v>
      </c>
      <c r="N13" s="81">
        <f t="shared" si="4"/>
        <v>0</v>
      </c>
      <c r="O13" s="83">
        <f t="shared" si="5"/>
        <v>0</v>
      </c>
      <c r="P13" s="83">
        <f t="shared" si="6"/>
        <v>135606.436</v>
      </c>
      <c r="Q13" s="83">
        <f t="shared" si="7"/>
        <v>116837.9379</v>
      </c>
      <c r="R13" s="83">
        <f t="shared" si="8"/>
        <v>65084.99404</v>
      </c>
      <c r="S13" t="str">
        <f t="shared" si="9"/>
        <v>Vengeful Arrow</v>
      </c>
      <c r="T13" s="83">
        <f t="shared" si="12"/>
        <v>77891.95863</v>
      </c>
      <c r="U13" s="83"/>
    </row>
    <row r="14">
      <c r="A14" s="7">
        <v>1.0</v>
      </c>
      <c r="B14" s="7" t="s">
        <v>156</v>
      </c>
      <c r="C14" s="7">
        <v>1.5</v>
      </c>
      <c r="D14" s="7">
        <v>0.0</v>
      </c>
      <c r="E14">
        <f>3629</f>
        <v>3629</v>
      </c>
      <c r="F14" s="7">
        <v>5548.0</v>
      </c>
      <c r="G14" s="7">
        <v>3081.0</v>
      </c>
      <c r="H14" s="7">
        <v>4756.0</v>
      </c>
      <c r="J14" s="7">
        <v>1.0</v>
      </c>
      <c r="K14" s="79">
        <v>2.0</v>
      </c>
      <c r="L14" s="81">
        <f t="shared" si="2"/>
        <v>28836.034</v>
      </c>
      <c r="M14" s="82">
        <f t="shared" si="3"/>
        <v>44084.408</v>
      </c>
      <c r="N14" s="81">
        <f t="shared" si="4"/>
        <v>24481.626</v>
      </c>
      <c r="O14" s="83">
        <f t="shared" si="5"/>
        <v>37791.176</v>
      </c>
      <c r="P14" s="83">
        <f t="shared" si="6"/>
        <v>119666.76</v>
      </c>
      <c r="Q14" s="83">
        <f t="shared" si="7"/>
        <v>103171.9614</v>
      </c>
      <c r="R14" s="83">
        <f t="shared" si="8"/>
        <v>57472.3126</v>
      </c>
      <c r="S14" t="str">
        <f t="shared" si="9"/>
        <v>Barrage</v>
      </c>
      <c r="T14" s="83">
        <f t="shared" si="12"/>
        <v>68781.3076</v>
      </c>
      <c r="U14" s="83"/>
    </row>
    <row r="15">
      <c r="B15" s="7" t="s">
        <v>157</v>
      </c>
      <c r="C15" s="7">
        <v>0.35</v>
      </c>
      <c r="D15" s="7">
        <v>0.0</v>
      </c>
      <c r="E15" s="7">
        <v>8542.0</v>
      </c>
      <c r="F15" s="7">
        <v>14237.0</v>
      </c>
      <c r="G15">
        <f t="shared" ref="G15:H15" si="13">E15</f>
        <v>8542</v>
      </c>
      <c r="H15">
        <f t="shared" si="13"/>
        <v>14237</v>
      </c>
      <c r="J15" s="7">
        <v>24.0</v>
      </c>
      <c r="K15" s="75">
        <f>1/4</f>
        <v>0.25</v>
      </c>
      <c r="L15" s="81">
        <f t="shared" si="2"/>
        <v>67874.732</v>
      </c>
      <c r="M15" s="82">
        <f t="shared" si="3"/>
        <v>113127.202</v>
      </c>
      <c r="N15" s="81">
        <f t="shared" si="4"/>
        <v>67874.732</v>
      </c>
      <c r="O15" s="83">
        <f t="shared" si="5"/>
        <v>113127.202</v>
      </c>
      <c r="P15" s="83">
        <f t="shared" si="6"/>
        <v>791890.414</v>
      </c>
      <c r="Q15" s="83">
        <f t="shared" si="7"/>
        <v>673104.4185</v>
      </c>
      <c r="R15" s="83">
        <f t="shared" si="8"/>
        <v>1043314.928</v>
      </c>
      <c r="S15" t="str">
        <f t="shared" si="9"/>
        <v>Mist of Poison</v>
      </c>
      <c r="T15" s="83">
        <f t="shared" si="12"/>
        <v>27642.89193</v>
      </c>
      <c r="U15" s="83"/>
    </row>
    <row r="16">
      <c r="B16" s="7" t="s">
        <v>158</v>
      </c>
      <c r="C16" s="7">
        <v>0.5</v>
      </c>
      <c r="D16" s="7">
        <v>5.0</v>
      </c>
      <c r="E16" s="7">
        <v>18296.0</v>
      </c>
      <c r="F16" s="7">
        <v>19883.0</v>
      </c>
      <c r="I16" s="21"/>
      <c r="J16" s="7">
        <v>1.0</v>
      </c>
      <c r="K16" s="79">
        <v>1.0</v>
      </c>
      <c r="L16" s="81">
        <f t="shared" si="2"/>
        <v>145380.016</v>
      </c>
      <c r="M16" s="82">
        <f t="shared" si="3"/>
        <v>157990.318</v>
      </c>
      <c r="N16" s="81">
        <f t="shared" si="4"/>
        <v>0</v>
      </c>
      <c r="O16" s="83">
        <f t="shared" si="5"/>
        <v>0</v>
      </c>
      <c r="P16" s="83">
        <f t="shared" si="6"/>
        <v>157990.318</v>
      </c>
      <c r="Q16" s="83">
        <f t="shared" si="7"/>
        <v>151947.2554</v>
      </c>
      <c r="R16" s="83">
        <f t="shared" si="8"/>
        <v>191090.3123</v>
      </c>
      <c r="S16" t="str">
        <f t="shared" si="9"/>
        <v>Unc. Wrath</v>
      </c>
      <c r="T16" s="83">
        <f t="shared" si="12"/>
        <v>27626.77372</v>
      </c>
      <c r="U16" s="83"/>
    </row>
    <row r="17">
      <c r="B17" s="7" t="s">
        <v>159</v>
      </c>
      <c r="C17" s="7">
        <v>1.5</v>
      </c>
      <c r="D17" s="7">
        <v>4.0</v>
      </c>
      <c r="E17" s="7">
        <v>12661.0</v>
      </c>
      <c r="F17" s="7">
        <v>15321.0</v>
      </c>
      <c r="J17" s="7">
        <v>1.0</v>
      </c>
      <c r="K17" s="79">
        <v>4.0</v>
      </c>
      <c r="L17" s="81">
        <f t="shared" si="2"/>
        <v>100604.306</v>
      </c>
      <c r="M17" s="82">
        <f t="shared" si="3"/>
        <v>121740.666</v>
      </c>
      <c r="N17" s="81">
        <f t="shared" si="4"/>
        <v>0</v>
      </c>
      <c r="O17" s="83">
        <f t="shared" si="5"/>
        <v>0</v>
      </c>
      <c r="P17" s="83">
        <f t="shared" si="6"/>
        <v>121740.666</v>
      </c>
      <c r="Q17" s="83">
        <f t="shared" si="7"/>
        <v>112177.1089</v>
      </c>
      <c r="R17" s="83">
        <f t="shared" si="8"/>
        <v>62488.66246</v>
      </c>
      <c r="S17" t="str">
        <f t="shared" si="9"/>
        <v>Healing Arrow</v>
      </c>
      <c r="T17" s="83">
        <f t="shared" si="12"/>
        <v>20395.83799</v>
      </c>
      <c r="U17" s="78">
        <v>1.0</v>
      </c>
    </row>
    <row r="18">
      <c r="A18" s="7">
        <v>1.0</v>
      </c>
      <c r="B18" s="7" t="s">
        <v>160</v>
      </c>
      <c r="C18" s="7">
        <v>0.25</v>
      </c>
      <c r="D18" s="7">
        <v>22.5</v>
      </c>
      <c r="E18" s="7">
        <v>44693.0</v>
      </c>
      <c r="F18" s="7">
        <v>67073.0</v>
      </c>
      <c r="I18" s="21"/>
      <c r="J18" s="7">
        <v>1.0</v>
      </c>
      <c r="K18" s="79">
        <v>1.0</v>
      </c>
      <c r="L18" s="81">
        <f t="shared" si="2"/>
        <v>355130.578</v>
      </c>
      <c r="M18" s="82">
        <f t="shared" si="3"/>
        <v>532962.058</v>
      </c>
      <c r="N18" s="81">
        <f t="shared" si="4"/>
        <v>0</v>
      </c>
      <c r="O18" s="83">
        <f t="shared" si="5"/>
        <v>0</v>
      </c>
      <c r="P18" s="83">
        <f t="shared" si="6"/>
        <v>532962.058</v>
      </c>
      <c r="Q18" s="83">
        <f t="shared" si="7"/>
        <v>461850.7868</v>
      </c>
      <c r="R18" s="83">
        <f t="shared" si="8"/>
        <v>847184.8759</v>
      </c>
      <c r="S18" t="str">
        <f t="shared" si="9"/>
        <v>Seeking Cascade</v>
      </c>
      <c r="T18" s="83">
        <f t="shared" si="12"/>
        <v>20301.13349</v>
      </c>
      <c r="U18" s="78">
        <v>1.0</v>
      </c>
    </row>
    <row r="19">
      <c r="B19" s="7" t="s">
        <v>161</v>
      </c>
      <c r="C19" s="7">
        <v>0.0</v>
      </c>
      <c r="D19" s="7">
        <v>45.0</v>
      </c>
      <c r="E19" s="7">
        <v>58463.0</v>
      </c>
      <c r="F19" s="7">
        <v>88322.0</v>
      </c>
      <c r="I19" s="20">
        <v>0.45</v>
      </c>
      <c r="J19" s="7">
        <v>1.0</v>
      </c>
      <c r="K19" s="79">
        <v>1.0</v>
      </c>
      <c r="L19" s="81">
        <f t="shared" si="2"/>
        <v>490855.348</v>
      </c>
      <c r="M19" s="82">
        <f t="shared" si="3"/>
        <v>741551.512</v>
      </c>
      <c r="N19" s="81">
        <f t="shared" si="4"/>
        <v>0</v>
      </c>
      <c r="O19" s="83">
        <f t="shared" si="5"/>
        <v>0</v>
      </c>
      <c r="P19" s="83">
        <f t="shared" si="6"/>
        <v>741551.512</v>
      </c>
      <c r="Q19" s="83">
        <f t="shared" si="7"/>
        <v>641701.7328</v>
      </c>
      <c r="R19" s="83">
        <f t="shared" si="8"/>
        <v>2174085.471</v>
      </c>
      <c r="S19" t="str">
        <f t="shared" si="9"/>
        <v>Eye Shot</v>
      </c>
      <c r="T19" s="83">
        <f t="shared" si="12"/>
        <v>14260.03851</v>
      </c>
      <c r="U19" s="78">
        <v>1.0</v>
      </c>
    </row>
    <row r="20">
      <c r="A20" s="7">
        <v>1.0</v>
      </c>
      <c r="B20" s="7" t="s">
        <v>162</v>
      </c>
      <c r="C20" s="7">
        <v>1.5</v>
      </c>
      <c r="D20" s="7">
        <v>4.0</v>
      </c>
      <c r="E20" s="7">
        <v>7507.0</v>
      </c>
      <c r="F20" s="7">
        <v>9686.0</v>
      </c>
      <c r="J20" s="7">
        <v>1.0</v>
      </c>
      <c r="K20" s="79">
        <v>1.0</v>
      </c>
      <c r="L20" s="81">
        <f t="shared" si="2"/>
        <v>59650.622</v>
      </c>
      <c r="M20" s="82">
        <f t="shared" si="3"/>
        <v>76964.956</v>
      </c>
      <c r="N20" s="81">
        <f t="shared" si="4"/>
        <v>0</v>
      </c>
      <c r="O20" s="83">
        <f t="shared" si="5"/>
        <v>0</v>
      </c>
      <c r="P20" s="83">
        <f t="shared" si="6"/>
        <v>76964.956</v>
      </c>
      <c r="Q20" s="83">
        <f t="shared" si="7"/>
        <v>69404.97779</v>
      </c>
      <c r="R20" s="83">
        <f t="shared" si="8"/>
        <v>38662.29279</v>
      </c>
      <c r="S20" t="str">
        <f t="shared" si="9"/>
        <v>Healing Barrage</v>
      </c>
      <c r="T20" s="83">
        <f t="shared" si="12"/>
        <v>12619.08687</v>
      </c>
      <c r="U20" s="78">
        <v>1.0</v>
      </c>
    </row>
    <row r="21">
      <c r="A21" s="7">
        <v>1.0</v>
      </c>
      <c r="B21" s="7" t="s">
        <v>163</v>
      </c>
      <c r="C21" s="7">
        <v>1.0</v>
      </c>
      <c r="D21" s="7">
        <v>30.0</v>
      </c>
      <c r="E21" s="7">
        <v>16205.0</v>
      </c>
      <c r="F21" s="7">
        <v>24943.0</v>
      </c>
      <c r="J21" s="7">
        <v>1.0</v>
      </c>
      <c r="K21" s="79">
        <v>1.0</v>
      </c>
      <c r="L21" s="81">
        <f t="shared" si="2"/>
        <v>128764.93</v>
      </c>
      <c r="M21" s="82">
        <f t="shared" si="3"/>
        <v>198197.078</v>
      </c>
      <c r="N21" s="81">
        <f t="shared" si="4"/>
        <v>0</v>
      </c>
      <c r="O21" s="83">
        <f t="shared" si="5"/>
        <v>0</v>
      </c>
      <c r="P21" s="83">
        <f t="shared" si="6"/>
        <v>198197.078</v>
      </c>
      <c r="Q21" s="83">
        <f t="shared" si="7"/>
        <v>170853.1498</v>
      </c>
      <c r="R21" s="83">
        <f t="shared" si="8"/>
        <v>131916.6981</v>
      </c>
      <c r="S21" t="str">
        <f t="shared" si="9"/>
        <v>Downpour</v>
      </c>
      <c r="T21" s="83">
        <f t="shared" si="12"/>
        <v>5511.391928</v>
      </c>
      <c r="U21" s="78">
        <v>1.0</v>
      </c>
    </row>
    <row r="22">
      <c r="B22" s="7" t="s">
        <v>164</v>
      </c>
      <c r="C22" s="7">
        <v>0.5</v>
      </c>
      <c r="D22" s="7">
        <v>22.5</v>
      </c>
      <c r="E22" s="7">
        <v>8041.0</v>
      </c>
      <c r="F22" s="7">
        <v>12409.0</v>
      </c>
      <c r="J22" s="7">
        <v>1.0</v>
      </c>
      <c r="K22" s="79">
        <v>1.0</v>
      </c>
      <c r="L22" s="81">
        <f t="shared" si="2"/>
        <v>63893.786</v>
      </c>
      <c r="M22" s="82">
        <f t="shared" si="3"/>
        <v>98601.914</v>
      </c>
      <c r="N22" s="81">
        <f t="shared" si="4"/>
        <v>0</v>
      </c>
      <c r="O22" s="83">
        <f t="shared" si="5"/>
        <v>0</v>
      </c>
      <c r="P22" s="83">
        <f t="shared" si="6"/>
        <v>98601.914</v>
      </c>
      <c r="Q22" s="83">
        <f t="shared" si="7"/>
        <v>84954.57624</v>
      </c>
      <c r="R22" s="83">
        <f t="shared" si="8"/>
        <v>106839.6824</v>
      </c>
      <c r="S22" t="str">
        <f t="shared" si="9"/>
        <v>Snapshot</v>
      </c>
      <c r="T22" s="83">
        <f t="shared" si="12"/>
        <v>3693.677228</v>
      </c>
      <c r="U22" s="78">
        <v>1.0</v>
      </c>
    </row>
    <row r="23">
      <c r="A23" s="7">
        <v>1.0</v>
      </c>
      <c r="B23" s="7" t="s">
        <v>165</v>
      </c>
      <c r="C23" s="7">
        <v>0.25</v>
      </c>
      <c r="D23" s="7">
        <v>60.0</v>
      </c>
      <c r="E23" s="7">
        <v>16205.0</v>
      </c>
      <c r="F23" s="7">
        <v>24943.0</v>
      </c>
      <c r="G23">
        <f>3114</f>
        <v>3114</v>
      </c>
      <c r="H23">
        <f>5190</f>
        <v>5190</v>
      </c>
      <c r="J23" s="7">
        <v>1.0</v>
      </c>
      <c r="K23" s="79">
        <v>1.0</v>
      </c>
      <c r="L23" s="81">
        <f t="shared" si="2"/>
        <v>128764.93</v>
      </c>
      <c r="M23" s="82">
        <f t="shared" si="3"/>
        <v>198197.078</v>
      </c>
      <c r="N23" s="81">
        <f>$B$5*(if(if(G23*($B$1+$I23)&lt;(H23+1),H23+1,G23*($I23+$B$1))=1,0,if(G23*($B$1+$I23)&lt;(H23+1),H23+1,G23*($I23+$B$1))))</f>
        <v>24743.844</v>
      </c>
      <c r="O23" s="83">
        <f>$B$5*(H23*($B$1+$I23))</f>
        <v>41239.74</v>
      </c>
      <c r="P23" s="83">
        <f t="shared" si="6"/>
        <v>239436.818</v>
      </c>
      <c r="Q23" s="83">
        <f t="shared" si="7"/>
        <v>205906.9288</v>
      </c>
      <c r="R23" s="83">
        <f t="shared" si="8"/>
        <v>377700.4194</v>
      </c>
      <c r="S23" t="str">
        <f t="shared" si="9"/>
        <v>Shatter Rain</v>
      </c>
      <c r="T23" s="83">
        <f t="shared" si="12"/>
        <v>3417.542386</v>
      </c>
      <c r="U23" s="78">
        <v>1.0</v>
      </c>
    </row>
    <row r="24">
      <c r="K24" s="75"/>
      <c r="L24" s="81"/>
      <c r="M24" s="82"/>
      <c r="N24" s="81"/>
      <c r="O24" s="83"/>
      <c r="P24" s="83"/>
      <c r="Q24" s="83"/>
      <c r="R24" s="83"/>
      <c r="T24" s="83"/>
      <c r="U24" s="83"/>
    </row>
    <row r="25">
      <c r="K25" s="75"/>
      <c r="L25" s="81"/>
      <c r="M25" s="82"/>
      <c r="N25" s="81"/>
      <c r="O25" s="83"/>
      <c r="P25" s="83"/>
      <c r="Q25" s="83"/>
      <c r="R25" s="83"/>
      <c r="T25" s="83"/>
      <c r="U25" s="83"/>
    </row>
    <row r="26">
      <c r="I26" s="21"/>
      <c r="K26" s="75"/>
      <c r="L26" s="81"/>
      <c r="M26" s="82"/>
      <c r="N26" s="81"/>
      <c r="O26" s="83"/>
      <c r="P26" s="83"/>
      <c r="Q26" s="83"/>
      <c r="R26" s="83"/>
      <c r="T26" s="83"/>
      <c r="U26" s="83"/>
    </row>
    <row r="27">
      <c r="I27" s="21"/>
      <c r="K27" s="75"/>
      <c r="L27" s="81"/>
      <c r="M27" s="82"/>
      <c r="N27" s="81"/>
      <c r="O27" s="83"/>
      <c r="P27" s="83"/>
      <c r="Q27" s="83"/>
      <c r="R27" s="83"/>
      <c r="T27" s="83"/>
      <c r="U27" s="83"/>
    </row>
    <row r="28">
      <c r="I28" s="21"/>
      <c r="K28" s="75"/>
      <c r="L28" s="81"/>
      <c r="M28" s="82"/>
      <c r="N28" s="81"/>
      <c r="O28" s="83"/>
      <c r="P28" s="83"/>
      <c r="Q28" s="83"/>
      <c r="R28" s="83"/>
      <c r="T28" s="83"/>
      <c r="U28" s="83"/>
    </row>
    <row r="29">
      <c r="I29" s="21"/>
      <c r="K29" s="75"/>
      <c r="L29" s="81"/>
      <c r="M29" s="82"/>
      <c r="N29" s="81"/>
      <c r="O29" s="83"/>
      <c r="P29" s="83"/>
      <c r="Q29" s="83"/>
      <c r="R29" s="83"/>
      <c r="T29" s="83"/>
      <c r="U29" s="83"/>
    </row>
    <row r="30">
      <c r="I30" s="21"/>
      <c r="K30" s="75"/>
      <c r="L30" s="81"/>
      <c r="M30" s="82"/>
      <c r="N30" s="81"/>
      <c r="O30" s="83"/>
      <c r="P30" s="83"/>
      <c r="Q30" s="83"/>
      <c r="R30" s="83"/>
      <c r="T30" s="83"/>
      <c r="U30" s="83"/>
    </row>
    <row r="31">
      <c r="I31" s="21"/>
      <c r="K31" s="75"/>
      <c r="L31" s="81"/>
      <c r="M31" s="82"/>
      <c r="N31" s="81"/>
      <c r="O31" s="83"/>
      <c r="P31" s="83"/>
      <c r="Q31" s="83"/>
      <c r="R31" s="83"/>
      <c r="T31" s="83"/>
      <c r="U31" s="83"/>
    </row>
    <row r="32">
      <c r="I32" s="21"/>
      <c r="K32" s="75"/>
      <c r="L32" s="81"/>
      <c r="M32" s="82"/>
      <c r="N32" s="81"/>
      <c r="O32" s="83"/>
      <c r="P32" s="83"/>
      <c r="Q32" s="83"/>
      <c r="R32" s="83"/>
      <c r="T32" s="83"/>
      <c r="U32" s="83"/>
    </row>
    <row r="33">
      <c r="K33" s="75"/>
      <c r="L33" s="81"/>
      <c r="M33" s="82"/>
      <c r="N33" s="81"/>
      <c r="O33" s="83"/>
      <c r="P33" s="83"/>
      <c r="Q33" s="83"/>
      <c r="R33" s="83"/>
      <c r="T33" s="83"/>
      <c r="U33" s="83"/>
    </row>
    <row r="34">
      <c r="I34" s="21"/>
      <c r="K34" s="75"/>
      <c r="L34" s="81"/>
      <c r="M34" s="82"/>
      <c r="N34" s="81"/>
      <c r="O34" s="83"/>
      <c r="P34" s="83"/>
      <c r="Q34" s="83"/>
      <c r="R34" s="83"/>
      <c r="T34" s="83"/>
      <c r="U34" s="83"/>
    </row>
    <row r="35">
      <c r="I35" s="21"/>
      <c r="K35" s="75"/>
      <c r="L35" s="81"/>
      <c r="M35" s="82"/>
      <c r="N35" s="81"/>
      <c r="O35" s="83"/>
      <c r="P35" s="83"/>
      <c r="Q35" s="83"/>
      <c r="R35" s="83"/>
      <c r="T35" s="83"/>
      <c r="U35" s="83"/>
    </row>
    <row r="36">
      <c r="I36" s="21"/>
      <c r="K36" s="75"/>
      <c r="L36" s="81"/>
      <c r="M36" s="82"/>
      <c r="N36" s="81"/>
      <c r="O36" s="83"/>
      <c r="P36" s="83"/>
      <c r="Q36" s="83"/>
      <c r="R36" s="83"/>
      <c r="T36" s="83"/>
      <c r="U36" s="83"/>
    </row>
    <row r="37">
      <c r="I37" s="21"/>
      <c r="K37" s="75"/>
      <c r="L37" s="81"/>
      <c r="M37" s="82"/>
      <c r="N37" s="81"/>
      <c r="O37" s="83"/>
      <c r="P37" s="83"/>
      <c r="Q37" s="83"/>
      <c r="R37" s="83"/>
      <c r="T37" s="83"/>
      <c r="U37" s="83"/>
    </row>
    <row r="38">
      <c r="I38" s="21"/>
      <c r="K38" s="75"/>
      <c r="L38" s="81"/>
      <c r="M38" s="82"/>
      <c r="N38" s="81"/>
      <c r="O38" s="83"/>
      <c r="P38" s="83"/>
      <c r="Q38" s="83"/>
      <c r="R38" s="83"/>
      <c r="T38" s="83"/>
      <c r="U38" s="83"/>
    </row>
    <row r="39">
      <c r="K39" s="75"/>
      <c r="L39" s="81"/>
      <c r="M39" s="82"/>
      <c r="N39" s="81"/>
      <c r="O39" s="1">
        <f>738506/500094</f>
        <v>1.476734374</v>
      </c>
      <c r="P39" s="83"/>
      <c r="Q39" s="83"/>
      <c r="R39" s="83"/>
      <c r="T39" s="83"/>
      <c r="U39" s="83"/>
    </row>
    <row r="40">
      <c r="K40" s="75"/>
      <c r="L40" s="81"/>
      <c r="M40" s="82"/>
      <c r="N40" s="81"/>
      <c r="O40" s="83"/>
      <c r="P40" s="83"/>
      <c r="Q40" s="83"/>
      <c r="R40" s="83"/>
      <c r="T40" s="83"/>
      <c r="U40" s="83"/>
    </row>
    <row r="41">
      <c r="K41" s="75"/>
      <c r="L41" s="81"/>
      <c r="M41" s="82"/>
      <c r="N41" s="81"/>
      <c r="O41" s="83"/>
      <c r="P41" s="83"/>
      <c r="Q41" s="83"/>
      <c r="R41" s="83"/>
      <c r="T41" s="83"/>
      <c r="U41" s="83"/>
    </row>
    <row r="42">
      <c r="K42" s="75"/>
      <c r="L42" s="81"/>
      <c r="M42" s="82"/>
      <c r="N42" s="81"/>
      <c r="O42" s="83"/>
      <c r="P42" s="83"/>
      <c r="Q42" s="83"/>
      <c r="R42" s="83"/>
      <c r="T42" s="83"/>
      <c r="U42" s="83"/>
    </row>
    <row r="43">
      <c r="K43" s="75"/>
      <c r="L43" s="81"/>
      <c r="M43" s="82"/>
      <c r="N43" s="81"/>
      <c r="O43" s="83"/>
      <c r="P43" s="83"/>
      <c r="Q43" s="83"/>
      <c r="R43" s="83"/>
      <c r="T43" s="83"/>
      <c r="U43" s="83"/>
    </row>
    <row r="44">
      <c r="K44" s="75"/>
      <c r="L44" s="81"/>
      <c r="M44" s="82"/>
      <c r="N44" s="81"/>
      <c r="O44" s="83"/>
      <c r="P44" s="83"/>
      <c r="Q44" s="83"/>
      <c r="R44" s="83"/>
      <c r="T44" s="83">
        <f>SUM(T8:T23)</f>
        <v>2746368.643</v>
      </c>
      <c r="U44" s="78">
        <v>437355.37422036</v>
      </c>
    </row>
    <row r="45">
      <c r="K45" s="75"/>
      <c r="L45" s="81"/>
      <c r="M45" s="82"/>
      <c r="N45" s="81"/>
      <c r="O45" s="83"/>
      <c r="P45" s="83"/>
      <c r="Q45" s="83"/>
      <c r="R45" s="83"/>
      <c r="T45" s="83">
        <f>SUM(T48:T63)</f>
        <v>6890028.798</v>
      </c>
      <c r="U45" s="83">
        <f>T45-T44</f>
        <v>4143660.155</v>
      </c>
    </row>
    <row r="46">
      <c r="U46" s="21">
        <f>Average(U48:U63)</f>
        <v>1.516464953</v>
      </c>
    </row>
    <row r="47">
      <c r="A47" s="2" t="s">
        <v>166</v>
      </c>
      <c r="B47" s="7" t="s">
        <v>135</v>
      </c>
      <c r="C47" s="7" t="s">
        <v>136</v>
      </c>
      <c r="D47" s="7" t="s">
        <v>137</v>
      </c>
      <c r="E47" s="7" t="s">
        <v>55</v>
      </c>
      <c r="F47" s="7" t="s">
        <v>57</v>
      </c>
      <c r="G47" s="7" t="s">
        <v>138</v>
      </c>
      <c r="H47" s="7" t="s">
        <v>139</v>
      </c>
      <c r="I47" s="20" t="s">
        <v>140</v>
      </c>
      <c r="J47" s="7" t="s">
        <v>141</v>
      </c>
      <c r="K47" s="79" t="s">
        <v>142</v>
      </c>
      <c r="L47" s="80" t="s">
        <v>143</v>
      </c>
      <c r="M47" s="7" t="s">
        <v>144</v>
      </c>
      <c r="N47" s="7" t="s">
        <v>145</v>
      </c>
      <c r="O47" s="7" t="s">
        <v>146</v>
      </c>
      <c r="P47" s="7" t="s">
        <v>147</v>
      </c>
      <c r="Q47" s="7" t="s">
        <v>52</v>
      </c>
      <c r="R47" s="7" t="s">
        <v>148</v>
      </c>
      <c r="T47" s="7" t="s">
        <v>18</v>
      </c>
      <c r="U47" s="7" t="s">
        <v>167</v>
      </c>
    </row>
    <row r="48">
      <c r="A48" s="57">
        <f t="shared" ref="A48:A63" si="18">IF(($F48+$H48*$J48*$K48)-$C$6*IF($A8=1,1/3,1)&lt;($F48+$H48*$J48*$K48)*2/3,($F48+$H48*$J48*$K48)*2/3,($F48+$H48*$J48*$K48)-$C$6*IF($A8=1,1/3,1))/2*IF($A8=1,3,1)</f>
        <v>37331.15398</v>
      </c>
      <c r="B48" t="str">
        <f t="shared" ref="B48:D48" si="14">B8</f>
        <v>Poison Bolt</v>
      </c>
      <c r="C48">
        <f t="shared" si="14"/>
        <v>0.35</v>
      </c>
      <c r="D48">
        <f t="shared" si="14"/>
        <v>0</v>
      </c>
      <c r="E48" s="83">
        <f t="shared" ref="E48:F48" si="15">IF(OR($B48="Construct's Sac",$B48="Mist of Poison"),E8*($C$2/$B$2),(IF(((IF($A8=1,if(E8-1/3*$B$6&lt;(E8*2/3),E8*2/3,E8-1/3*$B$6),if(E8-$B$6&lt;(E8*2/3),E8*2/3,E8-$B$6)))/$B$2*$C$2)*1.5&lt;(((IF($A8=1,if(E8-1/3*$B$6&lt;(E8*2/3),E8*2/3,E8-1/3*$B$6),if(E8-$B$6&lt;(E8*2/3),E8*2/3,E8-$B$6)))/$B$2*$C$2)+IF($A8=1,1/3,1)*$C$6),((IF($A8=1,if(E8-1/3*$B$6&lt;(E8*2/3),E8*2/3,E8-1/3*$B$6),if(E8-$B$6&lt;(E8*2/3),E8*2/3,E8-$B$6)))/$B$2*$C$2)*1.5,((IF($A8=1,if(E8-1/3*$B$6&lt;(E8*2/3),E8*2/3,E8-1/3*$B$6),if(E8-$B$6&lt;(E8*2/3),E8*2/3,E8-$B$6)))/$B$2*$C$2)+IF($A8=1,1/3,1)*$C$6)))</f>
        <v>52032.09874</v>
      </c>
      <c r="F48" s="83">
        <f t="shared" si="15"/>
        <v>85149.30796</v>
      </c>
      <c r="G48" s="83">
        <f t="shared" ref="G48:H48" si="16">G8*$C$2/$B$2</f>
        <v>0</v>
      </c>
      <c r="H48" s="83">
        <f t="shared" si="16"/>
        <v>0</v>
      </c>
      <c r="I48" s="21" t="str">
        <f t="shared" ref="I48:K48" si="17">I8</f>
        <v/>
      </c>
      <c r="J48">
        <f t="shared" si="17"/>
        <v>1</v>
      </c>
      <c r="K48" s="75">
        <f t="shared" si="17"/>
        <v>1</v>
      </c>
      <c r="L48" s="81">
        <f t="shared" ref="L48:L65" si="23">(1+$D$2)*if(E48*($C$1+$I48)&lt;(F48+1),F48+1,E48*($I48+$C$1))</f>
        <v>897099.2341</v>
      </c>
      <c r="M48" s="82">
        <f t="shared" ref="M48:M65" si="24">(1+$D$2)*F48*($C$1+$I48)</f>
        <v>1468081.834</v>
      </c>
      <c r="N48" s="81">
        <f t="shared" ref="N48:N65" si="25">(1+$D$2)*(IF($S48="Shatter Rain",$B$5,1))*(if(if(G48*($C$1+$I48)&lt;(H48+1),H48+1,G48*($I48+$C$1))=1,0,if(G48*($C$1+$I48)&lt;(H48+1),H48+1,G48*($I48+$C$1))))</f>
        <v>0</v>
      </c>
      <c r="O48" s="83">
        <f t="shared" ref="O48:O65" si="26">(1+$D$2)*(IF($S48="Shatter Rain",$B$5,1))*(H48*($C$1+$I48))</f>
        <v>0</v>
      </c>
      <c r="P48" s="83">
        <f t="shared" ref="P48:P65" si="27">M48+O48*K48*J48</f>
        <v>1468081.834</v>
      </c>
      <c r="Q48" s="83">
        <f t="shared" ref="Q48:Q65" si="28">(if($A48=1,$B$5,1)*((L48*E48+F48*M48)/(E48+F48)+if(G48&gt;0,(N48*G48+H48*O48)/(G48+H48)*J48*K48,0)))</f>
        <v>1251511.501</v>
      </c>
      <c r="R48" s="83">
        <f t="shared" ref="R48:R65" si="29">Q48/(C48+0.5*(1/(1+$C$3)))</f>
        <v>1939848.551</v>
      </c>
      <c r="S48" t="str">
        <f t="shared" ref="S48:S65" si="30">B48</f>
        <v>Poison Bolt</v>
      </c>
      <c r="T48" s="83">
        <f t="shared" ref="T48:T65" si="31">$Q48/(($C48+IF($D48&lt;=$J48,if($J48&gt;1,$J48,$D48),$D48)))</f>
        <v>3575747.144</v>
      </c>
      <c r="U48" s="21">
        <f t="shared" ref="U48:U65" si="32">(T48-T8)/T8</f>
        <v>1.468849611</v>
      </c>
    </row>
    <row r="49">
      <c r="A49" s="57">
        <f t="shared" si="18"/>
        <v>40959.85122</v>
      </c>
      <c r="B49" t="str">
        <f t="shared" ref="B49:D49" si="19">B9</f>
        <v>Vengeful Arrow 25</v>
      </c>
      <c r="C49">
        <f t="shared" si="19"/>
        <v>1.5</v>
      </c>
      <c r="D49">
        <f t="shared" si="19"/>
        <v>0</v>
      </c>
      <c r="E49" s="83">
        <f t="shared" ref="E49:F49" si="20">IF(OR($B49="Construct's Sac",$B49="Mist of Poison"),E9*($C$2/$B$2),(IF(((IF($A9=1,if(E9-1/3*$B$6&lt;(E9*2/3),E9*2/3,E9-1/3*$B$6),if(E9-$B$6&lt;(E9*2/3),E9*2/3,E9-$B$6)))/$B$2*$C$2)*1.5&lt;(((IF($A9=1,if(E9-1/3*$B$6&lt;(E9*2/3),E9*2/3,E9-1/3*$B$6),if(E9-$B$6&lt;(E9*2/3),E9*2/3,E9-$B$6)))/$B$2*$C$2)+IF($A9=1,1/3,1)*$C$6),((IF($A9=1,if(E9-1/3*$B$6&lt;(E9*2/3),E9*2/3,E9-1/3*$B$6),if(E9-$B$6&lt;(E9*2/3),E9*2/3,E9-$B$6)))/$B$2*$C$2)*1.5,((IF($A9=1,if(E9-1/3*$B$6&lt;(E9*2/3),E9*2/3,E9-1/3*$B$6),if(E9-$B$6&lt;(E9*2/3),E9*2/3,E9-$B$6)))/$B$2*$C$2)+IF($A9=1,1/3,1)*$C$6)))</f>
        <v>12862.82502</v>
      </c>
      <c r="F49" s="83">
        <f t="shared" si="20"/>
        <v>19849.62219</v>
      </c>
      <c r="G49" s="83">
        <f t="shared" ref="G49:H49" si="21">G9*$C$2/$B$2</f>
        <v>14512.11392</v>
      </c>
      <c r="H49" s="83">
        <f t="shared" si="21"/>
        <v>24185.69342</v>
      </c>
      <c r="I49" t="str">
        <f t="shared" ref="I49:K49" si="22">I9</f>
        <v/>
      </c>
      <c r="J49">
        <f t="shared" si="22"/>
        <v>1</v>
      </c>
      <c r="K49" s="75">
        <f t="shared" si="22"/>
        <v>3</v>
      </c>
      <c r="L49" s="81">
        <f t="shared" si="23"/>
        <v>221771.3826</v>
      </c>
      <c r="M49" s="82">
        <f t="shared" si="24"/>
        <v>342232.6083</v>
      </c>
      <c r="N49" s="81">
        <f t="shared" si="25"/>
        <v>250207.2104</v>
      </c>
      <c r="O49" s="83">
        <f t="shared" si="26"/>
        <v>416991.9639</v>
      </c>
      <c r="P49" s="83">
        <f t="shared" si="27"/>
        <v>1593208.5</v>
      </c>
      <c r="Q49" s="83">
        <f t="shared" si="28"/>
        <v>1358203.588</v>
      </c>
      <c r="R49" s="83">
        <f t="shared" si="29"/>
        <v>756592.1994</v>
      </c>
      <c r="S49" t="str">
        <f t="shared" si="30"/>
        <v>Vengeful Arrow 25</v>
      </c>
      <c r="T49" s="83">
        <f t="shared" si="31"/>
        <v>905469.0587</v>
      </c>
      <c r="U49" s="21">
        <f t="shared" si="32"/>
        <v>1.52371951</v>
      </c>
    </row>
    <row r="50">
      <c r="A50" s="57">
        <f t="shared" si="18"/>
        <v>28867.00451</v>
      </c>
      <c r="B50" t="str">
        <f t="shared" ref="B50:D50" si="33">B10</f>
        <v>Vengeful Arrow 50</v>
      </c>
      <c r="C50">
        <f t="shared" si="33"/>
        <v>1.5</v>
      </c>
      <c r="D50">
        <f t="shared" si="33"/>
        <v>0</v>
      </c>
      <c r="E50" s="83">
        <f t="shared" ref="E50:F50" si="34">IF(OR($B50="Construct's Sac",$B50="Mist of Poison"),E10*($C$2/$B$2),(IF(((IF($A10=1,if(E10-1/3*$B$6&lt;(E10*2/3),E10*2/3,E10-1/3*$B$6),if(E10-$B$6&lt;(E10*2/3),E10*2/3,E10-$B$6)))/$B$2*$C$2)*1.5&lt;(((IF($A10=1,if(E10-1/3*$B$6&lt;(E10*2/3),E10*2/3,E10-1/3*$B$6),if(E10-$B$6&lt;(E10*2/3),E10*2/3,E10-$B$6)))/$B$2*$C$2)+IF($A10=1,1/3,1)*$C$6),((IF($A10=1,if(E10-1/3*$B$6&lt;(E10*2/3),E10*2/3,E10-1/3*$B$6),if(E10-$B$6&lt;(E10*2/3),E10*2/3,E10-$B$6)))/$B$2*$C$2)*1.5,((IF($A10=1,if(E10-1/3*$B$6&lt;(E10*2/3),E10*2/3,E10-1/3*$B$6),if(E10-$B$6&lt;(E10*2/3),E10*2/3,E10-$B$6)))/$B$2*$C$2)+IF($A10=1,1/3,1)*$C$6)))</f>
        <v>12862.82502</v>
      </c>
      <c r="F50" s="83">
        <f t="shared" si="34"/>
        <v>19849.62219</v>
      </c>
      <c r="G50" s="83">
        <f t="shared" ref="G50:H50" si="35">G10*$C$2/$B$2</f>
        <v>14512.11392</v>
      </c>
      <c r="H50" s="83">
        <f t="shared" si="35"/>
        <v>24185.69342</v>
      </c>
      <c r="I50" t="str">
        <f t="shared" ref="I50:K50" si="36">I10</f>
        <v/>
      </c>
      <c r="J50">
        <f t="shared" si="36"/>
        <v>1</v>
      </c>
      <c r="K50" s="75">
        <f t="shared" si="36"/>
        <v>2</v>
      </c>
      <c r="L50" s="81">
        <f t="shared" si="23"/>
        <v>221771.3826</v>
      </c>
      <c r="M50" s="82">
        <f t="shared" si="24"/>
        <v>342232.6083</v>
      </c>
      <c r="N50" s="81">
        <f t="shared" si="25"/>
        <v>250207.2104</v>
      </c>
      <c r="O50" s="83">
        <f t="shared" si="26"/>
        <v>416991.9639</v>
      </c>
      <c r="P50" s="83">
        <f t="shared" si="27"/>
        <v>1176216.536</v>
      </c>
      <c r="Q50" s="83">
        <f t="shared" si="28"/>
        <v>1003757.787</v>
      </c>
      <c r="R50" s="83">
        <f t="shared" si="29"/>
        <v>559146.8893</v>
      </c>
      <c r="S50" t="str">
        <f t="shared" si="30"/>
        <v>Vengeful Arrow 50</v>
      </c>
      <c r="T50" s="83">
        <f t="shared" si="31"/>
        <v>669171.8577</v>
      </c>
      <c r="U50" s="21">
        <f t="shared" si="32"/>
        <v>1.52371951</v>
      </c>
    </row>
    <row r="51">
      <c r="A51" s="57">
        <f t="shared" si="18"/>
        <v>76008.40333</v>
      </c>
      <c r="B51" t="str">
        <f t="shared" ref="B51:D51" si="37">B11</f>
        <v>Construct's Sac</v>
      </c>
      <c r="C51">
        <f t="shared" si="37"/>
        <v>0</v>
      </c>
      <c r="D51">
        <f t="shared" si="37"/>
        <v>2.5</v>
      </c>
      <c r="E51" s="83">
        <f t="shared" ref="E51:F51" si="38">IF(OR($B51="Construct's Sac",$B51="Mist of Poison"),E11*($C$2/$B$2),(IF(((IF($A11=1,if(E11-1/3*$B$6&lt;(E11*2/3),E11*2/3,E11-1/3*$B$6),if(E11-$B$6&lt;(E11*2/3),E11*2/3,E11-$B$6)))/$B$2*$C$2)*1.5&lt;(((IF($A11=1,if(E11-1/3*$B$6&lt;(E11*2/3),E11*2/3,E11-1/3*$B$6),if(E11-$B$6&lt;(E11*2/3),E11*2/3,E11-$B$6)))/$B$2*$C$2)+IF($A11=1,1/3,1)*$C$6),((IF($A11=1,if(E11-1/3*$B$6&lt;(E11*2/3),E11*2/3,E11-1/3*$B$6),if(E11-$B$6&lt;(E11*2/3),E11*2/3,E11-$B$6)))/$B$2*$C$2)*1.5,((IF($A11=1,if(E11-1/3*$B$6&lt;(E11*2/3),E11*2/3,E11-1/3*$B$6),if(E11-$B$6&lt;(E11*2/3),E11*2/3,E11-$B$6)))/$B$2*$C$2)+IF($A11=1,1/3,1)*$C$6)))</f>
        <v>19904.28833</v>
      </c>
      <c r="F51" s="83">
        <f t="shared" si="38"/>
        <v>32500.76133</v>
      </c>
      <c r="G51" s="83">
        <f t="shared" ref="G51:H51" si="39">G11*$C$2/$B$2</f>
        <v>19904.28833</v>
      </c>
      <c r="H51" s="83">
        <f t="shared" si="39"/>
        <v>32500.76133</v>
      </c>
      <c r="I51" s="21" t="str">
        <f t="shared" ref="I51:K51" si="40">I11</f>
        <v/>
      </c>
      <c r="J51">
        <f t="shared" si="40"/>
        <v>4</v>
      </c>
      <c r="K51" s="75">
        <f t="shared" si="40"/>
        <v>1</v>
      </c>
      <c r="L51" s="81">
        <f t="shared" si="23"/>
        <v>343175.1216</v>
      </c>
      <c r="M51" s="82">
        <f t="shared" si="24"/>
        <v>560354.2583</v>
      </c>
      <c r="N51" s="81">
        <f t="shared" si="25"/>
        <v>343175.1216</v>
      </c>
      <c r="O51" s="83">
        <f t="shared" si="26"/>
        <v>560354.2583</v>
      </c>
      <c r="P51" s="83">
        <f t="shared" si="27"/>
        <v>2801771.292</v>
      </c>
      <c r="Q51" s="83">
        <f t="shared" si="28"/>
        <v>2389330.488</v>
      </c>
      <c r="R51" s="83">
        <f t="shared" si="29"/>
        <v>8095051.694</v>
      </c>
      <c r="S51" t="str">
        <f t="shared" si="30"/>
        <v>Construct's Sac</v>
      </c>
      <c r="T51" s="83">
        <f t="shared" si="31"/>
        <v>597332.6221</v>
      </c>
      <c r="U51" s="21">
        <f t="shared" si="32"/>
        <v>1.709944386</v>
      </c>
    </row>
    <row r="52">
      <c r="A52" s="57">
        <f t="shared" si="18"/>
        <v>16774.1578</v>
      </c>
      <c r="B52" t="str">
        <f t="shared" ref="B52:D52" si="41">B12</f>
        <v>Vengeful Arrow 75</v>
      </c>
      <c r="C52">
        <f t="shared" si="41"/>
        <v>1.5</v>
      </c>
      <c r="D52">
        <f t="shared" si="41"/>
        <v>0</v>
      </c>
      <c r="E52" s="83">
        <f t="shared" ref="E52:F52" si="42">IF(OR($B52="Construct's Sac",$B52="Mist of Poison"),E12*($C$2/$B$2),(IF(((IF($A12=1,if(E12-1/3*$B$6&lt;(E12*2/3),E12*2/3,E12-1/3*$B$6),if(E12-$B$6&lt;(E12*2/3),E12*2/3,E12-$B$6)))/$B$2*$C$2)*1.5&lt;(((IF($A12=1,if(E12-1/3*$B$6&lt;(E12*2/3),E12*2/3,E12-1/3*$B$6),if(E12-$B$6&lt;(E12*2/3),E12*2/3,E12-$B$6)))/$B$2*$C$2)+IF($A12=1,1/3,1)*$C$6),((IF($A12=1,if(E12-1/3*$B$6&lt;(E12*2/3),E12*2/3,E12-1/3*$B$6),if(E12-$B$6&lt;(E12*2/3),E12*2/3,E12-$B$6)))/$B$2*$C$2)*1.5,((IF($A12=1,if(E12-1/3*$B$6&lt;(E12*2/3),E12*2/3,E12-1/3*$B$6),if(E12-$B$6&lt;(E12*2/3),E12*2/3,E12-$B$6)))/$B$2*$C$2)+IF($A12=1,1/3,1)*$C$6)))</f>
        <v>12862.82502</v>
      </c>
      <c r="F52" s="83">
        <f t="shared" si="42"/>
        <v>19849.62219</v>
      </c>
      <c r="G52" s="83">
        <f t="shared" ref="G52:H52" si="43">G12*$C$2/$B$2</f>
        <v>14512.11392</v>
      </c>
      <c r="H52" s="83">
        <f t="shared" si="43"/>
        <v>24185.69342</v>
      </c>
      <c r="I52" t="str">
        <f t="shared" ref="I52:K52" si="44">I12</f>
        <v/>
      </c>
      <c r="J52">
        <f t="shared" si="44"/>
        <v>1</v>
      </c>
      <c r="K52" s="75">
        <f t="shared" si="44"/>
        <v>1</v>
      </c>
      <c r="L52" s="81">
        <f t="shared" si="23"/>
        <v>221771.3826</v>
      </c>
      <c r="M52" s="82">
        <f t="shared" si="24"/>
        <v>342232.6083</v>
      </c>
      <c r="N52" s="81">
        <f t="shared" si="25"/>
        <v>250207.2104</v>
      </c>
      <c r="O52" s="83">
        <f t="shared" si="26"/>
        <v>416991.9639</v>
      </c>
      <c r="P52" s="83">
        <f t="shared" si="27"/>
        <v>759224.5722</v>
      </c>
      <c r="Q52" s="83">
        <f t="shared" si="28"/>
        <v>649311.9851</v>
      </c>
      <c r="R52" s="83">
        <f t="shared" si="29"/>
        <v>361701.5793</v>
      </c>
      <c r="S52" t="str">
        <f t="shared" si="30"/>
        <v>Vengeful Arrow 75</v>
      </c>
      <c r="T52" s="83">
        <f t="shared" si="31"/>
        <v>432874.6567</v>
      </c>
      <c r="U52" s="21">
        <f t="shared" si="32"/>
        <v>1.52371951</v>
      </c>
    </row>
    <row r="53">
      <c r="A53" s="57">
        <f t="shared" si="18"/>
        <v>6616.54073</v>
      </c>
      <c r="B53" t="str">
        <f t="shared" ref="B53:D53" si="45">B13</f>
        <v>Vengeful Arrow</v>
      </c>
      <c r="C53">
        <f t="shared" si="45"/>
        <v>1.5</v>
      </c>
      <c r="D53">
        <f t="shared" si="45"/>
        <v>0</v>
      </c>
      <c r="E53" s="83">
        <f t="shared" ref="E53:F53" si="46">IF(OR($B53="Construct's Sac",$B53="Mist of Poison"),E13*($C$2/$B$2),(IF(((IF($A13=1,if(E13-1/3*$B$6&lt;(E13*2/3),E13*2/3,E13-1/3*$B$6),if(E13-$B$6&lt;(E13*2/3),E13*2/3,E13-$B$6)))/$B$2*$C$2)*1.5&lt;(((IF($A13=1,if(E13-1/3*$B$6&lt;(E13*2/3),E13*2/3,E13-1/3*$B$6),if(E13-$B$6&lt;(E13*2/3),E13*2/3,E13-$B$6)))/$B$2*$C$2)+IF($A13=1,1/3,1)*$C$6),((IF($A13=1,if(E13-1/3*$B$6&lt;(E13*2/3),E13*2/3,E13-1/3*$B$6),if(E13-$B$6&lt;(E13*2/3),E13*2/3,E13-$B$6)))/$B$2*$C$2)*1.5,((IF($A13=1,if(E13-1/3*$B$6&lt;(E13*2/3),E13*2/3,E13-1/3*$B$6),if(E13-$B$6&lt;(E13*2/3),E13*2/3,E13-$B$6)))/$B$2*$C$2)+IF($A13=1,1/3,1)*$C$6)))</f>
        <v>12862.82502</v>
      </c>
      <c r="F53" s="83">
        <f t="shared" si="46"/>
        <v>19849.62219</v>
      </c>
      <c r="G53" s="83">
        <f t="shared" ref="G53:H53" si="47">G13*$C$2/$B$2</f>
        <v>0</v>
      </c>
      <c r="H53" s="83">
        <f t="shared" si="47"/>
        <v>0</v>
      </c>
      <c r="I53" t="str">
        <f t="shared" ref="I53:K53" si="48">I13</f>
        <v/>
      </c>
      <c r="J53">
        <f t="shared" si="48"/>
        <v>1</v>
      </c>
      <c r="K53" s="75">
        <f t="shared" si="48"/>
        <v>1</v>
      </c>
      <c r="L53" s="81">
        <f t="shared" si="23"/>
        <v>221771.3826</v>
      </c>
      <c r="M53" s="82">
        <f t="shared" si="24"/>
        <v>342232.6083</v>
      </c>
      <c r="N53" s="81">
        <f t="shared" si="25"/>
        <v>0</v>
      </c>
      <c r="O53" s="83">
        <f t="shared" si="26"/>
        <v>0</v>
      </c>
      <c r="P53" s="83">
        <f t="shared" si="27"/>
        <v>342232.6083</v>
      </c>
      <c r="Q53" s="83">
        <f t="shared" si="28"/>
        <v>294866.1835</v>
      </c>
      <c r="R53" s="83">
        <f t="shared" si="29"/>
        <v>164256.2693</v>
      </c>
      <c r="S53" t="str">
        <f t="shared" si="30"/>
        <v>Vengeful Arrow</v>
      </c>
      <c r="T53" s="83">
        <f t="shared" si="31"/>
        <v>196577.4557</v>
      </c>
      <c r="U53" s="21">
        <f t="shared" si="32"/>
        <v>1.52371951</v>
      </c>
    </row>
    <row r="54">
      <c r="A54" s="57">
        <f t="shared" si="18"/>
        <v>21031.1376</v>
      </c>
      <c r="B54" t="str">
        <f t="shared" ref="B54:D54" si="49">B14</f>
        <v>Barrage</v>
      </c>
      <c r="C54">
        <f t="shared" si="49"/>
        <v>1.5</v>
      </c>
      <c r="D54">
        <f t="shared" si="49"/>
        <v>0</v>
      </c>
      <c r="E54" s="83">
        <f t="shared" ref="E54:F54" si="50">IF(OR($B54="Construct's Sac",$B54="Mist of Poison"),E14*($C$2/$B$2),(IF(((IF($A14=1,if(E14-1/3*$B$6&lt;(E14*2/3),E14*2/3,E14-1/3*$B$6),if(E14-$B$6&lt;(E14*2/3),E14*2/3,E14-$B$6)))/$B$2*$C$2)*1.5&lt;(((IF($A14=1,if(E14-1/3*$B$6&lt;(E14*2/3),E14*2/3,E14-1/3*$B$6),if(E14-$B$6&lt;(E14*2/3),E14*2/3,E14-$B$6)))/$B$2*$C$2)+IF($A14=1,1/3,1)*$C$6),((IF($A14=1,if(E14-1/3*$B$6&lt;(E14*2/3),E14*2/3,E14-1/3*$B$6),if(E14-$B$6&lt;(E14*2/3),E14*2/3,E14-$B$6)))/$B$2*$C$2)*1.5,((IF($A14=1,if(E14-1/3*$B$6&lt;(E14*2/3),E14*2/3,E14-1/3*$B$6),if(E14-$B$6&lt;(E14*2/3),E14*2/3,E14-$B$6)))/$B$2*$C$2)+IF($A14=1,1/3,1)*$C$6)))</f>
        <v>4220.923411</v>
      </c>
      <c r="F54" s="83">
        <f t="shared" si="50"/>
        <v>6452.930032</v>
      </c>
      <c r="G54" s="83">
        <f t="shared" ref="G54:H54" si="51">G14*$C$2/$B$2</f>
        <v>3583.539551</v>
      </c>
      <c r="H54" s="83">
        <f t="shared" si="51"/>
        <v>5531.747518</v>
      </c>
      <c r="I54" t="str">
        <f t="shared" ref="I54:K54" si="52">I14</f>
        <v/>
      </c>
      <c r="J54">
        <f t="shared" si="52"/>
        <v>1</v>
      </c>
      <c r="K54" s="75">
        <f t="shared" si="52"/>
        <v>2</v>
      </c>
      <c r="L54" s="81">
        <f t="shared" si="23"/>
        <v>72774.06161</v>
      </c>
      <c r="M54" s="82">
        <f t="shared" si="24"/>
        <v>111256.6806</v>
      </c>
      <c r="N54" s="81">
        <f t="shared" si="25"/>
        <v>61784.75718</v>
      </c>
      <c r="O54" s="83">
        <f t="shared" si="26"/>
        <v>95374.32819</v>
      </c>
      <c r="P54" s="83">
        <f t="shared" si="27"/>
        <v>302005.337</v>
      </c>
      <c r="Q54" s="83">
        <f t="shared" si="28"/>
        <v>260377.0919</v>
      </c>
      <c r="R54" s="83">
        <f t="shared" si="29"/>
        <v>145043.9966</v>
      </c>
      <c r="S54" t="str">
        <f t="shared" si="30"/>
        <v>Barrage</v>
      </c>
      <c r="T54" s="83">
        <f t="shared" si="31"/>
        <v>173584.7279</v>
      </c>
      <c r="U54" s="21">
        <f t="shared" si="32"/>
        <v>1.52371951</v>
      </c>
    </row>
    <row r="55">
      <c r="A55" s="57">
        <f t="shared" si="18"/>
        <v>52713.65159</v>
      </c>
      <c r="B55" t="str">
        <f t="shared" ref="B55:D55" si="53">B15</f>
        <v>Mist of Poison</v>
      </c>
      <c r="C55">
        <f t="shared" si="53"/>
        <v>0.35</v>
      </c>
      <c r="D55">
        <f t="shared" si="53"/>
        <v>0</v>
      </c>
      <c r="E55" s="83">
        <f t="shared" ref="E55:F55" si="54">IF(OR($B55="Construct's Sac",$B55="Mist of Poison"),E15*($C$2/$B$2),(IF(((IF($A15=1,if(E15-1/3*$B$6&lt;(E15*2/3),E15*2/3,E15-1/3*$B$6),if(E15-$B$6&lt;(E15*2/3),E15*2/3,E15-$B$6)))/$B$2*$C$2)*1.5&lt;(((IF($A15=1,if(E15-1/3*$B$6&lt;(E15*2/3),E15*2/3,E15-1/3*$B$6),if(E15-$B$6&lt;(E15*2/3),E15*2/3,E15-$B$6)))/$B$2*$C$2)+IF($A15=1,1/3,1)*$C$6),((IF($A15=1,if(E15-1/3*$B$6&lt;(E15*2/3),E15*2/3,E15-1/3*$B$6),if(E15-$B$6&lt;(E15*2/3),E15*2/3,E15-$B$6)))/$B$2*$C$2)*1.5,((IF($A15=1,if(E15-1/3*$B$6&lt;(E15*2/3),E15*2/3,E15-1/3*$B$6),if(E15-$B$6&lt;(E15*2/3),E15*2/3,E15-$B$6)))/$B$2*$C$2)+IF($A15=1,1/3,1)*$C$6)))</f>
        <v>9935.279079</v>
      </c>
      <c r="F55" s="83">
        <f t="shared" si="54"/>
        <v>16559.18617</v>
      </c>
      <c r="G55" s="83">
        <f t="shared" ref="G55:H55" si="55">G15*$C$2/$B$2</f>
        <v>9935.279079</v>
      </c>
      <c r="H55" s="83">
        <f t="shared" si="55"/>
        <v>16559.18617</v>
      </c>
      <c r="I55" t="str">
        <f t="shared" ref="I55:K55" si="56">I15</f>
        <v/>
      </c>
      <c r="J55">
        <f t="shared" si="56"/>
        <v>24</v>
      </c>
      <c r="K55" s="75">
        <f t="shared" si="56"/>
        <v>0.25</v>
      </c>
      <c r="L55" s="81">
        <f t="shared" si="23"/>
        <v>171296.7854</v>
      </c>
      <c r="M55" s="82">
        <f t="shared" si="24"/>
        <v>285501.3268</v>
      </c>
      <c r="N55" s="81">
        <f t="shared" si="25"/>
        <v>171296.7854</v>
      </c>
      <c r="O55" s="83">
        <f t="shared" si="26"/>
        <v>285501.3268</v>
      </c>
      <c r="P55" s="83">
        <f t="shared" si="27"/>
        <v>1998509.288</v>
      </c>
      <c r="Q55" s="83">
        <f t="shared" si="28"/>
        <v>1698726.754</v>
      </c>
      <c r="R55" s="83">
        <f t="shared" si="29"/>
        <v>2633034.24</v>
      </c>
      <c r="S55" t="str">
        <f t="shared" si="30"/>
        <v>Mist of Poison</v>
      </c>
      <c r="T55" s="83">
        <f t="shared" si="31"/>
        <v>69762.90569</v>
      </c>
      <c r="U55" s="21">
        <f t="shared" si="32"/>
        <v>1.52371951</v>
      </c>
    </row>
    <row r="56">
      <c r="A56" s="57">
        <f t="shared" si="18"/>
        <v>7708.700301</v>
      </c>
      <c r="B56" t="str">
        <f t="shared" ref="B56:D56" si="57">B16</f>
        <v>Unc. Wrath</v>
      </c>
      <c r="C56">
        <f t="shared" si="57"/>
        <v>0.5</v>
      </c>
      <c r="D56">
        <f t="shared" si="57"/>
        <v>5</v>
      </c>
      <c r="E56" s="83">
        <f t="shared" ref="E56:F56" si="58">IF(OR($B56="Construct's Sac",$B56="Mist of Poison"),E16*($C$2/$B$2),(IF(((IF($A16=1,if(E16-1/3*$B$6&lt;(E16*2/3),E16*2/3,E16-1/3*$B$6),if(E16-$B$6&lt;(E16*2/3),E16*2/3,E16-$B$6)))/$B$2*$C$2)*1.5&lt;(((IF($A16=1,if(E16-1/3*$B$6&lt;(E16*2/3),E16*2/3,E16-1/3*$B$6),if(E16-$B$6&lt;(E16*2/3),E16*2/3,E16-$B$6)))/$B$2*$C$2)+IF($A16=1,1/3,1)*$C$6),((IF($A16=1,if(E16-1/3*$B$6&lt;(E16*2/3),E16*2/3,E16-1/3*$B$6),if(E16-$B$6&lt;(E16*2/3),E16*2/3,E16-$B$6)))/$B$2*$C$2)*1.5,((IF($A16=1,if(E16-1/3*$B$6&lt;(E16*2/3),E16*2/3,E16-1/3*$B$6),if(E16-$B$6&lt;(E16*2/3),E16*2/3,E16-$B$6)))/$B$2*$C$2)+IF($A16=1,1/3,1)*$C$6)))</f>
        <v>21280.24655</v>
      </c>
      <c r="F56" s="83">
        <f t="shared" si="58"/>
        <v>23126.1009</v>
      </c>
      <c r="G56" s="83">
        <f t="shared" ref="G56:H56" si="59">G16*$C$2/$B$2</f>
        <v>0</v>
      </c>
      <c r="H56" s="83">
        <f t="shared" si="59"/>
        <v>0</v>
      </c>
      <c r="I56" s="21" t="str">
        <f t="shared" ref="I56:K56" si="60">I16</f>
        <v/>
      </c>
      <c r="J56">
        <f t="shared" si="60"/>
        <v>1</v>
      </c>
      <c r="K56" s="75">
        <f t="shared" si="60"/>
        <v>1</v>
      </c>
      <c r="L56" s="81">
        <f t="shared" si="23"/>
        <v>366898.3828</v>
      </c>
      <c r="M56" s="82">
        <f t="shared" si="24"/>
        <v>398723.248</v>
      </c>
      <c r="N56" s="81">
        <f t="shared" si="25"/>
        <v>0</v>
      </c>
      <c r="O56" s="83">
        <f t="shared" si="26"/>
        <v>0</v>
      </c>
      <c r="P56" s="83">
        <f t="shared" si="27"/>
        <v>398723.248</v>
      </c>
      <c r="Q56" s="83">
        <f t="shared" si="28"/>
        <v>383472.2531</v>
      </c>
      <c r="R56" s="83">
        <f t="shared" si="29"/>
        <v>482258.3495</v>
      </c>
      <c r="S56" t="str">
        <f t="shared" si="30"/>
        <v>Unc. Wrath</v>
      </c>
      <c r="T56" s="83">
        <f t="shared" si="31"/>
        <v>69722.22784</v>
      </c>
      <c r="U56" s="21">
        <f t="shared" si="32"/>
        <v>1.52371951</v>
      </c>
    </row>
    <row r="57">
      <c r="A57" s="57">
        <f t="shared" si="18"/>
        <v>5939.998859</v>
      </c>
      <c r="B57" t="str">
        <f t="shared" ref="B57:D57" si="61">B17</f>
        <v>Healing Arrow</v>
      </c>
      <c r="C57">
        <f t="shared" si="61"/>
        <v>1.5</v>
      </c>
      <c r="D57">
        <f t="shared" si="61"/>
        <v>4</v>
      </c>
      <c r="E57" s="83">
        <f t="shared" ref="E57:F57" si="62">IF(OR($B57="Construct's Sac",$B57="Mist of Poison"),E17*($C$2/$B$2),(IF(((IF($A17=1,if(E17-1/3*$B$6&lt;(E17*2/3),E17*2/3,E17-1/3*$B$6),if(E17-$B$6&lt;(E17*2/3),E17*2/3,E17-$B$6)))/$B$2*$C$2)*1.5&lt;(((IF($A17=1,if(E17-1/3*$B$6&lt;(E17*2/3),E17*2/3,E17-1/3*$B$6),if(E17-$B$6&lt;(E17*2/3),E17*2/3,E17-$B$6)))/$B$2*$C$2)+IF($A17=1,1/3,1)*$C$6),((IF($A17=1,if(E17-1/3*$B$6&lt;(E17*2/3),E17*2/3,E17-1/3*$B$6),if(E17-$B$6&lt;(E17*2/3),E17*2/3,E17-$B$6)))/$B$2*$C$2)*1.5,((IF($A17=1,if(E17-1/3*$B$6&lt;(E17*2/3),E17*2/3,E17-1/3*$B$6),if(E17-$B$6&lt;(E17*2/3),E17*2/3,E17-$B$6)))/$B$2*$C$2)+IF($A17=1,1/3,1)*$C$6)))</f>
        <v>14726.12601</v>
      </c>
      <c r="F57" s="83">
        <f t="shared" si="62"/>
        <v>17819.99658</v>
      </c>
      <c r="G57" s="83">
        <f t="shared" ref="G57:H57" si="63">G17*$C$2/$B$2</f>
        <v>0</v>
      </c>
      <c r="H57" s="83">
        <f t="shared" si="63"/>
        <v>0</v>
      </c>
      <c r="I57" t="str">
        <f t="shared" ref="I57:K57" si="64">I17</f>
        <v/>
      </c>
      <c r="J57">
        <f t="shared" si="64"/>
        <v>1</v>
      </c>
      <c r="K57" s="75">
        <f t="shared" si="64"/>
        <v>4</v>
      </c>
      <c r="L57" s="81">
        <f t="shared" si="23"/>
        <v>253897.0499</v>
      </c>
      <c r="M57" s="82">
        <f t="shared" si="24"/>
        <v>307239.294</v>
      </c>
      <c r="N57" s="81">
        <f t="shared" si="25"/>
        <v>0</v>
      </c>
      <c r="O57" s="83">
        <f t="shared" si="26"/>
        <v>0</v>
      </c>
      <c r="P57" s="83">
        <f t="shared" si="27"/>
        <v>307239.294</v>
      </c>
      <c r="Q57" s="83">
        <f t="shared" si="28"/>
        <v>283103.5584</v>
      </c>
      <c r="R57" s="83">
        <f t="shared" si="29"/>
        <v>157703.8566</v>
      </c>
      <c r="S57" t="str">
        <f t="shared" si="30"/>
        <v>Healing Arrow</v>
      </c>
      <c r="T57" s="83">
        <f t="shared" si="31"/>
        <v>51473.37426</v>
      </c>
      <c r="U57" s="21">
        <f t="shared" si="32"/>
        <v>1.52371951</v>
      </c>
    </row>
    <row r="58">
      <c r="A58" s="57">
        <f t="shared" si="18"/>
        <v>110921.0752</v>
      </c>
      <c r="B58" t="str">
        <f t="shared" ref="B58:D58" si="65">B18</f>
        <v>Seeking Cascade</v>
      </c>
      <c r="C58">
        <f t="shared" si="65"/>
        <v>0.25</v>
      </c>
      <c r="D58">
        <f t="shared" si="65"/>
        <v>22.5</v>
      </c>
      <c r="E58" s="83">
        <f t="shared" ref="E58:F58" si="66">IF(OR($B58="Construct's Sac",$B58="Mist of Poison"),E18*($C$2/$B$2),(IF(((IF($A18=1,if(E18-1/3*$B$6&lt;(E18*2/3),E18*2/3,E18-1/3*$B$6),if(E18-$B$6&lt;(E18*2/3),E18*2/3,E18-$B$6)))/$B$2*$C$2)*1.5&lt;(((IF($A18=1,if(E18-1/3*$B$6&lt;(E18*2/3),E18*2/3,E18-1/3*$B$6),if(E18-$B$6&lt;(E18*2/3),E18*2/3,E18-$B$6)))/$B$2*$C$2)+IF($A18=1,1/3,1)*$C$6),((IF($A18=1,if(E18-1/3*$B$6&lt;(E18*2/3),E18*2/3,E18-1/3*$B$6),if(E18-$B$6&lt;(E18*2/3),E18*2/3,E18-$B$6)))/$B$2*$C$2)*1.5,((IF($A18=1,if(E18-1/3*$B$6&lt;(E18*2/3),E18*2/3,E18-1/3*$B$6),if(E18-$B$6&lt;(E18*2/3),E18*2/3,E18-$B$6)))/$B$2*$C$2)+IF($A18=1,1/3,1)*$C$6)))</f>
        <v>51412.66549</v>
      </c>
      <c r="F58" s="83">
        <f t="shared" si="66"/>
        <v>77443.05015</v>
      </c>
      <c r="G58" s="83">
        <f t="shared" ref="G58:H58" si="67">G18*$C$2/$B$2</f>
        <v>0</v>
      </c>
      <c r="H58" s="83">
        <f t="shared" si="67"/>
        <v>0</v>
      </c>
      <c r="I58" s="21" t="str">
        <f t="shared" ref="I58:K58" si="68">I18</f>
        <v/>
      </c>
      <c r="J58">
        <f t="shared" si="68"/>
        <v>1</v>
      </c>
      <c r="K58" s="75">
        <f t="shared" si="68"/>
        <v>1</v>
      </c>
      <c r="L58" s="81">
        <f t="shared" si="23"/>
        <v>886419.421</v>
      </c>
      <c r="M58" s="82">
        <f t="shared" si="24"/>
        <v>1335216.197</v>
      </c>
      <c r="N58" s="81">
        <f t="shared" si="25"/>
        <v>0</v>
      </c>
      <c r="O58" s="83">
        <f t="shared" si="26"/>
        <v>0</v>
      </c>
      <c r="P58" s="83">
        <f t="shared" si="27"/>
        <v>1335216.197</v>
      </c>
      <c r="Q58" s="83">
        <f t="shared" si="28"/>
        <v>1156148.948</v>
      </c>
      <c r="R58" s="83">
        <f t="shared" si="29"/>
        <v>2120753.998</v>
      </c>
      <c r="S58" t="str">
        <f t="shared" si="30"/>
        <v>Seeking Cascade</v>
      </c>
      <c r="T58" s="83">
        <f t="shared" si="31"/>
        <v>50819.73397</v>
      </c>
      <c r="U58" s="21">
        <f t="shared" si="32"/>
        <v>1.503295395</v>
      </c>
    </row>
    <row r="59">
      <c r="A59" s="57">
        <f t="shared" si="18"/>
        <v>45265.30362</v>
      </c>
      <c r="B59" t="str">
        <f t="shared" ref="B59:D59" si="69">B19</f>
        <v>Eye Shot</v>
      </c>
      <c r="C59">
        <f t="shared" si="69"/>
        <v>0</v>
      </c>
      <c r="D59">
        <f t="shared" si="69"/>
        <v>45</v>
      </c>
      <c r="E59" s="83">
        <f t="shared" ref="E59:F59" si="70">IF(OR($B59="Construct's Sac",$B59="Mist of Poison"),E19*($C$2/$B$2),(IF(((IF($A19=1,if(E19-1/3*$B$6&lt;(E19*2/3),E19*2/3,E19-1/3*$B$6),if(E19-$B$6&lt;(E19*2/3),E19*2/3,E19-$B$6)))/$B$2*$C$2)*1.5&lt;(((IF($A19=1,if(E19-1/3*$B$6&lt;(E19*2/3),E19*2/3,E19-1/3*$B$6),if(E19-$B$6&lt;(E19*2/3),E19*2/3,E19-$B$6)))/$B$2*$C$2)+IF($A19=1,1/3,1)*$C$6),((IF($A19=1,if(E19-1/3*$B$6&lt;(E19*2/3),E19*2/3,E19-1/3*$B$6),if(E19-$B$6&lt;(E19*2/3),E19*2/3,E19-$B$6)))/$B$2*$C$2)*1.5,((IF($A19=1,if(E19-1/3*$B$6&lt;(E19*2/3),E19*2/3,E19-1/3*$B$6),if(E19-$B$6&lt;(E19*2/3),E19*2/3,E19-$B$6)))/$B$2*$C$2)+IF($A19=1,1/3,1)*$C$6)))</f>
        <v>66288.32862</v>
      </c>
      <c r="F59" s="83">
        <f t="shared" si="70"/>
        <v>101017.6072</v>
      </c>
      <c r="G59" s="83">
        <f t="shared" ref="G59:H59" si="71">G19*$C$2/$B$2</f>
        <v>0</v>
      </c>
      <c r="H59" s="83">
        <f t="shared" si="71"/>
        <v>0</v>
      </c>
      <c r="I59" s="77">
        <f t="shared" ref="I59:K59" si="72">I19</f>
        <v>0.45</v>
      </c>
      <c r="J59">
        <f t="shared" si="72"/>
        <v>1</v>
      </c>
      <c r="K59" s="75">
        <f t="shared" si="72"/>
        <v>1</v>
      </c>
      <c r="L59" s="81">
        <f t="shared" si="23"/>
        <v>1187877.94</v>
      </c>
      <c r="M59" s="82">
        <f t="shared" si="24"/>
        <v>1810221.945</v>
      </c>
      <c r="N59" s="81">
        <f t="shared" si="25"/>
        <v>0</v>
      </c>
      <c r="O59" s="83">
        <f t="shared" si="26"/>
        <v>0</v>
      </c>
      <c r="P59" s="83">
        <f t="shared" si="27"/>
        <v>1810221.945</v>
      </c>
      <c r="Q59" s="83">
        <f t="shared" si="28"/>
        <v>1563642.864</v>
      </c>
      <c r="R59" s="83">
        <f t="shared" si="29"/>
        <v>5297622.023</v>
      </c>
      <c r="S59" t="str">
        <f t="shared" si="30"/>
        <v>Eye Shot</v>
      </c>
      <c r="T59" s="83">
        <f t="shared" si="31"/>
        <v>34747.6192</v>
      </c>
      <c r="U59" s="21">
        <f t="shared" si="32"/>
        <v>1.436712859</v>
      </c>
    </row>
    <row r="60">
      <c r="A60" s="57">
        <f t="shared" si="18"/>
        <v>11265.87604</v>
      </c>
      <c r="B60" t="str">
        <f t="shared" ref="B60:D60" si="73">B20</f>
        <v>Healing Barrage</v>
      </c>
      <c r="C60">
        <f t="shared" si="73"/>
        <v>1.5</v>
      </c>
      <c r="D60">
        <f t="shared" si="73"/>
        <v>4</v>
      </c>
      <c r="E60" s="83">
        <f t="shared" ref="E60:F60" si="74">IF(OR($B60="Construct's Sac",$B60="Mist of Poison"),E20*($C$2/$B$2),(IF(((IF($A20=1,if(E20-1/3*$B$6&lt;(E20*2/3),E20*2/3,E20-1/3*$B$6),if(E20-$B$6&lt;(E20*2/3),E20*2/3,E20-$B$6)))/$B$2*$C$2)*1.5&lt;(((IF($A20=1,if(E20-1/3*$B$6&lt;(E20*2/3),E20*2/3,E20-1/3*$B$6),if(E20-$B$6&lt;(E20*2/3),E20*2/3,E20-$B$6)))/$B$2*$C$2)+IF($A20=1,1/3,1)*$C$6),((IF($A20=1,if(E20-1/3*$B$6&lt;(E20*2/3),E20*2/3,E20-1/3*$B$6),if(E20-$B$6&lt;(E20*2/3),E20*2/3,E20-$B$6)))/$B$2*$C$2)*1.5,((IF($A20=1,if(E20-1/3*$B$6&lt;(E20*2/3),E20*2/3,E20-1/3*$B$6),if(E20-$B$6&lt;(E20*2/3),E20*2/3,E20-$B$6)))/$B$2*$C$2)+IF($A20=1,1/3,1)*$C$6)))</f>
        <v>8731.461021</v>
      </c>
      <c r="F60" s="83">
        <f t="shared" si="74"/>
        <v>11006.2507</v>
      </c>
      <c r="G60" s="83">
        <f t="shared" ref="G60:H60" si="75">G20*$C$2/$B$2</f>
        <v>0</v>
      </c>
      <c r="H60" s="83">
        <f t="shared" si="75"/>
        <v>0</v>
      </c>
      <c r="I60" t="str">
        <f t="shared" ref="I60:K60" si="76">I20</f>
        <v/>
      </c>
      <c r="J60">
        <f t="shared" si="76"/>
        <v>1</v>
      </c>
      <c r="K60" s="75">
        <f t="shared" si="76"/>
        <v>1</v>
      </c>
      <c r="L60" s="81">
        <f t="shared" si="23"/>
        <v>150541.4385</v>
      </c>
      <c r="M60" s="82">
        <f t="shared" si="24"/>
        <v>189761.6915</v>
      </c>
      <c r="N60" s="81">
        <f t="shared" si="25"/>
        <v>0</v>
      </c>
      <c r="O60" s="83">
        <f t="shared" si="26"/>
        <v>0</v>
      </c>
      <c r="P60" s="83">
        <f t="shared" si="27"/>
        <v>189761.6915</v>
      </c>
      <c r="Q60" s="83">
        <f t="shared" si="28"/>
        <v>172411.6504</v>
      </c>
      <c r="R60" s="83">
        <f t="shared" si="29"/>
        <v>96042.53066</v>
      </c>
      <c r="S60" t="str">
        <f t="shared" si="30"/>
        <v>Healing Barrage</v>
      </c>
      <c r="T60" s="83">
        <f t="shared" si="31"/>
        <v>31347.5728</v>
      </c>
      <c r="U60" s="21">
        <f t="shared" si="32"/>
        <v>1.484139551</v>
      </c>
    </row>
    <row r="61">
      <c r="A61" s="57">
        <f t="shared" si="18"/>
        <v>37418.38717</v>
      </c>
      <c r="B61" t="str">
        <f t="shared" ref="B61:D61" si="77">B21</f>
        <v>Downpour</v>
      </c>
      <c r="C61">
        <f t="shared" si="77"/>
        <v>1</v>
      </c>
      <c r="D61">
        <f t="shared" si="77"/>
        <v>30</v>
      </c>
      <c r="E61" s="83">
        <f t="shared" ref="E61:F61" si="78">IF(OR($B61="Construct's Sac",$B61="Mist of Poison"),E21*($C$2/$B$2),(IF(((IF($A21=1,if(E21-1/3*$B$6&lt;(E21*2/3),E21*2/3,E21-1/3*$B$6),if(E21-$B$6&lt;(E21*2/3),E21*2/3,E21-$B$6)))/$B$2*$C$2)*1.5&lt;(((IF($A21=1,if(E21-1/3*$B$6&lt;(E21*2/3),E21*2/3,E21-1/3*$B$6),if(E21-$B$6&lt;(E21*2/3),E21*2/3,E21-$B$6)))/$B$2*$C$2)+IF($A21=1,1/3,1)*$C$6),((IF($A21=1,if(E21-1/3*$B$6&lt;(E21*2/3),E21*2/3,E21-1/3*$B$6),if(E21-$B$6&lt;(E21*2/3),E21*2/3,E21-$B$6)))/$B$2*$C$2)*1.5,((IF($A21=1,if(E21-1/3*$B$6&lt;(E21*2/3),E21*2/3,E21-1/3*$B$6),if(E21-$B$6&lt;(E21*2/3),E21*2/3,E21-$B$6)))/$B$2*$C$2)+IF($A21=1,1/3,1)*$C$6)))</f>
        <v>18278.00963</v>
      </c>
      <c r="F61" s="83">
        <f t="shared" si="78"/>
        <v>28441.25812</v>
      </c>
      <c r="G61" s="83">
        <f t="shared" ref="G61:H61" si="79">G21*$C$2/$B$2</f>
        <v>0</v>
      </c>
      <c r="H61" s="83">
        <f t="shared" si="79"/>
        <v>0</v>
      </c>
      <c r="I61" t="str">
        <f t="shared" ref="I61:K61" si="80">I21</f>
        <v/>
      </c>
      <c r="J61">
        <f t="shared" si="80"/>
        <v>1</v>
      </c>
      <c r="K61" s="75">
        <f t="shared" si="80"/>
        <v>1</v>
      </c>
      <c r="L61" s="81">
        <f t="shared" si="23"/>
        <v>315136.0186</v>
      </c>
      <c r="M61" s="82">
        <f t="shared" si="24"/>
        <v>490363.2852</v>
      </c>
      <c r="N61" s="81">
        <f t="shared" si="25"/>
        <v>0</v>
      </c>
      <c r="O61" s="83">
        <f t="shared" si="26"/>
        <v>0</v>
      </c>
      <c r="P61" s="83">
        <f t="shared" si="27"/>
        <v>490363.2852</v>
      </c>
      <c r="Q61" s="83">
        <f t="shared" si="28"/>
        <v>421809.0073</v>
      </c>
      <c r="R61" s="83">
        <f t="shared" si="29"/>
        <v>325681.1569</v>
      </c>
      <c r="S61" t="str">
        <f t="shared" si="30"/>
        <v>Downpour</v>
      </c>
      <c r="T61" s="83">
        <f t="shared" si="31"/>
        <v>13606.74217</v>
      </c>
      <c r="U61" s="21">
        <f t="shared" si="32"/>
        <v>1.468839514</v>
      </c>
    </row>
    <row r="62">
      <c r="A62" s="57">
        <f t="shared" si="18"/>
        <v>4811.007496</v>
      </c>
      <c r="B62" t="str">
        <f t="shared" ref="B62:D62" si="81">B22</f>
        <v>Snapshot</v>
      </c>
      <c r="C62">
        <f t="shared" si="81"/>
        <v>0.5</v>
      </c>
      <c r="D62">
        <f t="shared" si="81"/>
        <v>22.5</v>
      </c>
      <c r="E62" s="83">
        <f t="shared" ref="E62:F62" si="82">IF(OR($B62="Construct's Sac",$B62="Mist of Poison"),E22*($C$2/$B$2),(IF(((IF($A22=1,if(E22-1/3*$B$6&lt;(E22*2/3),E22*2/3,E22-1/3*$B$6),if(E22-$B$6&lt;(E22*2/3),E22*2/3,E22-$B$6)))/$B$2*$C$2)*1.5&lt;(((IF($A22=1,if(E22-1/3*$B$6&lt;(E22*2/3),E22*2/3,E22-1/3*$B$6),if(E22-$B$6&lt;(E22*2/3),E22*2/3,E22-$B$6)))/$B$2*$C$2)+IF($A22=1,1/3,1)*$C$6),((IF($A22=1,if(E22-1/3*$B$6&lt;(E22*2/3),E22*2/3,E22-1/3*$B$6),if(E22-$B$6&lt;(E22*2/3),E22*2/3,E22-$B$6)))/$B$2*$C$2)*1.5,((IF($A22=1,if(E22-1/3*$B$6&lt;(E22*2/3),E22*2/3,E22-1/3*$B$6),if(E22-$B$6&lt;(E22*2/3),E22*2/3,E22-$B$6)))/$B$2*$C$2)+IF($A22=1,1/3,1)*$C$6)))</f>
        <v>9352.561352</v>
      </c>
      <c r="F62" s="83">
        <f t="shared" si="82"/>
        <v>14433.02249</v>
      </c>
      <c r="G62" s="83">
        <f t="shared" ref="G62:H62" si="83">G22*$C$2/$B$2</f>
        <v>0</v>
      </c>
      <c r="H62" s="83">
        <f t="shared" si="83"/>
        <v>0</v>
      </c>
      <c r="I62" t="str">
        <f t="shared" ref="I62:K62" si="84">I22</f>
        <v/>
      </c>
      <c r="J62">
        <f t="shared" si="84"/>
        <v>1</v>
      </c>
      <c r="K62" s="75">
        <f t="shared" si="84"/>
        <v>1</v>
      </c>
      <c r="L62" s="81">
        <f t="shared" si="23"/>
        <v>161249.9943</v>
      </c>
      <c r="M62" s="82">
        <f t="shared" si="24"/>
        <v>248843.5741</v>
      </c>
      <c r="N62" s="81">
        <f t="shared" si="25"/>
        <v>0</v>
      </c>
      <c r="O62" s="83">
        <f t="shared" si="26"/>
        <v>0</v>
      </c>
      <c r="P62" s="83">
        <f t="shared" si="27"/>
        <v>248843.5741</v>
      </c>
      <c r="Q62" s="83">
        <f t="shared" si="28"/>
        <v>214401.5215</v>
      </c>
      <c r="R62" s="83">
        <f t="shared" si="29"/>
        <v>269633.3909</v>
      </c>
      <c r="S62" t="str">
        <f t="shared" si="30"/>
        <v>Snapshot</v>
      </c>
      <c r="T62" s="83">
        <f t="shared" si="31"/>
        <v>9321.805285</v>
      </c>
      <c r="U62" s="21">
        <f t="shared" si="32"/>
        <v>1.52371951</v>
      </c>
    </row>
    <row r="63">
      <c r="A63" s="57">
        <f t="shared" si="18"/>
        <v>46473.19256</v>
      </c>
      <c r="B63" t="str">
        <f t="shared" ref="B63:D63" si="85">B23</f>
        <v>Shatter Rain</v>
      </c>
      <c r="C63">
        <f t="shared" si="85"/>
        <v>0.25</v>
      </c>
      <c r="D63">
        <f t="shared" si="85"/>
        <v>60</v>
      </c>
      <c r="E63" s="83">
        <f t="shared" ref="E63:F63" si="86">IF(OR($B63="Construct's Sac",$B63="Mist of Poison"),E23*($C$2/$B$2),(IF(((IF($A23=1,if(E23-1/3*$B$6&lt;(E23*2/3),E23*2/3,E23-1/3*$B$6),if(E23-$B$6&lt;(E23*2/3),E23*2/3,E23-$B$6)))/$B$2*$C$2)*1.5&lt;(((IF($A23=1,if(E23-1/3*$B$6&lt;(E23*2/3),E23*2/3,E23-1/3*$B$6),if(E23-$B$6&lt;(E23*2/3),E23*2/3,E23-$B$6)))/$B$2*$C$2)+IF($A23=1,1/3,1)*$C$6),((IF($A23=1,if(E23-1/3*$B$6&lt;(E23*2/3),E23*2/3,E23-1/3*$B$6),if(E23-$B$6&lt;(E23*2/3),E23*2/3,E23-$B$6)))/$B$2*$C$2)*1.5,((IF($A23=1,if(E23-1/3*$B$6&lt;(E23*2/3),E23*2/3,E23-1/3*$B$6),if(E23-$B$6&lt;(E23*2/3),E23*2/3,E23-$B$6)))/$B$2*$C$2)+IF($A23=1,1/3,1)*$C$6)))</f>
        <v>18278.00963</v>
      </c>
      <c r="F63" s="83">
        <f t="shared" si="86"/>
        <v>28441.25812</v>
      </c>
      <c r="G63" s="83">
        <f t="shared" ref="G63:H63" si="87">G23*$C$2/$B$2</f>
        <v>3621.922155</v>
      </c>
      <c r="H63" s="83">
        <f t="shared" si="87"/>
        <v>6036.536926</v>
      </c>
      <c r="I63" t="str">
        <f t="shared" ref="I63:K63" si="88">I23</f>
        <v/>
      </c>
      <c r="J63">
        <f t="shared" si="88"/>
        <v>1</v>
      </c>
      <c r="K63" s="75">
        <f t="shared" si="88"/>
        <v>1</v>
      </c>
      <c r="L63" s="81">
        <f t="shared" si="23"/>
        <v>315136.0186</v>
      </c>
      <c r="M63" s="82">
        <f t="shared" si="24"/>
        <v>490363.2852</v>
      </c>
      <c r="N63" s="81">
        <f t="shared" si="25"/>
        <v>62446.52186</v>
      </c>
      <c r="O63" s="83">
        <f t="shared" si="26"/>
        <v>104077.5364</v>
      </c>
      <c r="P63" s="83">
        <f t="shared" si="27"/>
        <v>594440.8216</v>
      </c>
      <c r="Q63" s="83">
        <f t="shared" si="28"/>
        <v>510274.9132</v>
      </c>
      <c r="R63" s="83">
        <f t="shared" si="29"/>
        <v>936010.5068</v>
      </c>
      <c r="S63" t="str">
        <f t="shared" si="30"/>
        <v>Shatter Rain</v>
      </c>
      <c r="T63" s="83">
        <f t="shared" si="31"/>
        <v>8469.293166</v>
      </c>
      <c r="U63" s="21">
        <f t="shared" si="32"/>
        <v>1.478182333</v>
      </c>
    </row>
    <row r="64">
      <c r="A64" t="str">
        <f t="shared" ref="A64:D64" si="89">A24</f>
        <v/>
      </c>
      <c r="B64" t="str">
        <f t="shared" si="89"/>
        <v/>
      </c>
      <c r="C64" t="str">
        <f t="shared" si="89"/>
        <v/>
      </c>
      <c r="D64" t="str">
        <f t="shared" si="89"/>
        <v/>
      </c>
      <c r="E64" s="83">
        <f t="shared" ref="E64:F64" si="90">IF(((IF($A24=1,if(E24-1/3*$B$6&lt;(E24*2/3),E24*2/3,E24-1/3*$B$6),if(E24-$B$6&lt;(E24*2/3),E24*2/3,E24-$B$6)))/$B$2*$C$2)*1.5&lt;(((IF($A24=1,if(E24-1/3*$B$6&lt;(E24*2/3),E24*2/3,E24-1/3*$B$6),if(E24-$B$6&lt;(E24*2/3),E24*2/3,E24-$B$6)))/$B$2*$C$2)+IF($A24=1,1/3,1)*$C$6),((IF($A24=1,if(E24-1/3*$B$6&lt;(E24*2/3),E24*2/3,E24-1/3*$B$6),if(E24-$B$6&lt;(E24*2/3),E24*2/3,E24-$B$6)))/$B$2*$C$2)*1.5,((IF($A24=1,if(E24-1/3*$B$6&lt;(E24*2/3),E24*2/3,E24-1/3*$B$6),if(E24-$B$6&lt;(E24*2/3),E24*2/3,E24-$B$6)))/$B$2*$C$2)+IF($A24=1,1/3,1)*$C$6)</f>
        <v>0</v>
      </c>
      <c r="F64" s="83">
        <f t="shared" si="90"/>
        <v>0</v>
      </c>
      <c r="G64" s="83">
        <f t="shared" ref="G64:H64" si="91">G24*$C$2/$B$2</f>
        <v>0</v>
      </c>
      <c r="H64" s="83">
        <f t="shared" si="91"/>
        <v>0</v>
      </c>
      <c r="I64" t="str">
        <f t="shared" ref="I64:K64" si="92">I24</f>
        <v/>
      </c>
      <c r="J64" t="str">
        <f t="shared" si="92"/>
        <v/>
      </c>
      <c r="K64" s="75" t="str">
        <f t="shared" si="92"/>
        <v/>
      </c>
      <c r="L64" s="81">
        <f t="shared" si="23"/>
        <v>1.508</v>
      </c>
      <c r="M64" s="82">
        <f t="shared" si="24"/>
        <v>0</v>
      </c>
      <c r="N64" s="81">
        <f t="shared" si="25"/>
        <v>0</v>
      </c>
      <c r="O64" s="83">
        <f t="shared" si="26"/>
        <v>0</v>
      </c>
      <c r="P64" s="83">
        <f t="shared" si="27"/>
        <v>0</v>
      </c>
      <c r="Q64" s="83" t="str">
        <f t="shared" si="28"/>
        <v>#DIV/0!</v>
      </c>
      <c r="R64" s="83" t="str">
        <f t="shared" si="29"/>
        <v>#DIV/0!</v>
      </c>
      <c r="S64" t="str">
        <f t="shared" si="30"/>
        <v/>
      </c>
      <c r="T64" s="83" t="str">
        <f t="shared" si="31"/>
        <v>#DIV/0!</v>
      </c>
      <c r="U64" s="84" t="str">
        <f t="shared" si="32"/>
        <v>#DIV/0!</v>
      </c>
    </row>
    <row r="65">
      <c r="A65" t="str">
        <f t="shared" ref="A65:D65" si="93">A25</f>
        <v/>
      </c>
      <c r="B65" t="str">
        <f t="shared" si="93"/>
        <v/>
      </c>
      <c r="C65" t="str">
        <f t="shared" si="93"/>
        <v/>
      </c>
      <c r="D65" t="str">
        <f t="shared" si="93"/>
        <v/>
      </c>
      <c r="E65" s="83">
        <f t="shared" ref="E65:F65" si="94">IF(((IF($A25=1,if(E25-1/3*$B$6&lt;(E25*2/3),E25*2/3,E25-1/3*$B$6),if(E25-$B$6&lt;(E25*2/3),E25*2/3,E25-$B$6)))/$B$2*$C$2)*1.5&lt;(((IF($A25=1,if(E25-1/3*$B$6&lt;(E25*2/3),E25*2/3,E25-1/3*$B$6),if(E25-$B$6&lt;(E25*2/3),E25*2/3,E25-$B$6)))/$B$2*$C$2)+IF($A25=1,1/3,1)*$C$6),((IF($A25=1,if(E25-1/3*$B$6&lt;(E25*2/3),E25*2/3,E25-1/3*$B$6),if(E25-$B$6&lt;(E25*2/3),E25*2/3,E25-$B$6)))/$B$2*$C$2)*1.5,((IF($A25=1,if(E25-1/3*$B$6&lt;(E25*2/3),E25*2/3,E25-1/3*$B$6),if(E25-$B$6&lt;(E25*2/3),E25*2/3,E25-$B$6)))/$B$2*$C$2)+IF($A25=1,1/3,1)*$C$6)</f>
        <v>0</v>
      </c>
      <c r="F65" s="83">
        <f t="shared" si="94"/>
        <v>0</v>
      </c>
      <c r="G65" s="83">
        <f t="shared" ref="G65:H65" si="95">G25*$C$2/$B$2</f>
        <v>0</v>
      </c>
      <c r="H65" s="83">
        <f t="shared" si="95"/>
        <v>0</v>
      </c>
      <c r="I65" t="str">
        <f t="shared" ref="I65:K65" si="96">I25</f>
        <v/>
      </c>
      <c r="J65" t="str">
        <f t="shared" si="96"/>
        <v/>
      </c>
      <c r="K65" s="75" t="str">
        <f t="shared" si="96"/>
        <v/>
      </c>
      <c r="L65" s="81">
        <f t="shared" si="23"/>
        <v>1.508</v>
      </c>
      <c r="M65" s="82">
        <f t="shared" si="24"/>
        <v>0</v>
      </c>
      <c r="N65" s="81">
        <f t="shared" si="25"/>
        <v>0</v>
      </c>
      <c r="O65" s="83">
        <f t="shared" si="26"/>
        <v>0</v>
      </c>
      <c r="P65" s="83">
        <f t="shared" si="27"/>
        <v>0</v>
      </c>
      <c r="Q65" s="83" t="str">
        <f t="shared" si="28"/>
        <v>#DIV/0!</v>
      </c>
      <c r="R65" s="83" t="str">
        <f t="shared" si="29"/>
        <v>#DIV/0!</v>
      </c>
      <c r="S65" t="str">
        <f t="shared" si="30"/>
        <v/>
      </c>
      <c r="T65" s="83" t="str">
        <f t="shared" si="31"/>
        <v>#DIV/0!</v>
      </c>
      <c r="U65" s="84" t="str">
        <f t="shared" si="32"/>
        <v>#DIV/0!</v>
      </c>
    </row>
    <row r="66">
      <c r="K66" s="75"/>
      <c r="L66" s="76"/>
    </row>
    <row r="67">
      <c r="K67" s="75"/>
      <c r="L67" s="76"/>
    </row>
    <row r="68">
      <c r="K68" s="75"/>
      <c r="L68" s="76"/>
    </row>
    <row r="69">
      <c r="K69" s="75"/>
      <c r="L69" s="76"/>
    </row>
    <row r="70">
      <c r="K70" s="75"/>
      <c r="L70" s="76"/>
    </row>
    <row r="71">
      <c r="K71" s="75"/>
      <c r="L71" s="76"/>
    </row>
    <row r="72">
      <c r="K72" s="75"/>
      <c r="L72" s="76"/>
    </row>
    <row r="73">
      <c r="K73" s="75"/>
      <c r="L73" s="76"/>
    </row>
    <row r="74">
      <c r="K74" s="75"/>
      <c r="L74" s="76"/>
    </row>
    <row r="75">
      <c r="K75" s="75"/>
      <c r="L75" s="76"/>
    </row>
    <row r="76">
      <c r="K76" s="75"/>
      <c r="L76" s="76"/>
    </row>
    <row r="77">
      <c r="K77" s="75"/>
      <c r="L77" s="76"/>
    </row>
    <row r="78">
      <c r="K78" s="75"/>
      <c r="L78" s="76"/>
    </row>
    <row r="79">
      <c r="K79" s="75"/>
      <c r="L79" s="76"/>
    </row>
    <row r="80">
      <c r="K80" s="75"/>
      <c r="L80" s="76"/>
    </row>
    <row r="81">
      <c r="K81" s="75"/>
      <c r="L81" s="76"/>
    </row>
    <row r="82">
      <c r="K82" s="75"/>
      <c r="L82" s="76"/>
    </row>
    <row r="83">
      <c r="K83" s="75"/>
      <c r="L83" s="76"/>
    </row>
    <row r="84">
      <c r="K84" s="75"/>
      <c r="L84" s="76"/>
    </row>
    <row r="85">
      <c r="K85" s="75"/>
      <c r="L85" s="76"/>
    </row>
    <row r="86">
      <c r="K86" s="75"/>
      <c r="L86" s="76"/>
    </row>
    <row r="87">
      <c r="K87" s="75"/>
      <c r="L87" s="76"/>
    </row>
    <row r="88">
      <c r="K88" s="75"/>
      <c r="L88" s="76"/>
    </row>
    <row r="89">
      <c r="K89" s="75"/>
      <c r="L89" s="76"/>
    </row>
    <row r="90">
      <c r="K90" s="75"/>
      <c r="L90" s="76"/>
    </row>
    <row r="91">
      <c r="K91" s="75"/>
      <c r="L91" s="76"/>
    </row>
    <row r="92">
      <c r="K92" s="75"/>
      <c r="L92" s="76"/>
    </row>
    <row r="93">
      <c r="K93" s="75"/>
      <c r="L93" s="76"/>
    </row>
    <row r="94">
      <c r="K94" s="75"/>
      <c r="L94" s="76"/>
    </row>
    <row r="95">
      <c r="K95" s="75"/>
      <c r="L95" s="76"/>
    </row>
    <row r="96">
      <c r="K96" s="75"/>
      <c r="L96" s="76"/>
    </row>
    <row r="97">
      <c r="K97" s="75"/>
      <c r="L97" s="76"/>
    </row>
    <row r="98">
      <c r="K98" s="75"/>
      <c r="L98" s="76"/>
    </row>
    <row r="99">
      <c r="K99" s="75"/>
      <c r="L99" s="76"/>
    </row>
    <row r="100">
      <c r="K100" s="75"/>
      <c r="L100" s="76"/>
    </row>
  </sheetData>
  <autoFilter ref="$A$7:$U$4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>
        <v>0.0</v>
      </c>
      <c r="B1" s="34">
        <v>0.0</v>
      </c>
      <c r="C1" s="2" t="s">
        <v>168</v>
      </c>
      <c r="D1" t="str">
        <f t="shared" ref="D1:D25" si="1">Text(A2,"0")</f>
        <v>100</v>
      </c>
      <c r="E1" s="2" t="s">
        <v>169</v>
      </c>
      <c r="F1" s="7" t="str">
        <f t="shared" ref="F1:F25" si="2">Text(A1,"0")</f>
        <v>0</v>
      </c>
      <c r="G1" s="2" t="s">
        <v>170</v>
      </c>
      <c r="H1" t="str">
        <f t="shared" ref="H1:H25" si="3">Text(B1,"0%")</f>
        <v>0%</v>
      </c>
      <c r="I1" t="str">
        <f t="shared" ref="I1:I25" si="4">"+("</f>
        <v>+(</v>
      </c>
      <c r="J1" t="str">
        <f t="shared" ref="J1:J25" si="5">Text(B2,"0%")</f>
        <v>100%</v>
      </c>
      <c r="K1" s="2" t="s">
        <v>171</v>
      </c>
      <c r="L1" t="str">
        <f t="shared" ref="L1:L25" si="6">Text(B1,"0%")</f>
        <v>0%</v>
      </c>
      <c r="M1" s="2" t="s">
        <v>172</v>
      </c>
      <c r="N1" t="str">
        <f t="shared" ref="N1:N25" si="7">Text(A2,"0")</f>
        <v>100</v>
      </c>
      <c r="O1" s="2" t="s">
        <v>171</v>
      </c>
      <c r="P1" t="str">
        <f t="shared" ref="P1:P25" si="8">Text(A1,"0")</f>
        <v>0</v>
      </c>
      <c r="Q1" s="2" t="s">
        <v>173</v>
      </c>
      <c r="R1" t="str">
        <f t="shared" ref="R1:R25" si="9">Text(A1,"0")</f>
        <v>0</v>
      </c>
      <c r="S1" s="2" t="s">
        <v>170</v>
      </c>
    </row>
    <row r="2">
      <c r="A2" s="6">
        <v>100.0</v>
      </c>
      <c r="B2" s="34">
        <v>1.0</v>
      </c>
      <c r="C2" s="2" t="s">
        <v>168</v>
      </c>
      <c r="D2" t="str">
        <f t="shared" si="1"/>
        <v>200</v>
      </c>
      <c r="E2" s="2" t="s">
        <v>169</v>
      </c>
      <c r="F2" s="7" t="str">
        <f t="shared" si="2"/>
        <v>100</v>
      </c>
      <c r="G2" s="2" t="s">
        <v>170</v>
      </c>
      <c r="H2" t="str">
        <f t="shared" si="3"/>
        <v>100%</v>
      </c>
      <c r="I2" t="str">
        <f t="shared" si="4"/>
        <v>+(</v>
      </c>
      <c r="J2" t="str">
        <f t="shared" si="5"/>
        <v>200%</v>
      </c>
      <c r="K2" s="2" t="s">
        <v>171</v>
      </c>
      <c r="L2" t="str">
        <f t="shared" si="6"/>
        <v>100%</v>
      </c>
      <c r="M2" s="2" t="s">
        <v>172</v>
      </c>
      <c r="N2" t="str">
        <f t="shared" si="7"/>
        <v>200</v>
      </c>
      <c r="O2" s="2" t="s">
        <v>171</v>
      </c>
      <c r="P2" t="str">
        <f t="shared" si="8"/>
        <v>100</v>
      </c>
      <c r="Q2" s="2" t="s">
        <v>173</v>
      </c>
      <c r="R2" t="str">
        <f t="shared" si="9"/>
        <v>100</v>
      </c>
      <c r="S2" s="2" t="s">
        <v>170</v>
      </c>
    </row>
    <row r="3">
      <c r="A3" s="6">
        <v>200.0</v>
      </c>
      <c r="B3" s="34">
        <v>2.0</v>
      </c>
      <c r="C3" s="2" t="s">
        <v>168</v>
      </c>
      <c r="D3" t="str">
        <f t="shared" si="1"/>
        <v>300</v>
      </c>
      <c r="E3" s="2" t="s">
        <v>169</v>
      </c>
      <c r="F3" s="7" t="str">
        <f t="shared" si="2"/>
        <v>200</v>
      </c>
      <c r="G3" s="2" t="s">
        <v>170</v>
      </c>
      <c r="H3" t="str">
        <f t="shared" si="3"/>
        <v>200%</v>
      </c>
      <c r="I3" t="str">
        <f t="shared" si="4"/>
        <v>+(</v>
      </c>
      <c r="J3" t="str">
        <f t="shared" si="5"/>
        <v>300%</v>
      </c>
      <c r="K3" s="2" t="s">
        <v>171</v>
      </c>
      <c r="L3" t="str">
        <f t="shared" si="6"/>
        <v>200%</v>
      </c>
      <c r="M3" s="2" t="s">
        <v>172</v>
      </c>
      <c r="N3" t="str">
        <f t="shared" si="7"/>
        <v>300</v>
      </c>
      <c r="O3" s="2" t="s">
        <v>171</v>
      </c>
      <c r="P3" t="str">
        <f t="shared" si="8"/>
        <v>200</v>
      </c>
      <c r="Q3" s="2" t="s">
        <v>173</v>
      </c>
      <c r="R3" t="str">
        <f t="shared" si="9"/>
        <v>200</v>
      </c>
      <c r="S3" s="2" t="s">
        <v>170</v>
      </c>
    </row>
    <row r="4">
      <c r="A4" s="6">
        <v>300.0</v>
      </c>
      <c r="B4" s="34">
        <v>3.0</v>
      </c>
      <c r="C4" s="2" t="s">
        <v>168</v>
      </c>
      <c r="D4" t="str">
        <f t="shared" si="1"/>
        <v>400</v>
      </c>
      <c r="E4" s="2" t="s">
        <v>169</v>
      </c>
      <c r="F4" s="7" t="str">
        <f t="shared" si="2"/>
        <v>300</v>
      </c>
      <c r="G4" s="2" t="s">
        <v>170</v>
      </c>
      <c r="H4" t="str">
        <f t="shared" si="3"/>
        <v>300%</v>
      </c>
      <c r="I4" t="str">
        <f t="shared" si="4"/>
        <v>+(</v>
      </c>
      <c r="J4" t="str">
        <f t="shared" si="5"/>
        <v>400%</v>
      </c>
      <c r="K4" s="2" t="s">
        <v>171</v>
      </c>
      <c r="L4" t="str">
        <f t="shared" si="6"/>
        <v>300%</v>
      </c>
      <c r="M4" s="2" t="s">
        <v>172</v>
      </c>
      <c r="N4" t="str">
        <f t="shared" si="7"/>
        <v>400</v>
      </c>
      <c r="O4" s="2" t="s">
        <v>171</v>
      </c>
      <c r="P4" t="str">
        <f t="shared" si="8"/>
        <v>300</v>
      </c>
      <c r="Q4" s="2" t="s">
        <v>173</v>
      </c>
      <c r="R4" t="str">
        <f t="shared" si="9"/>
        <v>300</v>
      </c>
      <c r="S4" s="2" t="s">
        <v>170</v>
      </c>
    </row>
    <row r="5">
      <c r="A5" s="6">
        <v>400.0</v>
      </c>
      <c r="B5" s="34">
        <v>4.0</v>
      </c>
      <c r="C5" s="2" t="s">
        <v>168</v>
      </c>
      <c r="D5" t="str">
        <f t="shared" si="1"/>
        <v>500</v>
      </c>
      <c r="E5" s="2" t="s">
        <v>169</v>
      </c>
      <c r="F5" s="7" t="str">
        <f t="shared" si="2"/>
        <v>400</v>
      </c>
      <c r="G5" s="2" t="s">
        <v>170</v>
      </c>
      <c r="H5" t="str">
        <f t="shared" si="3"/>
        <v>400%</v>
      </c>
      <c r="I5" t="str">
        <f t="shared" si="4"/>
        <v>+(</v>
      </c>
      <c r="J5" t="str">
        <f t="shared" si="5"/>
        <v>500%</v>
      </c>
      <c r="K5" s="2" t="s">
        <v>171</v>
      </c>
      <c r="L5" t="str">
        <f t="shared" si="6"/>
        <v>400%</v>
      </c>
      <c r="M5" s="2" t="s">
        <v>172</v>
      </c>
      <c r="N5" t="str">
        <f t="shared" si="7"/>
        <v>500</v>
      </c>
      <c r="O5" s="2" t="s">
        <v>171</v>
      </c>
      <c r="P5" t="str">
        <f t="shared" si="8"/>
        <v>400</v>
      </c>
      <c r="Q5" s="2" t="s">
        <v>173</v>
      </c>
      <c r="R5" t="str">
        <f t="shared" si="9"/>
        <v>400</v>
      </c>
      <c r="S5" s="2" t="s">
        <v>170</v>
      </c>
    </row>
    <row r="6">
      <c r="A6" s="6">
        <v>500.0</v>
      </c>
      <c r="B6" s="34">
        <v>5.0</v>
      </c>
      <c r="C6" s="2" t="s">
        <v>168</v>
      </c>
      <c r="D6" t="str">
        <f t="shared" si="1"/>
        <v>600</v>
      </c>
      <c r="E6" s="2" t="s">
        <v>169</v>
      </c>
      <c r="F6" s="7" t="str">
        <f t="shared" si="2"/>
        <v>500</v>
      </c>
      <c r="G6" s="2" t="s">
        <v>170</v>
      </c>
      <c r="H6" t="str">
        <f t="shared" si="3"/>
        <v>500%</v>
      </c>
      <c r="I6" t="str">
        <f t="shared" si="4"/>
        <v>+(</v>
      </c>
      <c r="J6" t="str">
        <f t="shared" si="5"/>
        <v>600%</v>
      </c>
      <c r="K6" s="2" t="s">
        <v>171</v>
      </c>
      <c r="L6" t="str">
        <f t="shared" si="6"/>
        <v>500%</v>
      </c>
      <c r="M6" s="2" t="s">
        <v>172</v>
      </c>
      <c r="N6" t="str">
        <f t="shared" si="7"/>
        <v>600</v>
      </c>
      <c r="O6" s="2" t="s">
        <v>171</v>
      </c>
      <c r="P6" t="str">
        <f t="shared" si="8"/>
        <v>500</v>
      </c>
      <c r="Q6" s="2" t="s">
        <v>173</v>
      </c>
      <c r="R6" t="str">
        <f t="shared" si="9"/>
        <v>500</v>
      </c>
      <c r="S6" s="2" t="s">
        <v>170</v>
      </c>
    </row>
    <row r="7">
      <c r="A7" s="6">
        <v>600.0</v>
      </c>
      <c r="B7" s="34">
        <v>6.0</v>
      </c>
      <c r="C7" s="2" t="s">
        <v>168</v>
      </c>
      <c r="D7" t="str">
        <f t="shared" si="1"/>
        <v>1000</v>
      </c>
      <c r="E7" s="2" t="s">
        <v>169</v>
      </c>
      <c r="F7" s="7" t="str">
        <f t="shared" si="2"/>
        <v>600</v>
      </c>
      <c r="G7" s="2" t="s">
        <v>170</v>
      </c>
      <c r="H7" t="str">
        <f t="shared" si="3"/>
        <v>600%</v>
      </c>
      <c r="I7" t="str">
        <f t="shared" si="4"/>
        <v>+(</v>
      </c>
      <c r="J7" t="str">
        <f t="shared" si="5"/>
        <v>700%</v>
      </c>
      <c r="K7" s="2" t="s">
        <v>171</v>
      </c>
      <c r="L7" t="str">
        <f t="shared" si="6"/>
        <v>600%</v>
      </c>
      <c r="M7" s="2" t="s">
        <v>172</v>
      </c>
      <c r="N7" t="str">
        <f t="shared" si="7"/>
        <v>1000</v>
      </c>
      <c r="O7" s="2" t="s">
        <v>171</v>
      </c>
      <c r="P7" t="str">
        <f t="shared" si="8"/>
        <v>600</v>
      </c>
      <c r="Q7" s="2" t="s">
        <v>173</v>
      </c>
      <c r="R7" t="str">
        <f t="shared" si="9"/>
        <v>600</v>
      </c>
      <c r="S7" s="2" t="s">
        <v>170</v>
      </c>
    </row>
    <row r="8">
      <c r="A8" s="6">
        <v>1000.0</v>
      </c>
      <c r="B8" s="34">
        <v>7.0</v>
      </c>
      <c r="C8" s="2" t="s">
        <v>168</v>
      </c>
      <c r="D8" t="str">
        <f t="shared" si="1"/>
        <v>1600</v>
      </c>
      <c r="E8" s="2" t="s">
        <v>169</v>
      </c>
      <c r="F8" s="7" t="str">
        <f t="shared" si="2"/>
        <v>1000</v>
      </c>
      <c r="G8" s="2" t="s">
        <v>170</v>
      </c>
      <c r="H8" t="str">
        <f t="shared" si="3"/>
        <v>700%</v>
      </c>
      <c r="I8" t="str">
        <f t="shared" si="4"/>
        <v>+(</v>
      </c>
      <c r="J8" t="str">
        <f t="shared" si="5"/>
        <v>800%</v>
      </c>
      <c r="K8" s="2" t="s">
        <v>171</v>
      </c>
      <c r="L8" t="str">
        <f t="shared" si="6"/>
        <v>700%</v>
      </c>
      <c r="M8" s="2" t="s">
        <v>172</v>
      </c>
      <c r="N8" t="str">
        <f t="shared" si="7"/>
        <v>1600</v>
      </c>
      <c r="O8" s="2" t="s">
        <v>171</v>
      </c>
      <c r="P8" t="str">
        <f t="shared" si="8"/>
        <v>1000</v>
      </c>
      <c r="Q8" s="2" t="s">
        <v>173</v>
      </c>
      <c r="R8" t="str">
        <f t="shared" si="9"/>
        <v>1000</v>
      </c>
      <c r="S8" s="2" t="s">
        <v>170</v>
      </c>
    </row>
    <row r="9">
      <c r="A9" s="6">
        <v>1600.0</v>
      </c>
      <c r="B9" s="34">
        <v>8.0</v>
      </c>
      <c r="C9" s="2" t="s">
        <v>168</v>
      </c>
      <c r="D9" t="str">
        <f t="shared" si="1"/>
        <v>2300</v>
      </c>
      <c r="E9" s="2" t="s">
        <v>169</v>
      </c>
      <c r="F9" s="7" t="str">
        <f t="shared" si="2"/>
        <v>1600</v>
      </c>
      <c r="G9" s="2" t="s">
        <v>170</v>
      </c>
      <c r="H9" t="str">
        <f t="shared" si="3"/>
        <v>800%</v>
      </c>
      <c r="I9" t="str">
        <f t="shared" si="4"/>
        <v>+(</v>
      </c>
      <c r="J9" t="str">
        <f t="shared" si="5"/>
        <v>900%</v>
      </c>
      <c r="K9" s="2" t="s">
        <v>171</v>
      </c>
      <c r="L9" t="str">
        <f t="shared" si="6"/>
        <v>800%</v>
      </c>
      <c r="M9" s="2" t="s">
        <v>172</v>
      </c>
      <c r="N9" t="str">
        <f t="shared" si="7"/>
        <v>2300</v>
      </c>
      <c r="O9" s="2" t="s">
        <v>171</v>
      </c>
      <c r="P9" t="str">
        <f t="shared" si="8"/>
        <v>1600</v>
      </c>
      <c r="Q9" s="2" t="s">
        <v>173</v>
      </c>
      <c r="R9" t="str">
        <f t="shared" si="9"/>
        <v>1600</v>
      </c>
      <c r="S9" s="2" t="s">
        <v>170</v>
      </c>
    </row>
    <row r="10">
      <c r="A10" s="6">
        <v>2300.0</v>
      </c>
      <c r="B10" s="34">
        <v>9.0</v>
      </c>
      <c r="C10" s="2" t="s">
        <v>168</v>
      </c>
      <c r="D10" t="str">
        <f t="shared" si="1"/>
        <v>110</v>
      </c>
      <c r="E10" s="2" t="s">
        <v>169</v>
      </c>
      <c r="F10" s="7" t="str">
        <f t="shared" si="2"/>
        <v>2300</v>
      </c>
      <c r="G10" s="2" t="s">
        <v>170</v>
      </c>
      <c r="H10" t="str">
        <f t="shared" si="3"/>
        <v>900%</v>
      </c>
      <c r="I10" t="str">
        <f t="shared" si="4"/>
        <v>+(</v>
      </c>
      <c r="J10" t="str">
        <f t="shared" si="5"/>
        <v>97%</v>
      </c>
      <c r="K10" s="2" t="s">
        <v>171</v>
      </c>
      <c r="L10" t="str">
        <f t="shared" si="6"/>
        <v>900%</v>
      </c>
      <c r="M10" s="2" t="s">
        <v>172</v>
      </c>
      <c r="N10" t="str">
        <f t="shared" si="7"/>
        <v>110</v>
      </c>
      <c r="O10" s="2" t="s">
        <v>171</v>
      </c>
      <c r="P10" t="str">
        <f t="shared" si="8"/>
        <v>2300</v>
      </c>
      <c r="Q10" s="2" t="s">
        <v>173</v>
      </c>
      <c r="R10" t="str">
        <f t="shared" si="9"/>
        <v>2300</v>
      </c>
      <c r="S10" s="2" t="s">
        <v>170</v>
      </c>
    </row>
    <row r="11">
      <c r="A11" s="2">
        <v>110.0</v>
      </c>
      <c r="B11" s="12">
        <v>0.97</v>
      </c>
      <c r="C11" s="2" t="s">
        <v>168</v>
      </c>
      <c r="D11" t="str">
        <f t="shared" si="1"/>
        <v>120</v>
      </c>
      <c r="E11" s="2" t="s">
        <v>169</v>
      </c>
      <c r="F11" s="7" t="str">
        <f t="shared" si="2"/>
        <v>110</v>
      </c>
      <c r="G11" s="2" t="s">
        <v>170</v>
      </c>
      <c r="H11" t="str">
        <f t="shared" si="3"/>
        <v>97%</v>
      </c>
      <c r="I11" t="str">
        <f t="shared" si="4"/>
        <v>+(</v>
      </c>
      <c r="J11" t="str">
        <f t="shared" si="5"/>
        <v>12%</v>
      </c>
      <c r="K11" s="2" t="s">
        <v>171</v>
      </c>
      <c r="L11" t="str">
        <f t="shared" si="6"/>
        <v>97%</v>
      </c>
      <c r="M11" s="2" t="s">
        <v>172</v>
      </c>
      <c r="N11" t="str">
        <f t="shared" si="7"/>
        <v>120</v>
      </c>
      <c r="O11" s="2" t="s">
        <v>171</v>
      </c>
      <c r="P11" t="str">
        <f t="shared" si="8"/>
        <v>110</v>
      </c>
      <c r="Q11" s="2" t="s">
        <v>173</v>
      </c>
      <c r="R11" t="str">
        <f t="shared" si="9"/>
        <v>110</v>
      </c>
      <c r="S11" s="2" t="s">
        <v>170</v>
      </c>
    </row>
    <row r="12">
      <c r="A12" s="2">
        <v>120.0</v>
      </c>
      <c r="B12" s="12">
        <v>0.12</v>
      </c>
      <c r="C12" s="2" t="s">
        <v>168</v>
      </c>
      <c r="D12" t="str">
        <f t="shared" si="1"/>
        <v>130</v>
      </c>
      <c r="E12" s="2" t="s">
        <v>169</v>
      </c>
      <c r="F12" s="7" t="str">
        <f t="shared" si="2"/>
        <v>120</v>
      </c>
      <c r="G12" s="2" t="s">
        <v>170</v>
      </c>
      <c r="H12" t="str">
        <f t="shared" si="3"/>
        <v>12%</v>
      </c>
      <c r="I12" t="str">
        <f t="shared" si="4"/>
        <v>+(</v>
      </c>
      <c r="J12" t="str">
        <f t="shared" si="5"/>
        <v>17%</v>
      </c>
      <c r="K12" s="2" t="s">
        <v>171</v>
      </c>
      <c r="L12" t="str">
        <f t="shared" si="6"/>
        <v>12%</v>
      </c>
      <c r="M12" s="2" t="s">
        <v>172</v>
      </c>
      <c r="N12" t="str">
        <f t="shared" si="7"/>
        <v>130</v>
      </c>
      <c r="O12" s="2" t="s">
        <v>171</v>
      </c>
      <c r="P12" t="str">
        <f t="shared" si="8"/>
        <v>120</v>
      </c>
      <c r="Q12" s="2" t="s">
        <v>173</v>
      </c>
      <c r="R12" t="str">
        <f t="shared" si="9"/>
        <v>120</v>
      </c>
      <c r="S12" s="2" t="s">
        <v>170</v>
      </c>
    </row>
    <row r="13">
      <c r="A13" s="2">
        <v>130.0</v>
      </c>
      <c r="B13" s="12">
        <v>0.17</v>
      </c>
      <c r="C13" s="2" t="s">
        <v>168</v>
      </c>
      <c r="D13" t="str">
        <f t="shared" si="1"/>
        <v>140</v>
      </c>
      <c r="E13" s="2" t="s">
        <v>169</v>
      </c>
      <c r="F13" s="7" t="str">
        <f t="shared" si="2"/>
        <v>130</v>
      </c>
      <c r="G13" s="2" t="s">
        <v>170</v>
      </c>
      <c r="H13" t="str">
        <f t="shared" si="3"/>
        <v>17%</v>
      </c>
      <c r="I13" t="str">
        <f t="shared" si="4"/>
        <v>+(</v>
      </c>
      <c r="J13" t="str">
        <f t="shared" si="5"/>
        <v>111%</v>
      </c>
      <c r="K13" s="2" t="s">
        <v>171</v>
      </c>
      <c r="L13" t="str">
        <f t="shared" si="6"/>
        <v>17%</v>
      </c>
      <c r="M13" s="2" t="s">
        <v>172</v>
      </c>
      <c r="N13" t="str">
        <f t="shared" si="7"/>
        <v>140</v>
      </c>
      <c r="O13" s="2" t="s">
        <v>171</v>
      </c>
      <c r="P13" t="str">
        <f t="shared" si="8"/>
        <v>130</v>
      </c>
      <c r="Q13" s="2" t="s">
        <v>173</v>
      </c>
      <c r="R13" t="str">
        <f t="shared" si="9"/>
        <v>130</v>
      </c>
      <c r="S13" s="2" t="s">
        <v>170</v>
      </c>
    </row>
    <row r="14">
      <c r="A14" s="2">
        <v>140.0</v>
      </c>
      <c r="B14" s="12">
        <v>1.11</v>
      </c>
      <c r="C14" s="2" t="s">
        <v>168</v>
      </c>
      <c r="D14" t="str">
        <f t="shared" si="1"/>
        <v>150</v>
      </c>
      <c r="E14" s="2" t="s">
        <v>169</v>
      </c>
      <c r="F14" s="7" t="str">
        <f t="shared" si="2"/>
        <v>140</v>
      </c>
      <c r="G14" s="2" t="s">
        <v>170</v>
      </c>
      <c r="H14" t="str">
        <f t="shared" si="3"/>
        <v>111%</v>
      </c>
      <c r="I14" t="str">
        <f t="shared" si="4"/>
        <v>+(</v>
      </c>
      <c r="J14" t="str">
        <f t="shared" si="5"/>
        <v>115%</v>
      </c>
      <c r="K14" s="2" t="s">
        <v>171</v>
      </c>
      <c r="L14" t="str">
        <f t="shared" si="6"/>
        <v>111%</v>
      </c>
      <c r="M14" s="2" t="s">
        <v>172</v>
      </c>
      <c r="N14" t="str">
        <f t="shared" si="7"/>
        <v>150</v>
      </c>
      <c r="O14" s="2" t="s">
        <v>171</v>
      </c>
      <c r="P14" t="str">
        <f t="shared" si="8"/>
        <v>140</v>
      </c>
      <c r="Q14" s="2" t="s">
        <v>173</v>
      </c>
      <c r="R14" t="str">
        <f t="shared" si="9"/>
        <v>140</v>
      </c>
      <c r="S14" s="2" t="s">
        <v>170</v>
      </c>
    </row>
    <row r="15">
      <c r="A15" s="2">
        <v>150.0</v>
      </c>
      <c r="B15" s="12">
        <v>1.15</v>
      </c>
      <c r="C15" s="2" t="s">
        <v>168</v>
      </c>
      <c r="D15" t="str">
        <f t="shared" si="1"/>
        <v>160</v>
      </c>
      <c r="E15" s="2" t="s">
        <v>169</v>
      </c>
      <c r="F15" s="7" t="str">
        <f t="shared" si="2"/>
        <v>150</v>
      </c>
      <c r="G15" s="2" t="s">
        <v>170</v>
      </c>
      <c r="H15" t="str">
        <f t="shared" si="3"/>
        <v>115%</v>
      </c>
      <c r="I15" t="str">
        <f t="shared" si="4"/>
        <v>+(</v>
      </c>
      <c r="J15" t="str">
        <f t="shared" si="5"/>
        <v>118%</v>
      </c>
      <c r="K15" s="2" t="s">
        <v>171</v>
      </c>
      <c r="L15" t="str">
        <f t="shared" si="6"/>
        <v>115%</v>
      </c>
      <c r="M15" s="2" t="s">
        <v>172</v>
      </c>
      <c r="N15" t="str">
        <f t="shared" si="7"/>
        <v>160</v>
      </c>
      <c r="O15" s="2" t="s">
        <v>171</v>
      </c>
      <c r="P15" t="str">
        <f t="shared" si="8"/>
        <v>150</v>
      </c>
      <c r="Q15" s="2" t="s">
        <v>173</v>
      </c>
      <c r="R15" t="str">
        <f t="shared" si="9"/>
        <v>150</v>
      </c>
      <c r="S15" s="2" t="s">
        <v>170</v>
      </c>
    </row>
    <row r="16">
      <c r="A16" s="2">
        <v>160.0</v>
      </c>
      <c r="B16" s="12">
        <v>1.18</v>
      </c>
      <c r="C16" s="2" t="s">
        <v>168</v>
      </c>
      <c r="D16" t="str">
        <f t="shared" si="1"/>
        <v>170</v>
      </c>
      <c r="E16" s="2" t="s">
        <v>169</v>
      </c>
      <c r="F16" s="7" t="str">
        <f t="shared" si="2"/>
        <v>160</v>
      </c>
      <c r="G16" s="2" t="s">
        <v>170</v>
      </c>
      <c r="H16" t="str">
        <f t="shared" si="3"/>
        <v>118%</v>
      </c>
      <c r="I16" t="str">
        <f t="shared" si="4"/>
        <v>+(</v>
      </c>
      <c r="J16" t="str">
        <f t="shared" si="5"/>
        <v>121%</v>
      </c>
      <c r="K16" s="2" t="s">
        <v>171</v>
      </c>
      <c r="L16" t="str">
        <f t="shared" si="6"/>
        <v>118%</v>
      </c>
      <c r="M16" s="2" t="s">
        <v>172</v>
      </c>
      <c r="N16" t="str">
        <f t="shared" si="7"/>
        <v>170</v>
      </c>
      <c r="O16" s="2" t="s">
        <v>171</v>
      </c>
      <c r="P16" t="str">
        <f t="shared" si="8"/>
        <v>160</v>
      </c>
      <c r="Q16" s="2" t="s">
        <v>173</v>
      </c>
      <c r="R16" t="str">
        <f t="shared" si="9"/>
        <v>160</v>
      </c>
      <c r="S16" s="2" t="s">
        <v>170</v>
      </c>
    </row>
    <row r="17">
      <c r="A17" s="2">
        <v>170.0</v>
      </c>
      <c r="B17" s="12">
        <v>1.21</v>
      </c>
      <c r="C17" s="2" t="s">
        <v>168</v>
      </c>
      <c r="D17" t="str">
        <f t="shared" si="1"/>
        <v>180</v>
      </c>
      <c r="E17" s="2" t="s">
        <v>169</v>
      </c>
      <c r="F17" s="7" t="str">
        <f t="shared" si="2"/>
        <v>170</v>
      </c>
      <c r="G17" s="2" t="s">
        <v>170</v>
      </c>
      <c r="H17" t="str">
        <f t="shared" si="3"/>
        <v>121%</v>
      </c>
      <c r="I17" t="str">
        <f t="shared" si="4"/>
        <v>+(</v>
      </c>
      <c r="J17" t="str">
        <f t="shared" si="5"/>
        <v>123%</v>
      </c>
      <c r="K17" s="2" t="s">
        <v>171</v>
      </c>
      <c r="L17" t="str">
        <f t="shared" si="6"/>
        <v>121%</v>
      </c>
      <c r="M17" s="2" t="s">
        <v>172</v>
      </c>
      <c r="N17" t="str">
        <f t="shared" si="7"/>
        <v>180</v>
      </c>
      <c r="O17" s="2" t="s">
        <v>171</v>
      </c>
      <c r="P17" t="str">
        <f t="shared" si="8"/>
        <v>170</v>
      </c>
      <c r="Q17" s="2" t="s">
        <v>173</v>
      </c>
      <c r="R17" t="str">
        <f t="shared" si="9"/>
        <v>170</v>
      </c>
      <c r="S17" s="2" t="s">
        <v>170</v>
      </c>
    </row>
    <row r="18">
      <c r="A18" s="2">
        <v>180.0</v>
      </c>
      <c r="B18" s="12">
        <v>1.23</v>
      </c>
      <c r="C18" s="2" t="s">
        <v>168</v>
      </c>
      <c r="D18" t="str">
        <f t="shared" si="1"/>
        <v>190</v>
      </c>
      <c r="E18" s="2" t="s">
        <v>169</v>
      </c>
      <c r="F18" s="7" t="str">
        <f t="shared" si="2"/>
        <v>180</v>
      </c>
      <c r="G18" s="2" t="s">
        <v>170</v>
      </c>
      <c r="H18" t="str">
        <f t="shared" si="3"/>
        <v>123%</v>
      </c>
      <c r="I18" t="str">
        <f t="shared" si="4"/>
        <v>+(</v>
      </c>
      <c r="J18" t="str">
        <f t="shared" si="5"/>
        <v>124%</v>
      </c>
      <c r="K18" s="2" t="s">
        <v>171</v>
      </c>
      <c r="L18" t="str">
        <f t="shared" si="6"/>
        <v>123%</v>
      </c>
      <c r="M18" s="2" t="s">
        <v>172</v>
      </c>
      <c r="N18" t="str">
        <f t="shared" si="7"/>
        <v>190</v>
      </c>
      <c r="O18" s="2" t="s">
        <v>171</v>
      </c>
      <c r="P18" t="str">
        <f t="shared" si="8"/>
        <v>180</v>
      </c>
      <c r="Q18" s="2" t="s">
        <v>173</v>
      </c>
      <c r="R18" t="str">
        <f t="shared" si="9"/>
        <v>180</v>
      </c>
      <c r="S18" s="2" t="s">
        <v>170</v>
      </c>
    </row>
    <row r="19">
      <c r="A19" s="2">
        <v>190.0</v>
      </c>
      <c r="B19" s="12">
        <v>1.24</v>
      </c>
      <c r="C19" s="2" t="s">
        <v>168</v>
      </c>
      <c r="D19" t="str">
        <f t="shared" si="1"/>
        <v>200</v>
      </c>
      <c r="E19" s="2" t="s">
        <v>169</v>
      </c>
      <c r="F19" s="7" t="str">
        <f t="shared" si="2"/>
        <v>190</v>
      </c>
      <c r="G19" s="2" t="s">
        <v>170</v>
      </c>
      <c r="H19" t="str">
        <f t="shared" si="3"/>
        <v>124%</v>
      </c>
      <c r="I19" t="str">
        <f t="shared" si="4"/>
        <v>+(</v>
      </c>
      <c r="J19" t="str">
        <f t="shared" si="5"/>
        <v>125%</v>
      </c>
      <c r="K19" s="2" t="s">
        <v>171</v>
      </c>
      <c r="L19" t="str">
        <f t="shared" si="6"/>
        <v>124%</v>
      </c>
      <c r="M19" s="2" t="s">
        <v>172</v>
      </c>
      <c r="N19" t="str">
        <f t="shared" si="7"/>
        <v>200</v>
      </c>
      <c r="O19" s="2" t="s">
        <v>171</v>
      </c>
      <c r="P19" t="str">
        <f t="shared" si="8"/>
        <v>190</v>
      </c>
      <c r="Q19" s="2" t="s">
        <v>173</v>
      </c>
      <c r="R19" t="str">
        <f t="shared" si="9"/>
        <v>190</v>
      </c>
      <c r="S19" s="2" t="s">
        <v>170</v>
      </c>
    </row>
    <row r="20">
      <c r="A20" s="2">
        <v>200.0</v>
      </c>
      <c r="B20" s="12">
        <v>1.25</v>
      </c>
      <c r="C20" s="2" t="s">
        <v>168</v>
      </c>
      <c r="D20" t="str">
        <f t="shared" si="1"/>
        <v>300</v>
      </c>
      <c r="E20" s="2" t="s">
        <v>169</v>
      </c>
      <c r="F20" s="7" t="str">
        <f t="shared" si="2"/>
        <v>200</v>
      </c>
      <c r="G20" s="2" t="s">
        <v>170</v>
      </c>
      <c r="H20" t="str">
        <f t="shared" si="3"/>
        <v>125%</v>
      </c>
      <c r="I20" t="str">
        <f t="shared" si="4"/>
        <v>+(</v>
      </c>
      <c r="J20" t="str">
        <f t="shared" si="5"/>
        <v>135%</v>
      </c>
      <c r="K20" s="2" t="s">
        <v>171</v>
      </c>
      <c r="L20" t="str">
        <f t="shared" si="6"/>
        <v>125%</v>
      </c>
      <c r="M20" s="2" t="s">
        <v>172</v>
      </c>
      <c r="N20" t="str">
        <f t="shared" si="7"/>
        <v>300</v>
      </c>
      <c r="O20" s="2" t="s">
        <v>171</v>
      </c>
      <c r="P20" t="str">
        <f t="shared" si="8"/>
        <v>200</v>
      </c>
      <c r="Q20" s="2" t="s">
        <v>173</v>
      </c>
      <c r="R20" t="str">
        <f t="shared" si="9"/>
        <v>200</v>
      </c>
      <c r="S20" s="2" t="s">
        <v>170</v>
      </c>
    </row>
    <row r="21">
      <c r="A21" s="2">
        <v>300.0</v>
      </c>
      <c r="B21" s="12">
        <v>1.35</v>
      </c>
      <c r="C21" s="2" t="s">
        <v>168</v>
      </c>
      <c r="D21" t="str">
        <f t="shared" si="1"/>
        <v>500</v>
      </c>
      <c r="E21" s="2" t="s">
        <v>169</v>
      </c>
      <c r="F21" s="7" t="str">
        <f t="shared" si="2"/>
        <v>300</v>
      </c>
      <c r="G21" s="2" t="s">
        <v>170</v>
      </c>
      <c r="H21" t="str">
        <f t="shared" si="3"/>
        <v>135%</v>
      </c>
      <c r="I21" t="str">
        <f t="shared" si="4"/>
        <v>+(</v>
      </c>
      <c r="J21" t="str">
        <f t="shared" si="5"/>
        <v>145%</v>
      </c>
      <c r="K21" s="2" t="s">
        <v>171</v>
      </c>
      <c r="L21" t="str">
        <f t="shared" si="6"/>
        <v>135%</v>
      </c>
      <c r="M21" s="2" t="s">
        <v>172</v>
      </c>
      <c r="N21" t="str">
        <f t="shared" si="7"/>
        <v>500</v>
      </c>
      <c r="O21" s="2" t="s">
        <v>171</v>
      </c>
      <c r="P21" t="str">
        <f t="shared" si="8"/>
        <v>300</v>
      </c>
      <c r="Q21" s="2" t="s">
        <v>173</v>
      </c>
      <c r="R21" t="str">
        <f t="shared" si="9"/>
        <v>300</v>
      </c>
      <c r="S21" s="2" t="s">
        <v>170</v>
      </c>
    </row>
    <row r="22">
      <c r="A22" s="2">
        <v>500.0</v>
      </c>
      <c r="B22" s="12">
        <v>1.45</v>
      </c>
      <c r="C22" s="2" t="s">
        <v>168</v>
      </c>
      <c r="D22" t="str">
        <f t="shared" si="1"/>
        <v>700</v>
      </c>
      <c r="E22" s="2" t="s">
        <v>169</v>
      </c>
      <c r="F22" s="7" t="str">
        <f t="shared" si="2"/>
        <v>500</v>
      </c>
      <c r="G22" s="2" t="s">
        <v>170</v>
      </c>
      <c r="H22" t="str">
        <f t="shared" si="3"/>
        <v>145%</v>
      </c>
      <c r="I22" t="str">
        <f t="shared" si="4"/>
        <v>+(</v>
      </c>
      <c r="J22" t="str">
        <f t="shared" si="5"/>
        <v>155%</v>
      </c>
      <c r="K22" s="2" t="s">
        <v>171</v>
      </c>
      <c r="L22" t="str">
        <f t="shared" si="6"/>
        <v>145%</v>
      </c>
      <c r="M22" s="2" t="s">
        <v>172</v>
      </c>
      <c r="N22" t="str">
        <f t="shared" si="7"/>
        <v>700</v>
      </c>
      <c r="O22" s="2" t="s">
        <v>171</v>
      </c>
      <c r="P22" t="str">
        <f t="shared" si="8"/>
        <v>500</v>
      </c>
      <c r="Q22" s="2" t="s">
        <v>173</v>
      </c>
      <c r="R22" t="str">
        <f t="shared" si="9"/>
        <v>500</v>
      </c>
      <c r="S22" s="2" t="s">
        <v>170</v>
      </c>
    </row>
    <row r="23" ht="16.5" customHeight="1">
      <c r="A23" s="2">
        <v>700.0</v>
      </c>
      <c r="B23" s="12">
        <v>1.55</v>
      </c>
      <c r="C23" s="2" t="s">
        <v>168</v>
      </c>
      <c r="D23" t="str">
        <f t="shared" si="1"/>
        <v>900</v>
      </c>
      <c r="E23" s="2" t="s">
        <v>169</v>
      </c>
      <c r="F23" s="7" t="str">
        <f t="shared" si="2"/>
        <v>700</v>
      </c>
      <c r="G23" s="2" t="s">
        <v>170</v>
      </c>
      <c r="H23" t="str">
        <f t="shared" si="3"/>
        <v>155%</v>
      </c>
      <c r="I23" t="str">
        <f t="shared" si="4"/>
        <v>+(</v>
      </c>
      <c r="J23" t="str">
        <f t="shared" si="5"/>
        <v>165%</v>
      </c>
      <c r="K23" s="2" t="s">
        <v>171</v>
      </c>
      <c r="L23" t="str">
        <f t="shared" si="6"/>
        <v>155%</v>
      </c>
      <c r="M23" s="2" t="s">
        <v>172</v>
      </c>
      <c r="N23" t="str">
        <f t="shared" si="7"/>
        <v>900</v>
      </c>
      <c r="O23" s="2" t="s">
        <v>171</v>
      </c>
      <c r="P23" t="str">
        <f t="shared" si="8"/>
        <v>700</v>
      </c>
      <c r="Q23" s="2" t="s">
        <v>173</v>
      </c>
      <c r="R23" t="str">
        <f t="shared" si="9"/>
        <v>700</v>
      </c>
      <c r="S23" s="2" t="s">
        <v>170</v>
      </c>
    </row>
    <row r="24">
      <c r="A24" s="2">
        <v>900.0</v>
      </c>
      <c r="B24" s="12">
        <v>1.65</v>
      </c>
      <c r="C24" s="2" t="s">
        <v>168</v>
      </c>
      <c r="D24" t="str">
        <f t="shared" si="1"/>
        <v>1200</v>
      </c>
      <c r="E24" s="2" t="s">
        <v>169</v>
      </c>
      <c r="F24" s="7" t="str">
        <f t="shared" si="2"/>
        <v>900</v>
      </c>
      <c r="G24" s="2" t="s">
        <v>170</v>
      </c>
      <c r="H24" t="str">
        <f t="shared" si="3"/>
        <v>165%</v>
      </c>
      <c r="I24" t="str">
        <f t="shared" si="4"/>
        <v>+(</v>
      </c>
      <c r="J24" t="str">
        <f t="shared" si="5"/>
        <v>175%</v>
      </c>
      <c r="K24" s="2" t="s">
        <v>171</v>
      </c>
      <c r="L24" t="str">
        <f t="shared" si="6"/>
        <v>165%</v>
      </c>
      <c r="M24" s="2" t="s">
        <v>172</v>
      </c>
      <c r="N24" t="str">
        <f t="shared" si="7"/>
        <v>1200</v>
      </c>
      <c r="O24" s="2" t="s">
        <v>171</v>
      </c>
      <c r="P24" t="str">
        <f t="shared" si="8"/>
        <v>900</v>
      </c>
      <c r="Q24" s="2" t="s">
        <v>173</v>
      </c>
      <c r="R24" t="str">
        <f t="shared" si="9"/>
        <v>900</v>
      </c>
      <c r="S24" s="2" t="s">
        <v>170</v>
      </c>
    </row>
    <row r="25">
      <c r="A25" s="2">
        <v>1200.0</v>
      </c>
      <c r="B25" s="12">
        <v>1.75</v>
      </c>
      <c r="C25" s="2" t="s">
        <v>168</v>
      </c>
      <c r="D25" t="str">
        <f t="shared" si="1"/>
        <v>0</v>
      </c>
      <c r="E25" s="2" t="s">
        <v>169</v>
      </c>
      <c r="F25" s="7" t="str">
        <f t="shared" si="2"/>
        <v>1200</v>
      </c>
      <c r="G25" s="2" t="s">
        <v>170</v>
      </c>
      <c r="H25" t="str">
        <f t="shared" si="3"/>
        <v>175%</v>
      </c>
      <c r="I25" t="str">
        <f t="shared" si="4"/>
        <v>+(</v>
      </c>
      <c r="J25" t="str">
        <f t="shared" si="5"/>
        <v>0%</v>
      </c>
      <c r="K25" s="2" t="s">
        <v>171</v>
      </c>
      <c r="L25" t="str">
        <f t="shared" si="6"/>
        <v>175%</v>
      </c>
      <c r="M25" s="2" t="s">
        <v>172</v>
      </c>
      <c r="N25" t="str">
        <f t="shared" si="7"/>
        <v>0</v>
      </c>
      <c r="O25" s="2" t="s">
        <v>171</v>
      </c>
      <c r="P25" t="str">
        <f t="shared" si="8"/>
        <v>1200</v>
      </c>
      <c r="Q25" s="2" t="s">
        <v>173</v>
      </c>
      <c r="R25" t="str">
        <f t="shared" si="9"/>
        <v>1200</v>
      </c>
      <c r="S25" s="2" t="s">
        <v>170</v>
      </c>
    </row>
    <row r="26">
      <c r="B26" s="2"/>
    </row>
    <row r="27">
      <c r="B27" s="2"/>
    </row>
    <row r="28">
      <c r="B28" s="2"/>
    </row>
    <row r="29">
      <c r="B29" s="2"/>
    </row>
    <row r="30">
      <c r="B30" s="7">
        <v>0.0</v>
      </c>
      <c r="C30" s="34">
        <f t="shared" ref="C30:C39" si="10">B30/10000%</f>
        <v>0</v>
      </c>
    </row>
    <row r="31">
      <c r="B31" s="7">
        <v>100.0</v>
      </c>
      <c r="C31" s="34">
        <f t="shared" si="10"/>
        <v>1</v>
      </c>
    </row>
    <row r="32">
      <c r="B32" s="7">
        <v>200.0</v>
      </c>
      <c r="C32" s="34">
        <f t="shared" si="10"/>
        <v>2</v>
      </c>
    </row>
    <row r="33">
      <c r="B33" s="7">
        <v>300.0</v>
      </c>
      <c r="C33" s="34">
        <f t="shared" si="10"/>
        <v>3</v>
      </c>
    </row>
    <row r="34">
      <c r="B34" s="7">
        <v>400.0</v>
      </c>
      <c r="C34" s="34">
        <f t="shared" si="10"/>
        <v>4</v>
      </c>
    </row>
    <row r="35">
      <c r="B35" s="7">
        <v>500.0</v>
      </c>
      <c r="C35" s="34">
        <f t="shared" si="10"/>
        <v>5</v>
      </c>
    </row>
    <row r="36">
      <c r="B36" s="7">
        <v>600.0</v>
      </c>
      <c r="C36" s="34">
        <f t="shared" si="10"/>
        <v>6</v>
      </c>
    </row>
    <row r="37">
      <c r="B37" s="7">
        <v>700.0</v>
      </c>
      <c r="C37" s="34">
        <f t="shared" si="10"/>
        <v>7</v>
      </c>
    </row>
    <row r="38">
      <c r="B38" s="7">
        <v>800.0</v>
      </c>
      <c r="C38" s="34">
        <f t="shared" si="10"/>
        <v>8</v>
      </c>
    </row>
    <row r="39">
      <c r="B39" s="7">
        <v>900.0</v>
      </c>
      <c r="C39" s="34">
        <f t="shared" si="10"/>
        <v>9</v>
      </c>
    </row>
    <row r="40">
      <c r="B40" s="2"/>
    </row>
    <row r="41">
      <c r="B41" s="2"/>
    </row>
    <row r="42">
      <c r="B42" s="2"/>
    </row>
    <row r="43">
      <c r="B43" s="2"/>
    </row>
    <row r="44">
      <c r="B44" s="2"/>
    </row>
    <row r="45">
      <c r="B45" s="2"/>
    </row>
    <row r="46">
      <c r="A46" s="16"/>
    </row>
    <row r="47">
      <c r="A47" s="16"/>
    </row>
    <row r="48">
      <c r="A48" s="16"/>
    </row>
    <row r="49">
      <c r="A49" s="16"/>
    </row>
    <row r="50">
      <c r="A50" s="16"/>
    </row>
    <row r="51">
      <c r="A51" s="16"/>
    </row>
    <row r="52">
      <c r="A52" s="16"/>
    </row>
    <row r="53">
      <c r="A53" s="16"/>
    </row>
    <row r="54">
      <c r="A54" s="16"/>
    </row>
    <row r="55">
      <c r="A55" s="16"/>
    </row>
    <row r="56">
      <c r="A56" s="16"/>
    </row>
    <row r="57">
      <c r="A57" s="16"/>
    </row>
    <row r="58">
      <c r="A58" s="16"/>
    </row>
    <row r="59">
      <c r="A59" s="16"/>
    </row>
    <row r="60">
      <c r="A60" s="16"/>
    </row>
    <row r="61">
      <c r="A61" s="16"/>
    </row>
    <row r="62">
      <c r="A62" s="16"/>
    </row>
    <row r="63">
      <c r="A63" s="16"/>
    </row>
    <row r="64">
      <c r="A64" s="16"/>
    </row>
    <row r="65">
      <c r="A65" s="16"/>
    </row>
    <row r="66">
      <c r="A66" s="16"/>
    </row>
    <row r="67">
      <c r="A67" s="16"/>
    </row>
    <row r="68">
      <c r="A68" s="16"/>
    </row>
    <row r="69">
      <c r="A69" s="16"/>
    </row>
    <row r="70">
      <c r="A70" s="16"/>
    </row>
    <row r="71">
      <c r="A71" s="85"/>
    </row>
    <row r="72">
      <c r="A72" s="85"/>
    </row>
    <row r="73">
      <c r="A73" s="85"/>
    </row>
    <row r="74">
      <c r="A74" s="85"/>
    </row>
    <row r="75">
      <c r="A75" s="85"/>
    </row>
    <row r="76">
      <c r="A76" s="85"/>
    </row>
    <row r="77">
      <c r="A77" s="85"/>
    </row>
    <row r="78">
      <c r="A78" s="85"/>
    </row>
    <row r="79">
      <c r="A79" s="85"/>
    </row>
    <row r="80">
      <c r="A80" s="85"/>
    </row>
    <row r="81">
      <c r="A81" s="85"/>
    </row>
    <row r="82">
      <c r="A82" s="85"/>
    </row>
    <row r="83">
      <c r="A83" s="85"/>
    </row>
    <row r="84">
      <c r="A84" s="85"/>
    </row>
    <row r="85">
      <c r="A85" s="85"/>
    </row>
    <row r="86">
      <c r="A86" s="85"/>
    </row>
    <row r="87">
      <c r="A87" s="85"/>
    </row>
    <row r="88">
      <c r="A88" s="85"/>
    </row>
    <row r="89">
      <c r="A89" s="85"/>
    </row>
    <row r="90">
      <c r="A90" s="85"/>
    </row>
    <row r="91">
      <c r="A91" s="85"/>
    </row>
    <row r="92">
      <c r="A92" s="85"/>
    </row>
    <row r="93">
      <c r="A93" s="85"/>
    </row>
    <row r="94">
      <c r="A94" s="85"/>
    </row>
    <row r="95">
      <c r="A95" s="85"/>
    </row>
    <row r="96">
      <c r="A96" s="85"/>
    </row>
    <row r="97">
      <c r="A97" s="85"/>
    </row>
    <row r="98">
      <c r="A98" s="85"/>
    </row>
    <row r="99">
      <c r="A99" s="85"/>
    </row>
    <row r="100">
      <c r="A100" s="85"/>
    </row>
    <row r="101">
      <c r="A101" s="85"/>
    </row>
    <row r="102">
      <c r="A102" s="85"/>
    </row>
    <row r="103">
      <c r="A103" s="85"/>
    </row>
    <row r="104">
      <c r="A104" s="85"/>
    </row>
    <row r="105">
      <c r="A105" s="85"/>
    </row>
    <row r="106">
      <c r="A106" s="85"/>
    </row>
    <row r="107">
      <c r="A107" s="85"/>
    </row>
    <row r="108">
      <c r="A108" s="85"/>
    </row>
    <row r="109">
      <c r="A109" s="85"/>
    </row>
    <row r="110">
      <c r="A110" s="85"/>
    </row>
    <row r="111">
      <c r="A111" s="85"/>
    </row>
    <row r="112">
      <c r="A112" s="85"/>
    </row>
    <row r="113">
      <c r="A113" s="85"/>
    </row>
    <row r="114">
      <c r="A114" s="85"/>
    </row>
    <row r="115">
      <c r="A115" s="85"/>
    </row>
    <row r="116">
      <c r="A116" s="85"/>
    </row>
    <row r="117">
      <c r="A117" s="85"/>
    </row>
    <row r="118">
      <c r="A118" s="85"/>
    </row>
    <row r="119">
      <c r="A119" s="85"/>
    </row>
    <row r="120">
      <c r="A120" s="85"/>
    </row>
    <row r="121">
      <c r="A121" s="85"/>
    </row>
    <row r="122">
      <c r="A122" s="85"/>
    </row>
    <row r="123">
      <c r="A123" s="85"/>
    </row>
    <row r="124">
      <c r="A124" s="85"/>
    </row>
    <row r="125">
      <c r="A125" s="85"/>
      <c r="C125" s="86"/>
    </row>
    <row r="126">
      <c r="A126" s="85"/>
      <c r="C126" s="86"/>
    </row>
    <row r="127">
      <c r="A127" s="85"/>
    </row>
    <row r="128">
      <c r="A128" s="85"/>
    </row>
    <row r="129">
      <c r="A129" s="85"/>
    </row>
    <row r="130">
      <c r="A130" s="85"/>
    </row>
    <row r="131">
      <c r="A131" s="85"/>
    </row>
    <row r="132">
      <c r="A132" s="85"/>
    </row>
    <row r="133">
      <c r="A133" s="85"/>
    </row>
    <row r="134">
      <c r="A134" s="85"/>
    </row>
    <row r="135">
      <c r="A135" s="85"/>
    </row>
    <row r="136">
      <c r="A136" s="85"/>
    </row>
    <row r="137">
      <c r="A137" s="85"/>
    </row>
    <row r="138">
      <c r="A138" s="85"/>
    </row>
    <row r="139">
      <c r="A139" s="85"/>
      <c r="C139" s="2"/>
      <c r="D139" s="2"/>
    </row>
    <row r="140">
      <c r="A140" s="85"/>
      <c r="C140" s="2"/>
      <c r="D140" s="2"/>
    </row>
    <row r="141">
      <c r="A141" s="85"/>
      <c r="C141" s="2"/>
      <c r="D141" s="2"/>
    </row>
    <row r="142">
      <c r="A142" s="85"/>
    </row>
    <row r="143">
      <c r="A143" s="85"/>
    </row>
    <row r="144">
      <c r="A144" s="85"/>
    </row>
    <row r="145">
      <c r="A145" s="85"/>
    </row>
    <row r="146">
      <c r="A146" s="85"/>
    </row>
    <row r="147">
      <c r="A147" s="85"/>
    </row>
    <row r="148">
      <c r="A148" s="85"/>
    </row>
    <row r="149">
      <c r="A149" s="85"/>
    </row>
    <row r="150">
      <c r="A150" s="85"/>
    </row>
    <row r="151">
      <c r="A151" s="85"/>
    </row>
    <row r="152">
      <c r="A152" s="85"/>
    </row>
    <row r="153">
      <c r="A153" s="85"/>
    </row>
    <row r="154">
      <c r="A154" s="85"/>
    </row>
    <row r="155">
      <c r="A155" s="85"/>
    </row>
    <row r="156">
      <c r="A156" s="85"/>
    </row>
    <row r="157">
      <c r="A157" s="85"/>
    </row>
    <row r="158">
      <c r="A158" s="85"/>
    </row>
    <row r="159">
      <c r="A159" s="85"/>
    </row>
    <row r="160">
      <c r="A160" s="85"/>
    </row>
    <row r="161">
      <c r="A161" s="85"/>
    </row>
    <row r="162">
      <c r="A162" s="85"/>
    </row>
    <row r="163">
      <c r="A163" s="85"/>
    </row>
    <row r="164">
      <c r="A164" s="85"/>
    </row>
    <row r="165">
      <c r="A165" s="85"/>
    </row>
    <row r="166">
      <c r="A166" s="85"/>
    </row>
    <row r="167">
      <c r="A167" s="85"/>
    </row>
    <row r="168">
      <c r="A168" s="85"/>
    </row>
    <row r="169">
      <c r="A169" s="85"/>
    </row>
    <row r="170">
      <c r="A170" s="87"/>
      <c r="B170" s="86"/>
    </row>
    <row r="171">
      <c r="A171" s="87"/>
      <c r="B171" s="86"/>
    </row>
    <row r="172">
      <c r="A172" s="85"/>
    </row>
    <row r="173">
      <c r="A173" s="85"/>
    </row>
    <row r="174">
      <c r="A174" s="85"/>
    </row>
    <row r="175">
      <c r="A175" s="85"/>
    </row>
    <row r="176">
      <c r="A176" s="85"/>
    </row>
    <row r="177">
      <c r="A177" s="85"/>
    </row>
    <row r="178">
      <c r="A178" s="85"/>
    </row>
    <row r="179">
      <c r="A179" s="85"/>
    </row>
    <row r="180">
      <c r="A180" s="85"/>
    </row>
    <row r="181">
      <c r="A181" s="85"/>
    </row>
    <row r="182">
      <c r="A182" s="85"/>
    </row>
    <row r="183">
      <c r="A183" s="85"/>
    </row>
    <row r="184">
      <c r="A184" s="16"/>
      <c r="B184" s="2"/>
    </row>
    <row r="185">
      <c r="A185" s="16"/>
      <c r="B185" s="2"/>
    </row>
    <row r="186">
      <c r="A186" s="16"/>
      <c r="B186" s="2"/>
    </row>
    <row r="187">
      <c r="A187" s="85"/>
    </row>
    <row r="188">
      <c r="A188" s="85"/>
    </row>
    <row r="189">
      <c r="A189" s="85"/>
    </row>
    <row r="190">
      <c r="A190" s="85"/>
    </row>
    <row r="191">
      <c r="A191" s="85"/>
    </row>
    <row r="192">
      <c r="A192" s="85"/>
    </row>
    <row r="193">
      <c r="A193" s="85"/>
    </row>
    <row r="194">
      <c r="A194" s="85"/>
    </row>
    <row r="195">
      <c r="A195" s="85"/>
    </row>
    <row r="196">
      <c r="A196" s="85"/>
    </row>
    <row r="197">
      <c r="A197" s="85"/>
    </row>
    <row r="198">
      <c r="A198" s="85"/>
    </row>
    <row r="199">
      <c r="A199" s="85"/>
    </row>
    <row r="200">
      <c r="A200" s="85"/>
    </row>
    <row r="201">
      <c r="A201" s="85"/>
    </row>
    <row r="202">
      <c r="A202" s="85"/>
    </row>
    <row r="203">
      <c r="A203" s="85"/>
    </row>
    <row r="204">
      <c r="A204" s="85"/>
    </row>
    <row r="205">
      <c r="A205" s="85"/>
    </row>
    <row r="206">
      <c r="A206" s="85"/>
    </row>
    <row r="207">
      <c r="A207" s="85"/>
    </row>
    <row r="208">
      <c r="A208" s="85"/>
    </row>
    <row r="209">
      <c r="A209" s="85"/>
    </row>
    <row r="210">
      <c r="A210" s="85"/>
    </row>
    <row r="211">
      <c r="A211" s="85"/>
    </row>
    <row r="212">
      <c r="A212" s="85"/>
    </row>
    <row r="213">
      <c r="A213" s="85"/>
    </row>
    <row r="214">
      <c r="A214" s="85"/>
    </row>
    <row r="215">
      <c r="A215" s="85"/>
    </row>
    <row r="216">
      <c r="A216" s="85"/>
    </row>
    <row r="217">
      <c r="A217" s="85"/>
    </row>
    <row r="218">
      <c r="A218" s="85"/>
    </row>
    <row r="219">
      <c r="A219" s="85"/>
    </row>
    <row r="220">
      <c r="A220" s="85"/>
    </row>
    <row r="221">
      <c r="A221" s="85"/>
    </row>
    <row r="222">
      <c r="A222" s="85"/>
    </row>
    <row r="223">
      <c r="A223" s="85"/>
    </row>
    <row r="224">
      <c r="A224" s="85"/>
    </row>
    <row r="225">
      <c r="A225" s="85"/>
    </row>
    <row r="226">
      <c r="A226" s="85"/>
    </row>
    <row r="227">
      <c r="A227" s="85"/>
    </row>
    <row r="228">
      <c r="A228" s="85"/>
    </row>
    <row r="229">
      <c r="A229" s="85"/>
    </row>
    <row r="230">
      <c r="A230" s="85"/>
    </row>
    <row r="231">
      <c r="A231" s="85"/>
    </row>
    <row r="232">
      <c r="A232" s="85"/>
    </row>
    <row r="233">
      <c r="A233" s="85"/>
    </row>
    <row r="234">
      <c r="A234" s="85"/>
    </row>
    <row r="235">
      <c r="A235" s="85"/>
    </row>
    <row r="236">
      <c r="A236" s="85"/>
    </row>
    <row r="237">
      <c r="A237" s="85"/>
    </row>
    <row r="238">
      <c r="A238" s="85"/>
    </row>
    <row r="239">
      <c r="A239" s="85"/>
    </row>
    <row r="240">
      <c r="A240" s="85"/>
    </row>
    <row r="241">
      <c r="A241" s="85"/>
    </row>
    <row r="242">
      <c r="A242" s="85"/>
    </row>
    <row r="243">
      <c r="A243" s="85"/>
    </row>
    <row r="244">
      <c r="A244" s="85"/>
    </row>
    <row r="245">
      <c r="A245" s="85"/>
    </row>
    <row r="246">
      <c r="A246" s="85"/>
    </row>
    <row r="247">
      <c r="A247" s="85"/>
    </row>
    <row r="248">
      <c r="A248" s="85"/>
    </row>
    <row r="249">
      <c r="A249" s="85"/>
    </row>
    <row r="250">
      <c r="A250" s="85"/>
    </row>
    <row r="251">
      <c r="A251" s="85"/>
    </row>
    <row r="252">
      <c r="A252" s="85"/>
    </row>
    <row r="253">
      <c r="A253" s="85"/>
    </row>
    <row r="254">
      <c r="A254" s="85"/>
    </row>
    <row r="255">
      <c r="A255" s="85"/>
    </row>
    <row r="256">
      <c r="A256" s="85"/>
    </row>
    <row r="257">
      <c r="A257" s="85"/>
    </row>
    <row r="258">
      <c r="A258" s="85"/>
    </row>
    <row r="259">
      <c r="A259" s="85"/>
    </row>
    <row r="260">
      <c r="A260" s="85"/>
    </row>
    <row r="261">
      <c r="A261" s="85"/>
    </row>
    <row r="262">
      <c r="A262" s="85"/>
    </row>
    <row r="263">
      <c r="A263" s="85"/>
    </row>
    <row r="264">
      <c r="A264" s="85"/>
    </row>
    <row r="265">
      <c r="A265" s="85"/>
    </row>
    <row r="266">
      <c r="A266" s="85"/>
    </row>
    <row r="267">
      <c r="A267" s="85"/>
    </row>
    <row r="268">
      <c r="A268" s="85"/>
    </row>
    <row r="269">
      <c r="A269" s="85"/>
    </row>
    <row r="270">
      <c r="A270" s="85"/>
    </row>
    <row r="271">
      <c r="A271" s="85"/>
    </row>
    <row r="272">
      <c r="A272" s="85"/>
    </row>
    <row r="273">
      <c r="A273" s="85"/>
    </row>
    <row r="274">
      <c r="A274" s="85"/>
    </row>
    <row r="275">
      <c r="A275" s="85"/>
    </row>
    <row r="276">
      <c r="A276" s="85"/>
    </row>
    <row r="277">
      <c r="A277" s="85"/>
    </row>
    <row r="278">
      <c r="A278" s="85"/>
    </row>
    <row r="279">
      <c r="A279" s="85"/>
    </row>
    <row r="280">
      <c r="A280" s="85"/>
    </row>
    <row r="281">
      <c r="A281" s="85"/>
    </row>
    <row r="282">
      <c r="A282" s="85"/>
    </row>
    <row r="283">
      <c r="A283" s="85"/>
    </row>
    <row r="284">
      <c r="A284" s="85"/>
    </row>
    <row r="285">
      <c r="A285" s="85"/>
    </row>
    <row r="286">
      <c r="A286" s="85"/>
    </row>
    <row r="287">
      <c r="A287" s="85"/>
    </row>
    <row r="288">
      <c r="A288" s="85"/>
    </row>
    <row r="289">
      <c r="A289" s="85"/>
    </row>
    <row r="290">
      <c r="A290" s="85"/>
    </row>
    <row r="291">
      <c r="A291" s="85"/>
    </row>
    <row r="292">
      <c r="A292" s="85"/>
    </row>
    <row r="293">
      <c r="A293" s="85"/>
    </row>
    <row r="294">
      <c r="A294" s="85"/>
    </row>
    <row r="295">
      <c r="A295" s="85"/>
    </row>
    <row r="296">
      <c r="A296" s="85"/>
    </row>
    <row r="297">
      <c r="A297" s="85"/>
    </row>
    <row r="298">
      <c r="A298" s="85"/>
    </row>
    <row r="299">
      <c r="A299" s="85"/>
    </row>
    <row r="300">
      <c r="A300" s="85"/>
    </row>
    <row r="301">
      <c r="A301" s="85"/>
    </row>
    <row r="302">
      <c r="A302" s="85"/>
    </row>
    <row r="303">
      <c r="A303" s="85"/>
    </row>
    <row r="304">
      <c r="A304" s="85"/>
    </row>
    <row r="305">
      <c r="A305" s="85"/>
    </row>
    <row r="306">
      <c r="A306" s="85"/>
    </row>
    <row r="307">
      <c r="A307" s="85"/>
    </row>
    <row r="308">
      <c r="A308" s="85"/>
    </row>
    <row r="309">
      <c r="A309" s="85"/>
    </row>
    <row r="310">
      <c r="A310" s="85"/>
    </row>
    <row r="311">
      <c r="A311" s="85"/>
    </row>
    <row r="312">
      <c r="A312" s="85"/>
    </row>
    <row r="313">
      <c r="A313" s="85"/>
    </row>
    <row r="314">
      <c r="A314" s="85"/>
    </row>
    <row r="315">
      <c r="A315" s="85"/>
    </row>
    <row r="316">
      <c r="A316" s="85"/>
    </row>
    <row r="317">
      <c r="A317" s="85"/>
    </row>
    <row r="318">
      <c r="A318" s="85"/>
    </row>
    <row r="319">
      <c r="A319" s="85"/>
    </row>
    <row r="320">
      <c r="A320" s="85"/>
    </row>
    <row r="321">
      <c r="A321" s="85"/>
    </row>
    <row r="322">
      <c r="A322" s="85"/>
    </row>
    <row r="323">
      <c r="A323" s="85"/>
    </row>
    <row r="324">
      <c r="A324" s="85"/>
    </row>
    <row r="325">
      <c r="A325" s="85"/>
    </row>
    <row r="326">
      <c r="A326" s="85"/>
    </row>
    <row r="327">
      <c r="A327" s="85"/>
    </row>
    <row r="328">
      <c r="A328" s="85"/>
    </row>
    <row r="329">
      <c r="A329" s="85"/>
    </row>
    <row r="330">
      <c r="A330" s="85"/>
    </row>
    <row r="331">
      <c r="A331" s="85"/>
    </row>
    <row r="332">
      <c r="A332" s="85"/>
    </row>
    <row r="333">
      <c r="A333" s="85"/>
    </row>
    <row r="334">
      <c r="A334" s="85"/>
    </row>
    <row r="335">
      <c r="A335" s="85"/>
    </row>
    <row r="336">
      <c r="A336" s="85"/>
    </row>
    <row r="337">
      <c r="A337" s="85"/>
    </row>
    <row r="338">
      <c r="A338" s="85"/>
    </row>
    <row r="339">
      <c r="A339" s="85"/>
    </row>
    <row r="340">
      <c r="A340" s="85"/>
    </row>
    <row r="341">
      <c r="A341" s="85"/>
    </row>
    <row r="342">
      <c r="A342" s="85"/>
    </row>
    <row r="343">
      <c r="A343" s="85"/>
    </row>
    <row r="344">
      <c r="A344" s="85"/>
    </row>
    <row r="345">
      <c r="A345" s="85"/>
    </row>
    <row r="346">
      <c r="A346" s="85"/>
    </row>
    <row r="347">
      <c r="A347" s="85"/>
    </row>
    <row r="348">
      <c r="A348" s="85"/>
    </row>
    <row r="349">
      <c r="A349" s="85"/>
    </row>
    <row r="350">
      <c r="A350" s="85"/>
    </row>
    <row r="351">
      <c r="A351" s="85"/>
    </row>
    <row r="352">
      <c r="A352" s="85"/>
    </row>
    <row r="353">
      <c r="A353" s="85"/>
    </row>
    <row r="354">
      <c r="A354" s="85"/>
    </row>
    <row r="355">
      <c r="A355" s="85"/>
    </row>
    <row r="356">
      <c r="A356" s="85"/>
    </row>
    <row r="357">
      <c r="A357" s="85"/>
    </row>
    <row r="358">
      <c r="A358" s="85"/>
    </row>
    <row r="359">
      <c r="A359" s="85"/>
    </row>
    <row r="360">
      <c r="A360" s="85"/>
    </row>
    <row r="361">
      <c r="A361" s="85"/>
    </row>
    <row r="362">
      <c r="A362" s="85"/>
    </row>
    <row r="363">
      <c r="A363" s="85"/>
    </row>
    <row r="364">
      <c r="A364" s="85"/>
    </row>
    <row r="365">
      <c r="A365" s="85"/>
    </row>
    <row r="366">
      <c r="A366" s="85"/>
    </row>
    <row r="367">
      <c r="A367" s="85"/>
    </row>
    <row r="368">
      <c r="A368" s="85"/>
    </row>
    <row r="369">
      <c r="A369" s="85"/>
    </row>
    <row r="370">
      <c r="A370" s="85"/>
    </row>
    <row r="371">
      <c r="A371" s="85"/>
    </row>
    <row r="372">
      <c r="A372" s="85"/>
    </row>
    <row r="373">
      <c r="A373" s="85"/>
    </row>
    <row r="374">
      <c r="A374" s="85"/>
    </row>
    <row r="375">
      <c r="A375" s="85"/>
    </row>
    <row r="376">
      <c r="A376" s="85"/>
    </row>
    <row r="377">
      <c r="A377" s="85"/>
    </row>
    <row r="378">
      <c r="A378" s="85"/>
    </row>
    <row r="379">
      <c r="A379" s="85"/>
    </row>
    <row r="380">
      <c r="A380" s="85"/>
    </row>
    <row r="381">
      <c r="A381" s="85"/>
    </row>
    <row r="382">
      <c r="A382" s="85"/>
    </row>
    <row r="383">
      <c r="A383" s="85"/>
    </row>
    <row r="384">
      <c r="A384" s="85"/>
    </row>
    <row r="385">
      <c r="A385" s="85"/>
    </row>
    <row r="386">
      <c r="A386" s="85"/>
    </row>
    <row r="387">
      <c r="A387" s="85"/>
    </row>
    <row r="388">
      <c r="A388" s="85"/>
    </row>
    <row r="389">
      <c r="A389" s="85"/>
    </row>
    <row r="390">
      <c r="A390" s="85"/>
    </row>
    <row r="391">
      <c r="A391" s="85"/>
    </row>
    <row r="392">
      <c r="A392" s="85"/>
    </row>
    <row r="393">
      <c r="A393" s="85"/>
    </row>
    <row r="394">
      <c r="A394" s="85"/>
    </row>
    <row r="395">
      <c r="A395" s="85"/>
    </row>
    <row r="396">
      <c r="A396" s="85"/>
    </row>
    <row r="397">
      <c r="A397" s="85"/>
    </row>
    <row r="398">
      <c r="A398" s="85"/>
    </row>
    <row r="399">
      <c r="A399" s="85"/>
    </row>
    <row r="400">
      <c r="A400" s="85"/>
    </row>
    <row r="401">
      <c r="A401" s="85"/>
    </row>
    <row r="402">
      <c r="A402" s="85"/>
    </row>
    <row r="403">
      <c r="A403" s="85"/>
    </row>
    <row r="404">
      <c r="A404" s="85"/>
    </row>
    <row r="405">
      <c r="A405" s="85"/>
    </row>
    <row r="406">
      <c r="A406" s="85"/>
    </row>
    <row r="407">
      <c r="A407" s="85"/>
    </row>
    <row r="408">
      <c r="A408" s="85"/>
    </row>
    <row r="409">
      <c r="A409" s="85"/>
    </row>
    <row r="410">
      <c r="A410" s="85"/>
    </row>
    <row r="411">
      <c r="A411" s="85"/>
    </row>
    <row r="412">
      <c r="A412" s="85"/>
    </row>
    <row r="413">
      <c r="A413" s="85"/>
    </row>
    <row r="414">
      <c r="A414" s="85"/>
    </row>
    <row r="415">
      <c r="A415" s="85"/>
    </row>
    <row r="416">
      <c r="A416" s="85"/>
    </row>
    <row r="417">
      <c r="A417" s="85"/>
    </row>
    <row r="418">
      <c r="A418" s="85"/>
    </row>
    <row r="419">
      <c r="A419" s="85"/>
    </row>
    <row r="420">
      <c r="A420" s="85"/>
    </row>
    <row r="421">
      <c r="A421" s="85"/>
    </row>
    <row r="422">
      <c r="A422" s="85"/>
    </row>
    <row r="423">
      <c r="A423" s="85"/>
    </row>
    <row r="424">
      <c r="A424" s="85"/>
    </row>
    <row r="425">
      <c r="A425" s="85"/>
    </row>
    <row r="426">
      <c r="A426" s="85"/>
    </row>
    <row r="427">
      <c r="A427" s="85"/>
    </row>
    <row r="428">
      <c r="A428" s="85"/>
    </row>
    <row r="429">
      <c r="A429" s="85"/>
    </row>
    <row r="430">
      <c r="A430" s="85"/>
    </row>
    <row r="431">
      <c r="A431" s="85"/>
    </row>
    <row r="432">
      <c r="A432" s="85"/>
    </row>
    <row r="433">
      <c r="A433" s="85"/>
    </row>
    <row r="434">
      <c r="A434" s="85"/>
    </row>
    <row r="435">
      <c r="A435" s="85"/>
    </row>
    <row r="436">
      <c r="A436" s="85"/>
    </row>
    <row r="437">
      <c r="A437" s="85"/>
    </row>
    <row r="438">
      <c r="A438" s="85"/>
    </row>
    <row r="439">
      <c r="A439" s="85"/>
    </row>
    <row r="440">
      <c r="A440" s="85"/>
    </row>
    <row r="441">
      <c r="A441" s="85"/>
    </row>
    <row r="442">
      <c r="A442" s="85"/>
    </row>
    <row r="443">
      <c r="A443" s="85"/>
    </row>
    <row r="444">
      <c r="A444" s="85"/>
    </row>
    <row r="445">
      <c r="A445" s="85"/>
    </row>
    <row r="446">
      <c r="A446" s="85"/>
    </row>
    <row r="447">
      <c r="A447" s="85"/>
    </row>
    <row r="448">
      <c r="A448" s="85"/>
    </row>
    <row r="449">
      <c r="A449" s="85"/>
    </row>
    <row r="450">
      <c r="A450" s="85"/>
    </row>
    <row r="451">
      <c r="A451" s="85"/>
    </row>
    <row r="452">
      <c r="A452" s="85"/>
    </row>
    <row r="453">
      <c r="A453" s="85"/>
    </row>
    <row r="454">
      <c r="A454" s="85"/>
    </row>
    <row r="455">
      <c r="A455" s="85"/>
    </row>
    <row r="456">
      <c r="A456" s="85"/>
    </row>
    <row r="457">
      <c r="A457" s="85"/>
    </row>
    <row r="458">
      <c r="A458" s="85"/>
    </row>
    <row r="459">
      <c r="A459" s="85"/>
    </row>
    <row r="460">
      <c r="A460" s="85"/>
    </row>
    <row r="461">
      <c r="A461" s="85"/>
    </row>
    <row r="462">
      <c r="A462" s="85"/>
    </row>
    <row r="463">
      <c r="A463" s="85"/>
    </row>
    <row r="464">
      <c r="A464" s="85"/>
    </row>
    <row r="465">
      <c r="A465" s="85"/>
    </row>
    <row r="466">
      <c r="A466" s="85"/>
    </row>
    <row r="467">
      <c r="A467" s="85"/>
    </row>
    <row r="468">
      <c r="A468" s="85"/>
    </row>
    <row r="469">
      <c r="A469" s="85"/>
    </row>
    <row r="470">
      <c r="A470" s="85"/>
    </row>
    <row r="471">
      <c r="A471" s="85"/>
    </row>
    <row r="472">
      <c r="A472" s="85"/>
    </row>
    <row r="473">
      <c r="A473" s="85"/>
    </row>
    <row r="474">
      <c r="A474" s="85"/>
    </row>
    <row r="475">
      <c r="A475" s="85"/>
    </row>
    <row r="476">
      <c r="A476" s="85"/>
    </row>
    <row r="477">
      <c r="A477" s="85"/>
    </row>
    <row r="478">
      <c r="A478" s="85"/>
    </row>
    <row r="479">
      <c r="A479" s="85"/>
    </row>
    <row r="480">
      <c r="A480" s="85"/>
    </row>
    <row r="481">
      <c r="A481" s="85"/>
    </row>
    <row r="482">
      <c r="A482" s="85"/>
    </row>
    <row r="483">
      <c r="A483" s="85"/>
    </row>
    <row r="484">
      <c r="A484" s="85"/>
    </row>
    <row r="485">
      <c r="A485" s="85"/>
    </row>
    <row r="486">
      <c r="A486" s="85"/>
    </row>
    <row r="487">
      <c r="A487" s="85"/>
    </row>
    <row r="488">
      <c r="A488" s="85"/>
    </row>
    <row r="489">
      <c r="A489" s="85"/>
    </row>
    <row r="490">
      <c r="A490" s="85"/>
    </row>
    <row r="491">
      <c r="A491" s="85"/>
    </row>
    <row r="492">
      <c r="A492" s="85"/>
    </row>
    <row r="493">
      <c r="A493" s="85"/>
    </row>
    <row r="494">
      <c r="A494" s="85"/>
    </row>
    <row r="495">
      <c r="A495" s="85"/>
    </row>
    <row r="496">
      <c r="A496" s="85"/>
    </row>
    <row r="497">
      <c r="A497" s="85"/>
    </row>
    <row r="498">
      <c r="A498" s="85"/>
    </row>
    <row r="499">
      <c r="A499" s="85"/>
    </row>
    <row r="500">
      <c r="A500" s="85"/>
    </row>
    <row r="501">
      <c r="A501" s="85"/>
    </row>
    <row r="502">
      <c r="A502" s="85"/>
    </row>
    <row r="503">
      <c r="A503" s="85"/>
    </row>
    <row r="504">
      <c r="A504" s="85"/>
    </row>
    <row r="505">
      <c r="A505" s="85"/>
    </row>
    <row r="506">
      <c r="A506" s="85"/>
    </row>
    <row r="507">
      <c r="A507" s="85"/>
    </row>
    <row r="508">
      <c r="A508" s="85"/>
    </row>
    <row r="509">
      <c r="A509" s="85"/>
    </row>
    <row r="510">
      <c r="A510" s="85"/>
    </row>
    <row r="511">
      <c r="A511" s="85"/>
    </row>
    <row r="512">
      <c r="A512" s="85"/>
    </row>
    <row r="513">
      <c r="A513" s="85"/>
    </row>
    <row r="514">
      <c r="A514" s="85"/>
    </row>
    <row r="515">
      <c r="A515" s="85"/>
    </row>
    <row r="516">
      <c r="A516" s="85"/>
    </row>
    <row r="517">
      <c r="A517" s="85"/>
    </row>
    <row r="518">
      <c r="A518" s="85"/>
    </row>
    <row r="519">
      <c r="A519" s="85"/>
    </row>
    <row r="520">
      <c r="A520" s="85"/>
    </row>
    <row r="521">
      <c r="A521" s="85"/>
    </row>
    <row r="522">
      <c r="A522" s="85"/>
    </row>
    <row r="523">
      <c r="A523" s="85"/>
    </row>
    <row r="524">
      <c r="A524" s="85"/>
    </row>
    <row r="525">
      <c r="A525" s="85"/>
    </row>
    <row r="526">
      <c r="A526" s="85"/>
    </row>
    <row r="527">
      <c r="A527" s="85"/>
    </row>
    <row r="528">
      <c r="A528" s="85"/>
    </row>
    <row r="529">
      <c r="A529" s="85"/>
    </row>
    <row r="530">
      <c r="A530" s="85"/>
    </row>
    <row r="531">
      <c r="A531" s="85"/>
    </row>
    <row r="532">
      <c r="A532" s="85"/>
    </row>
    <row r="533">
      <c r="A533" s="85"/>
    </row>
    <row r="534">
      <c r="A534" s="85"/>
    </row>
    <row r="535">
      <c r="A535" s="85"/>
    </row>
    <row r="536">
      <c r="A536" s="85"/>
    </row>
    <row r="537">
      <c r="A537" s="85"/>
    </row>
    <row r="538">
      <c r="A538" s="85"/>
    </row>
    <row r="539">
      <c r="A539" s="85"/>
    </row>
    <row r="540">
      <c r="A540" s="85"/>
    </row>
    <row r="541">
      <c r="A541" s="85"/>
    </row>
    <row r="542">
      <c r="A542" s="85"/>
    </row>
    <row r="543">
      <c r="A543" s="85"/>
    </row>
    <row r="544">
      <c r="A544" s="85"/>
    </row>
    <row r="545">
      <c r="A545" s="85"/>
    </row>
    <row r="546">
      <c r="A546" s="85"/>
    </row>
    <row r="547">
      <c r="A547" s="85"/>
    </row>
    <row r="548">
      <c r="A548" s="85"/>
    </row>
    <row r="549">
      <c r="A549" s="85"/>
    </row>
    <row r="550">
      <c r="A550" s="85"/>
    </row>
    <row r="551">
      <c r="A551" s="85"/>
    </row>
    <row r="552">
      <c r="A552" s="85"/>
    </row>
    <row r="553">
      <c r="A553" s="85"/>
    </row>
    <row r="554">
      <c r="A554" s="85"/>
    </row>
    <row r="555">
      <c r="A555" s="85"/>
    </row>
    <row r="556">
      <c r="A556" s="85"/>
    </row>
    <row r="557">
      <c r="A557" s="85"/>
    </row>
    <row r="558">
      <c r="A558" s="85"/>
    </row>
    <row r="559">
      <c r="A559" s="85"/>
    </row>
    <row r="560">
      <c r="A560" s="85"/>
    </row>
    <row r="561">
      <c r="A561" s="85"/>
    </row>
    <row r="562">
      <c r="A562" s="85"/>
    </row>
    <row r="563">
      <c r="A563" s="85"/>
    </row>
    <row r="564">
      <c r="A564" s="85"/>
    </row>
    <row r="565">
      <c r="A565" s="85"/>
    </row>
    <row r="566">
      <c r="A566" s="85"/>
    </row>
    <row r="567">
      <c r="A567" s="85"/>
    </row>
    <row r="568">
      <c r="A568" s="85"/>
    </row>
    <row r="569">
      <c r="A569" s="85"/>
    </row>
    <row r="570">
      <c r="A570" s="85"/>
    </row>
    <row r="571">
      <c r="A571" s="85"/>
    </row>
    <row r="572">
      <c r="A572" s="85"/>
    </row>
    <row r="573">
      <c r="A573" s="85"/>
    </row>
    <row r="574">
      <c r="A574" s="85"/>
    </row>
    <row r="575">
      <c r="A575" s="85"/>
    </row>
    <row r="576">
      <c r="A576" s="85"/>
    </row>
    <row r="577">
      <c r="A577" s="85"/>
    </row>
    <row r="578">
      <c r="A578" s="85"/>
    </row>
    <row r="579">
      <c r="A579" s="85"/>
    </row>
    <row r="580">
      <c r="A580" s="85"/>
    </row>
    <row r="581">
      <c r="A581" s="85"/>
    </row>
    <row r="582">
      <c r="A582" s="85"/>
    </row>
    <row r="583">
      <c r="A583" s="85"/>
    </row>
    <row r="584">
      <c r="A584" s="85"/>
    </row>
    <row r="585">
      <c r="A585" s="85"/>
    </row>
    <row r="586">
      <c r="A586" s="85"/>
    </row>
    <row r="587">
      <c r="A587" s="85"/>
    </row>
    <row r="588">
      <c r="A588" s="85"/>
    </row>
    <row r="589">
      <c r="A589" s="85"/>
    </row>
    <row r="590">
      <c r="A590" s="85"/>
    </row>
    <row r="591">
      <c r="A591" s="85"/>
    </row>
    <row r="592">
      <c r="A592" s="85"/>
    </row>
    <row r="593">
      <c r="A593" s="85"/>
    </row>
    <row r="594">
      <c r="A594" s="85"/>
    </row>
    <row r="595">
      <c r="A595" s="85"/>
    </row>
    <row r="596">
      <c r="A596" s="85"/>
    </row>
    <row r="597">
      <c r="A597" s="85"/>
    </row>
    <row r="598">
      <c r="A598" s="85"/>
    </row>
    <row r="599">
      <c r="A599" s="85"/>
    </row>
    <row r="600">
      <c r="A600" s="85"/>
    </row>
    <row r="601">
      <c r="A601" s="85"/>
    </row>
    <row r="602">
      <c r="A602" s="85"/>
    </row>
    <row r="603">
      <c r="A603" s="85"/>
    </row>
    <row r="604">
      <c r="A604" s="85"/>
    </row>
    <row r="605">
      <c r="A605" s="85"/>
    </row>
    <row r="606">
      <c r="A606" s="85"/>
    </row>
    <row r="607">
      <c r="A607" s="85"/>
    </row>
    <row r="608">
      <c r="A608" s="85"/>
    </row>
    <row r="609">
      <c r="A609" s="85"/>
    </row>
    <row r="610">
      <c r="A610" s="85"/>
    </row>
    <row r="611">
      <c r="A611" s="85"/>
    </row>
    <row r="612">
      <c r="A612" s="85"/>
    </row>
    <row r="613">
      <c r="A613" s="85"/>
    </row>
    <row r="614">
      <c r="A614" s="85"/>
    </row>
    <row r="615">
      <c r="A615" s="85"/>
    </row>
    <row r="616">
      <c r="A616" s="85"/>
    </row>
    <row r="617">
      <c r="A617" s="85"/>
    </row>
    <row r="618">
      <c r="A618" s="85"/>
    </row>
    <row r="619">
      <c r="A619" s="85"/>
    </row>
    <row r="620">
      <c r="A620" s="85"/>
    </row>
    <row r="621">
      <c r="A621" s="85"/>
    </row>
    <row r="622">
      <c r="A622" s="85"/>
    </row>
    <row r="623">
      <c r="A623" s="85"/>
    </row>
    <row r="624">
      <c r="A624" s="85"/>
    </row>
    <row r="625">
      <c r="A625" s="85"/>
    </row>
    <row r="626">
      <c r="A626" s="85"/>
    </row>
    <row r="627">
      <c r="A627" s="85"/>
    </row>
    <row r="628">
      <c r="A628" s="85"/>
    </row>
    <row r="629">
      <c r="A629" s="85"/>
    </row>
    <row r="630">
      <c r="A630" s="85"/>
    </row>
    <row r="631">
      <c r="A631" s="85"/>
    </row>
    <row r="632">
      <c r="A632" s="85"/>
    </row>
    <row r="633">
      <c r="A633" s="85"/>
    </row>
    <row r="634">
      <c r="A634" s="85"/>
    </row>
    <row r="635">
      <c r="A635" s="85"/>
    </row>
    <row r="636">
      <c r="A636" s="85"/>
    </row>
    <row r="637">
      <c r="A637" s="85"/>
    </row>
    <row r="638">
      <c r="A638" s="85"/>
    </row>
    <row r="639">
      <c r="A639" s="85"/>
    </row>
    <row r="640">
      <c r="A640" s="85"/>
    </row>
    <row r="641">
      <c r="A641" s="85"/>
    </row>
    <row r="642">
      <c r="A642" s="85"/>
    </row>
    <row r="643">
      <c r="A643" s="85"/>
    </row>
    <row r="644">
      <c r="A644" s="85"/>
    </row>
    <row r="645">
      <c r="A645" s="85"/>
    </row>
    <row r="646">
      <c r="A646" s="85"/>
    </row>
    <row r="647">
      <c r="A647" s="85"/>
    </row>
    <row r="648">
      <c r="A648" s="85"/>
    </row>
    <row r="649">
      <c r="A649" s="85"/>
    </row>
    <row r="650">
      <c r="A650" s="85"/>
    </row>
    <row r="651">
      <c r="A651" s="85"/>
    </row>
    <row r="652">
      <c r="A652" s="85"/>
    </row>
    <row r="653">
      <c r="A653" s="85"/>
    </row>
    <row r="654">
      <c r="A654" s="85"/>
    </row>
    <row r="655">
      <c r="A655" s="85"/>
    </row>
    <row r="656">
      <c r="A656" s="85"/>
    </row>
    <row r="657">
      <c r="A657" s="85"/>
    </row>
    <row r="658">
      <c r="A658" s="85"/>
    </row>
    <row r="659">
      <c r="A659" s="85"/>
    </row>
    <row r="660">
      <c r="A660" s="85"/>
    </row>
    <row r="661">
      <c r="A661" s="85"/>
    </row>
    <row r="662">
      <c r="A662" s="85"/>
    </row>
    <row r="663">
      <c r="A663" s="85"/>
    </row>
    <row r="664">
      <c r="A664" s="85"/>
    </row>
    <row r="665">
      <c r="A665" s="85"/>
    </row>
    <row r="666">
      <c r="A666" s="85"/>
    </row>
    <row r="667">
      <c r="A667" s="85"/>
    </row>
    <row r="668">
      <c r="A668" s="85"/>
    </row>
    <row r="669">
      <c r="A669" s="85"/>
    </row>
    <row r="670">
      <c r="A670" s="85"/>
    </row>
    <row r="671">
      <c r="A671" s="85"/>
    </row>
    <row r="672">
      <c r="A672" s="85"/>
    </row>
    <row r="673">
      <c r="A673" s="85"/>
    </row>
    <row r="674">
      <c r="A674" s="85"/>
    </row>
    <row r="675">
      <c r="A675" s="85"/>
    </row>
    <row r="676">
      <c r="A676" s="85"/>
    </row>
    <row r="677">
      <c r="A677" s="85"/>
    </row>
    <row r="678">
      <c r="A678" s="85"/>
    </row>
    <row r="679">
      <c r="A679" s="85"/>
    </row>
    <row r="680">
      <c r="A680" s="85"/>
    </row>
    <row r="681">
      <c r="A681" s="85"/>
    </row>
    <row r="682">
      <c r="A682" s="85"/>
    </row>
    <row r="683">
      <c r="A683" s="85"/>
    </row>
    <row r="684">
      <c r="A684" s="85"/>
    </row>
    <row r="685">
      <c r="A685" s="85"/>
    </row>
    <row r="686">
      <c r="A686" s="85"/>
    </row>
    <row r="687">
      <c r="A687" s="85"/>
    </row>
    <row r="688">
      <c r="A688" s="85"/>
    </row>
    <row r="689">
      <c r="A689" s="85"/>
    </row>
    <row r="690">
      <c r="A690" s="85"/>
    </row>
    <row r="691">
      <c r="A691" s="85"/>
    </row>
    <row r="692">
      <c r="A692" s="85"/>
    </row>
    <row r="693">
      <c r="A693" s="85"/>
    </row>
    <row r="694">
      <c r="A694" s="85"/>
    </row>
    <row r="695">
      <c r="A695" s="85"/>
    </row>
    <row r="696">
      <c r="A696" s="85"/>
    </row>
    <row r="697">
      <c r="A697" s="85"/>
    </row>
    <row r="698">
      <c r="A698" s="85"/>
    </row>
    <row r="699">
      <c r="A699" s="85"/>
    </row>
    <row r="700">
      <c r="A700" s="85"/>
    </row>
    <row r="701">
      <c r="A701" s="85"/>
    </row>
    <row r="702">
      <c r="A702" s="85"/>
    </row>
    <row r="703">
      <c r="A703" s="85"/>
    </row>
    <row r="704">
      <c r="A704" s="85"/>
    </row>
    <row r="705">
      <c r="A705" s="85"/>
    </row>
    <row r="706">
      <c r="A706" s="85"/>
    </row>
    <row r="707">
      <c r="A707" s="85"/>
    </row>
    <row r="708">
      <c r="A708" s="85"/>
    </row>
    <row r="709">
      <c r="A709" s="85"/>
    </row>
    <row r="710">
      <c r="A710" s="85"/>
    </row>
    <row r="711">
      <c r="A711" s="85"/>
    </row>
    <row r="712">
      <c r="A712" s="85"/>
    </row>
    <row r="713">
      <c r="A713" s="85"/>
    </row>
    <row r="714">
      <c r="A714" s="85"/>
    </row>
    <row r="715">
      <c r="A715" s="85"/>
    </row>
    <row r="716">
      <c r="A716" s="85"/>
    </row>
    <row r="717">
      <c r="A717" s="85"/>
    </row>
    <row r="718">
      <c r="A718" s="85"/>
    </row>
    <row r="719">
      <c r="A719" s="85"/>
    </row>
    <row r="720">
      <c r="A720" s="85"/>
    </row>
    <row r="721">
      <c r="A721" s="85"/>
    </row>
    <row r="722">
      <c r="A722" s="85"/>
    </row>
    <row r="723">
      <c r="A723" s="85"/>
    </row>
    <row r="724">
      <c r="A724" s="85"/>
    </row>
    <row r="725">
      <c r="A725" s="85"/>
    </row>
    <row r="726">
      <c r="A726" s="85"/>
    </row>
    <row r="727">
      <c r="A727" s="85"/>
    </row>
    <row r="728">
      <c r="A728" s="85"/>
    </row>
    <row r="729">
      <c r="A729" s="85"/>
    </row>
    <row r="730">
      <c r="A730" s="85"/>
    </row>
    <row r="731">
      <c r="A731" s="85"/>
    </row>
    <row r="732">
      <c r="A732" s="85"/>
    </row>
    <row r="733">
      <c r="A733" s="85"/>
    </row>
    <row r="734">
      <c r="A734" s="85"/>
    </row>
    <row r="735">
      <c r="A735" s="85"/>
    </row>
    <row r="736">
      <c r="A736" s="85"/>
    </row>
    <row r="737">
      <c r="A737" s="85"/>
    </row>
    <row r="738">
      <c r="A738" s="85"/>
    </row>
    <row r="739">
      <c r="A739" s="85"/>
    </row>
    <row r="740">
      <c r="A740" s="85"/>
    </row>
    <row r="741">
      <c r="A741" s="85"/>
    </row>
    <row r="742">
      <c r="A742" s="85"/>
    </row>
    <row r="743">
      <c r="A743" s="85"/>
    </row>
    <row r="744">
      <c r="A744" s="85"/>
    </row>
    <row r="745">
      <c r="A745" s="85"/>
    </row>
    <row r="746">
      <c r="A746" s="85"/>
    </row>
    <row r="747">
      <c r="A747" s="85"/>
    </row>
    <row r="748">
      <c r="A748" s="85"/>
    </row>
    <row r="749">
      <c r="A749" s="85"/>
    </row>
    <row r="750">
      <c r="A750" s="85"/>
    </row>
    <row r="751">
      <c r="A751" s="85"/>
    </row>
    <row r="752">
      <c r="A752" s="85"/>
    </row>
    <row r="753">
      <c r="A753" s="85"/>
    </row>
    <row r="754">
      <c r="A754" s="85"/>
    </row>
    <row r="755">
      <c r="A755" s="85"/>
    </row>
    <row r="756">
      <c r="A756" s="85"/>
    </row>
    <row r="757">
      <c r="A757" s="85"/>
    </row>
    <row r="758">
      <c r="A758" s="85"/>
    </row>
    <row r="759">
      <c r="A759" s="85"/>
    </row>
    <row r="760">
      <c r="A760" s="85"/>
    </row>
    <row r="761">
      <c r="A761" s="85"/>
    </row>
    <row r="762">
      <c r="A762" s="85"/>
    </row>
    <row r="763">
      <c r="A763" s="85"/>
    </row>
    <row r="764">
      <c r="A764" s="85"/>
    </row>
    <row r="765">
      <c r="A765" s="85"/>
    </row>
    <row r="766">
      <c r="A766" s="85"/>
    </row>
    <row r="767">
      <c r="A767" s="85"/>
    </row>
    <row r="768">
      <c r="A768" s="85"/>
    </row>
    <row r="769">
      <c r="A769" s="85"/>
    </row>
    <row r="770">
      <c r="A770" s="85"/>
    </row>
    <row r="771">
      <c r="A771" s="85"/>
    </row>
    <row r="772">
      <c r="A772" s="85"/>
    </row>
    <row r="773">
      <c r="A773" s="85"/>
    </row>
    <row r="774">
      <c r="A774" s="85"/>
    </row>
    <row r="775">
      <c r="A775" s="85"/>
    </row>
    <row r="776">
      <c r="A776" s="85"/>
    </row>
    <row r="777">
      <c r="A777" s="85"/>
    </row>
    <row r="778">
      <c r="A778" s="85"/>
    </row>
    <row r="779">
      <c r="A779" s="85"/>
    </row>
    <row r="780">
      <c r="A780" s="85"/>
    </row>
    <row r="781">
      <c r="A781" s="85"/>
    </row>
    <row r="782">
      <c r="A782" s="85"/>
    </row>
    <row r="783">
      <c r="A783" s="85"/>
    </row>
    <row r="784">
      <c r="A784" s="85"/>
    </row>
    <row r="785">
      <c r="A785" s="85"/>
    </row>
    <row r="786">
      <c r="A786" s="85"/>
    </row>
    <row r="787">
      <c r="A787" s="85"/>
    </row>
    <row r="788">
      <c r="A788" s="85"/>
    </row>
    <row r="789">
      <c r="A789" s="85"/>
    </row>
    <row r="790">
      <c r="A790" s="85"/>
    </row>
    <row r="791">
      <c r="A791" s="85"/>
    </row>
    <row r="792">
      <c r="A792" s="85"/>
    </row>
    <row r="793">
      <c r="A793" s="85"/>
    </row>
    <row r="794">
      <c r="A794" s="85"/>
    </row>
    <row r="795">
      <c r="A795" s="85"/>
    </row>
    <row r="796">
      <c r="A796" s="85"/>
    </row>
    <row r="797">
      <c r="A797" s="85"/>
    </row>
    <row r="798">
      <c r="A798" s="85"/>
    </row>
    <row r="799">
      <c r="A799" s="85"/>
    </row>
    <row r="800">
      <c r="A800" s="85"/>
    </row>
    <row r="801">
      <c r="A801" s="85"/>
    </row>
    <row r="802">
      <c r="A802" s="85"/>
    </row>
    <row r="803">
      <c r="A803" s="85"/>
    </row>
    <row r="804">
      <c r="A804" s="85"/>
    </row>
    <row r="805">
      <c r="A805" s="85"/>
    </row>
    <row r="806">
      <c r="A806" s="85"/>
    </row>
    <row r="807">
      <c r="A807" s="85"/>
    </row>
    <row r="808">
      <c r="A808" s="85"/>
    </row>
    <row r="809">
      <c r="A809" s="85"/>
    </row>
    <row r="810">
      <c r="A810" s="85"/>
    </row>
    <row r="811">
      <c r="A811" s="85"/>
    </row>
    <row r="812">
      <c r="A812" s="85"/>
    </row>
    <row r="813">
      <c r="A813" s="85"/>
    </row>
    <row r="814">
      <c r="A814" s="85"/>
    </row>
    <row r="815">
      <c r="A815" s="85"/>
    </row>
    <row r="816">
      <c r="A816" s="85"/>
    </row>
    <row r="817">
      <c r="A817" s="85"/>
    </row>
    <row r="818">
      <c r="A818" s="85"/>
    </row>
    <row r="819">
      <c r="A819" s="85"/>
    </row>
    <row r="820">
      <c r="A820" s="85"/>
    </row>
    <row r="821">
      <c r="A821" s="85"/>
    </row>
    <row r="822">
      <c r="A822" s="85"/>
    </row>
    <row r="823">
      <c r="A823" s="85"/>
    </row>
    <row r="824">
      <c r="A824" s="85"/>
    </row>
    <row r="825">
      <c r="A825" s="85"/>
    </row>
    <row r="826">
      <c r="A826" s="85"/>
    </row>
    <row r="827">
      <c r="A827" s="85"/>
    </row>
    <row r="828">
      <c r="A828" s="85"/>
    </row>
    <row r="829">
      <c r="A829" s="85"/>
    </row>
    <row r="830">
      <c r="A830" s="85"/>
    </row>
    <row r="831">
      <c r="A831" s="85"/>
    </row>
    <row r="832">
      <c r="A832" s="85"/>
    </row>
    <row r="833">
      <c r="A833" s="85"/>
    </row>
    <row r="834">
      <c r="A834" s="85"/>
    </row>
    <row r="835">
      <c r="A835" s="85"/>
    </row>
    <row r="836">
      <c r="A836" s="85"/>
    </row>
    <row r="837">
      <c r="A837" s="85"/>
    </row>
    <row r="838">
      <c r="A838" s="85"/>
    </row>
    <row r="839">
      <c r="A839" s="85"/>
    </row>
    <row r="840">
      <c r="A840" s="85"/>
    </row>
    <row r="841">
      <c r="A841" s="85"/>
    </row>
    <row r="842">
      <c r="A842" s="85"/>
    </row>
    <row r="843">
      <c r="A843" s="85"/>
    </row>
    <row r="844">
      <c r="A844" s="85"/>
    </row>
    <row r="845">
      <c r="A845" s="85"/>
    </row>
    <row r="846">
      <c r="A846" s="85"/>
    </row>
    <row r="847">
      <c r="A847" s="85"/>
    </row>
    <row r="848">
      <c r="A848" s="85"/>
    </row>
    <row r="849">
      <c r="A849" s="85"/>
    </row>
    <row r="850">
      <c r="A850" s="85"/>
    </row>
    <row r="851">
      <c r="A851" s="85"/>
    </row>
    <row r="852">
      <c r="A852" s="85"/>
    </row>
    <row r="853">
      <c r="A853" s="85"/>
    </row>
    <row r="854">
      <c r="A854" s="85"/>
    </row>
    <row r="855">
      <c r="A855" s="85"/>
    </row>
    <row r="856">
      <c r="A856" s="85"/>
    </row>
    <row r="857">
      <c r="A857" s="85"/>
    </row>
    <row r="858">
      <c r="A858" s="85"/>
    </row>
    <row r="859">
      <c r="A859" s="85"/>
    </row>
    <row r="860">
      <c r="A860" s="85"/>
    </row>
    <row r="861">
      <c r="A861" s="85"/>
    </row>
    <row r="862">
      <c r="A862" s="85"/>
    </row>
    <row r="863">
      <c r="A863" s="85"/>
    </row>
    <row r="864">
      <c r="A864" s="85"/>
    </row>
    <row r="865">
      <c r="A865" s="85"/>
    </row>
    <row r="866">
      <c r="A866" s="85"/>
    </row>
    <row r="867">
      <c r="A867" s="85"/>
    </row>
    <row r="868">
      <c r="A868" s="85"/>
    </row>
    <row r="869">
      <c r="A869" s="85"/>
    </row>
    <row r="870">
      <c r="A870" s="85"/>
    </row>
    <row r="871">
      <c r="A871" s="85"/>
    </row>
    <row r="872">
      <c r="A872" s="85"/>
    </row>
    <row r="873">
      <c r="A873" s="85"/>
    </row>
    <row r="874">
      <c r="A874" s="85"/>
    </row>
    <row r="875">
      <c r="A875" s="85"/>
    </row>
    <row r="876">
      <c r="A876" s="85"/>
    </row>
    <row r="877">
      <c r="A877" s="85"/>
    </row>
    <row r="878">
      <c r="A878" s="85"/>
    </row>
    <row r="879">
      <c r="A879" s="85"/>
    </row>
    <row r="880">
      <c r="A880" s="85"/>
    </row>
    <row r="881">
      <c r="A881" s="85"/>
    </row>
    <row r="882">
      <c r="A882" s="85"/>
    </row>
    <row r="883">
      <c r="A883" s="85"/>
    </row>
    <row r="884">
      <c r="A884" s="85"/>
    </row>
    <row r="885">
      <c r="A885" s="85"/>
    </row>
    <row r="886">
      <c r="A886" s="85"/>
    </row>
    <row r="887">
      <c r="A887" s="85"/>
    </row>
    <row r="888">
      <c r="A888" s="85"/>
    </row>
    <row r="889">
      <c r="A889" s="85"/>
    </row>
    <row r="890">
      <c r="A890" s="85"/>
    </row>
    <row r="891">
      <c r="A891" s="85"/>
    </row>
    <row r="892">
      <c r="A892" s="85"/>
    </row>
    <row r="893">
      <c r="A893" s="85"/>
    </row>
    <row r="894">
      <c r="A894" s="85"/>
    </row>
    <row r="895">
      <c r="A895" s="85"/>
    </row>
    <row r="896">
      <c r="A896" s="85"/>
    </row>
    <row r="897">
      <c r="A897" s="85"/>
    </row>
    <row r="898">
      <c r="A898" s="85"/>
    </row>
    <row r="899">
      <c r="A899" s="85"/>
    </row>
    <row r="900">
      <c r="A900" s="85"/>
    </row>
    <row r="901">
      <c r="A901" s="85"/>
    </row>
    <row r="902">
      <c r="A902" s="85"/>
    </row>
    <row r="903">
      <c r="A903" s="85"/>
    </row>
    <row r="904">
      <c r="A904" s="85"/>
    </row>
    <row r="905">
      <c r="A905" s="85"/>
    </row>
    <row r="906">
      <c r="A906" s="85"/>
    </row>
    <row r="907">
      <c r="A907" s="85"/>
    </row>
    <row r="908">
      <c r="A908" s="85"/>
    </row>
    <row r="909">
      <c r="A909" s="85"/>
    </row>
    <row r="910">
      <c r="A910" s="85"/>
    </row>
    <row r="911">
      <c r="A911" s="85"/>
    </row>
    <row r="912">
      <c r="A912" s="85"/>
    </row>
    <row r="913">
      <c r="A913" s="85"/>
    </row>
    <row r="914">
      <c r="A914" s="85"/>
    </row>
    <row r="915">
      <c r="A915" s="85"/>
    </row>
    <row r="916">
      <c r="A916" s="85"/>
    </row>
    <row r="917">
      <c r="A917" s="85"/>
    </row>
    <row r="918">
      <c r="A918" s="85"/>
    </row>
    <row r="919">
      <c r="A919" s="85"/>
    </row>
    <row r="920">
      <c r="A920" s="85"/>
    </row>
    <row r="921">
      <c r="A921" s="85"/>
    </row>
    <row r="922">
      <c r="A922" s="85"/>
    </row>
    <row r="923">
      <c r="A923" s="85"/>
    </row>
    <row r="924">
      <c r="A924" s="85"/>
    </row>
    <row r="925">
      <c r="A925" s="85"/>
    </row>
    <row r="926">
      <c r="A926" s="85"/>
    </row>
    <row r="927">
      <c r="A927" s="85"/>
    </row>
    <row r="928">
      <c r="A928" s="85"/>
    </row>
    <row r="929">
      <c r="A929" s="85"/>
    </row>
    <row r="930">
      <c r="A930" s="85"/>
    </row>
    <row r="931">
      <c r="A931" s="85"/>
    </row>
    <row r="932">
      <c r="A932" s="85"/>
    </row>
    <row r="933">
      <c r="A933" s="85"/>
    </row>
    <row r="934">
      <c r="A934" s="85"/>
    </row>
    <row r="935">
      <c r="A935" s="85"/>
    </row>
    <row r="936">
      <c r="A936" s="85"/>
    </row>
    <row r="937">
      <c r="A937" s="85"/>
    </row>
    <row r="938">
      <c r="A938" s="85"/>
    </row>
    <row r="939">
      <c r="A939" s="85"/>
    </row>
    <row r="940">
      <c r="A940" s="85"/>
    </row>
    <row r="941">
      <c r="A941" s="85"/>
    </row>
    <row r="942">
      <c r="A942" s="85"/>
    </row>
    <row r="943">
      <c r="A943" s="85"/>
    </row>
    <row r="944">
      <c r="A944" s="85"/>
    </row>
    <row r="945">
      <c r="A945" s="85"/>
    </row>
    <row r="946">
      <c r="A946" s="85"/>
    </row>
    <row r="947">
      <c r="A947" s="85"/>
    </row>
    <row r="948">
      <c r="A948" s="85"/>
    </row>
    <row r="949">
      <c r="A949" s="85"/>
    </row>
    <row r="950">
      <c r="A950" s="85"/>
    </row>
    <row r="951">
      <c r="A951" s="85"/>
    </row>
    <row r="952">
      <c r="A952" s="85"/>
    </row>
    <row r="953">
      <c r="A953" s="85"/>
    </row>
    <row r="954">
      <c r="A954" s="85"/>
    </row>
    <row r="955">
      <c r="A955" s="85"/>
    </row>
    <row r="956">
      <c r="A956" s="85"/>
    </row>
    <row r="957">
      <c r="A957" s="85"/>
    </row>
    <row r="958">
      <c r="A958" s="85"/>
    </row>
    <row r="959">
      <c r="A959" s="85"/>
    </row>
    <row r="960">
      <c r="A960" s="85"/>
    </row>
    <row r="961">
      <c r="A961" s="85"/>
    </row>
    <row r="962">
      <c r="A962" s="85"/>
    </row>
    <row r="963">
      <c r="A963" s="85"/>
    </row>
    <row r="964">
      <c r="A964" s="85"/>
    </row>
    <row r="965">
      <c r="A965" s="85"/>
    </row>
    <row r="966">
      <c r="A966" s="85"/>
    </row>
    <row r="967">
      <c r="A967" s="85"/>
    </row>
    <row r="968">
      <c r="A968" s="85"/>
    </row>
    <row r="969">
      <c r="A969" s="85"/>
    </row>
    <row r="970">
      <c r="A970" s="85"/>
    </row>
    <row r="971">
      <c r="A971" s="85"/>
    </row>
    <row r="972">
      <c r="A972" s="85"/>
    </row>
    <row r="973">
      <c r="A973" s="85"/>
    </row>
    <row r="974">
      <c r="A974" s="85"/>
    </row>
    <row r="975">
      <c r="A975" s="85"/>
    </row>
    <row r="976">
      <c r="A976" s="85"/>
    </row>
    <row r="977">
      <c r="A977" s="85"/>
    </row>
    <row r="978">
      <c r="A978" s="85"/>
    </row>
    <row r="979">
      <c r="A979" s="85"/>
    </row>
    <row r="980">
      <c r="A980" s="85"/>
    </row>
    <row r="981">
      <c r="A981" s="85"/>
    </row>
    <row r="982">
      <c r="A982" s="85"/>
    </row>
    <row r="983">
      <c r="A983" s="85"/>
    </row>
    <row r="984">
      <c r="A984" s="85"/>
    </row>
    <row r="985">
      <c r="A985" s="85"/>
    </row>
    <row r="986">
      <c r="A986" s="85"/>
    </row>
    <row r="987">
      <c r="A987" s="85"/>
    </row>
    <row r="988">
      <c r="A988" s="85"/>
    </row>
    <row r="989">
      <c r="A989" s="85"/>
    </row>
    <row r="990">
      <c r="A990" s="85"/>
    </row>
    <row r="991">
      <c r="A991" s="85"/>
    </row>
    <row r="992">
      <c r="A992" s="85"/>
    </row>
    <row r="993">
      <c r="A993" s="85"/>
    </row>
    <row r="994">
      <c r="A994" s="85"/>
    </row>
    <row r="995">
      <c r="A995" s="85"/>
    </row>
    <row r="996">
      <c r="A996" s="85"/>
    </row>
    <row r="997">
      <c r="A997" s="85"/>
    </row>
    <row r="998">
      <c r="A998" s="85"/>
    </row>
    <row r="999">
      <c r="A999" s="85"/>
    </row>
    <row r="1000">
      <c r="A1000" s="85"/>
    </row>
    <row r="1001">
      <c r="A1001" s="85"/>
    </row>
    <row r="1002">
      <c r="A1002" s="85"/>
    </row>
    <row r="1003">
      <c r="A1003" s="85"/>
    </row>
    <row r="1004">
      <c r="A1004" s="85"/>
    </row>
    <row r="1005">
      <c r="A1005" s="85"/>
    </row>
    <row r="1006">
      <c r="A1006" s="85"/>
    </row>
    <row r="1007">
      <c r="A1007" s="85"/>
    </row>
    <row r="1008">
      <c r="A1008" s="85"/>
    </row>
    <row r="1009">
      <c r="A1009" s="85"/>
    </row>
    <row r="1010">
      <c r="A1010" s="85"/>
    </row>
    <row r="1011">
      <c r="A1011" s="85"/>
    </row>
    <row r="1012">
      <c r="A1012" s="85"/>
    </row>
    <row r="1013">
      <c r="A1013" s="85"/>
    </row>
    <row r="1014">
      <c r="A1014" s="85"/>
    </row>
    <row r="1015">
      <c r="A1015" s="85"/>
    </row>
    <row r="1016">
      <c r="A1016" s="85"/>
    </row>
    <row r="1017">
      <c r="A1017" s="85"/>
    </row>
    <row r="1018">
      <c r="A1018" s="85"/>
    </row>
    <row r="1019">
      <c r="A1019" s="85"/>
    </row>
    <row r="1020">
      <c r="A1020" s="85"/>
    </row>
    <row r="1021">
      <c r="A1021" s="85"/>
    </row>
    <row r="1022">
      <c r="A1022" s="85"/>
    </row>
    <row r="1023">
      <c r="A1023" s="85"/>
    </row>
    <row r="1024">
      <c r="A1024" s="85"/>
    </row>
    <row r="1025">
      <c r="A1025" s="85"/>
    </row>
    <row r="1026">
      <c r="A1026" s="85"/>
    </row>
    <row r="1027">
      <c r="A1027" s="85"/>
    </row>
    <row r="1028">
      <c r="A1028" s="85"/>
    </row>
    <row r="1029">
      <c r="A1029" s="85"/>
    </row>
    <row r="1030">
      <c r="A1030" s="85"/>
    </row>
    <row r="1031">
      <c r="A1031" s="85"/>
    </row>
    <row r="1032">
      <c r="A1032" s="85"/>
    </row>
    <row r="1033">
      <c r="A1033" s="85"/>
    </row>
    <row r="1034">
      <c r="A1034" s="85"/>
    </row>
    <row r="1035">
      <c r="A1035" s="85"/>
    </row>
    <row r="1036">
      <c r="A1036" s="85"/>
    </row>
    <row r="1037">
      <c r="A1037" s="85"/>
    </row>
    <row r="1038">
      <c r="A1038" s="85"/>
    </row>
    <row r="1039">
      <c r="A1039" s="85"/>
    </row>
    <row r="1040">
      <c r="A1040" s="85"/>
    </row>
    <row r="1041">
      <c r="A1041" s="85"/>
    </row>
    <row r="1042">
      <c r="A1042" s="85"/>
    </row>
    <row r="1043">
      <c r="A1043" s="85"/>
    </row>
    <row r="1044">
      <c r="A1044" s="85"/>
    </row>
    <row r="1045">
      <c r="A1045" s="8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>
        <v>17.0</v>
      </c>
      <c r="B1" s="2">
        <v>20.0</v>
      </c>
      <c r="C1" s="2">
        <v>21.0</v>
      </c>
      <c r="D1" s="2">
        <v>18.0</v>
      </c>
      <c r="E1" s="2">
        <v>20.0</v>
      </c>
      <c r="F1" s="2">
        <v>20.0</v>
      </c>
      <c r="G1" s="2">
        <v>20.0</v>
      </c>
      <c r="H1" s="2">
        <v>18.0</v>
      </c>
      <c r="I1" s="2">
        <v>19.0</v>
      </c>
      <c r="J1" s="2">
        <v>20.0</v>
      </c>
      <c r="K1" s="2">
        <v>19.0</v>
      </c>
      <c r="L1" s="2">
        <v>21.0</v>
      </c>
      <c r="M1" s="2">
        <v>20.0</v>
      </c>
      <c r="N1" s="2">
        <v>18.0</v>
      </c>
      <c r="O1" s="2">
        <v>20.0</v>
      </c>
      <c r="P1" s="2">
        <v>20.0</v>
      </c>
      <c r="Q1" s="2">
        <v>19.0</v>
      </c>
      <c r="R1" s="2">
        <v>18.0</v>
      </c>
    </row>
    <row r="2">
      <c r="A2">
        <f t="shared" ref="A2:Z2" si="1">A1^2</f>
        <v>289</v>
      </c>
      <c r="B2">
        <f t="shared" si="1"/>
        <v>400</v>
      </c>
      <c r="C2">
        <f t="shared" si="1"/>
        <v>441</v>
      </c>
      <c r="D2">
        <f t="shared" si="1"/>
        <v>324</v>
      </c>
      <c r="E2">
        <f t="shared" si="1"/>
        <v>400</v>
      </c>
      <c r="F2">
        <f t="shared" si="1"/>
        <v>400</v>
      </c>
      <c r="G2">
        <f t="shared" si="1"/>
        <v>400</v>
      </c>
      <c r="H2">
        <f t="shared" si="1"/>
        <v>324</v>
      </c>
      <c r="I2">
        <f t="shared" si="1"/>
        <v>361</v>
      </c>
      <c r="J2">
        <f t="shared" si="1"/>
        <v>400</v>
      </c>
      <c r="K2">
        <f t="shared" si="1"/>
        <v>361</v>
      </c>
      <c r="L2">
        <f t="shared" si="1"/>
        <v>441</v>
      </c>
      <c r="M2">
        <f t="shared" si="1"/>
        <v>400</v>
      </c>
      <c r="N2">
        <f t="shared" si="1"/>
        <v>324</v>
      </c>
      <c r="O2">
        <f t="shared" si="1"/>
        <v>400</v>
      </c>
      <c r="P2">
        <f t="shared" si="1"/>
        <v>400</v>
      </c>
      <c r="Q2">
        <f t="shared" si="1"/>
        <v>361</v>
      </c>
      <c r="R2">
        <f t="shared" si="1"/>
        <v>324</v>
      </c>
      <c r="S2">
        <f t="shared" si="1"/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>
        <f t="shared" si="1"/>
        <v>0</v>
      </c>
    </row>
    <row r="3">
      <c r="A3" s="2">
        <f t="shared" ref="A3:Z3" si="2">if(A1=0,0,1)</f>
        <v>1</v>
      </c>
      <c r="B3" s="2">
        <f t="shared" si="2"/>
        <v>1</v>
      </c>
      <c r="C3" s="2">
        <f t="shared" si="2"/>
        <v>1</v>
      </c>
      <c r="D3" s="2">
        <f t="shared" si="2"/>
        <v>1</v>
      </c>
      <c r="E3" s="2">
        <f t="shared" si="2"/>
        <v>1</v>
      </c>
      <c r="F3" s="2">
        <f t="shared" si="2"/>
        <v>1</v>
      </c>
      <c r="G3" s="2">
        <f t="shared" si="2"/>
        <v>1</v>
      </c>
      <c r="H3" s="2">
        <f t="shared" si="2"/>
        <v>1</v>
      </c>
      <c r="I3" s="2">
        <f t="shared" si="2"/>
        <v>1</v>
      </c>
      <c r="J3" s="2">
        <f t="shared" si="2"/>
        <v>1</v>
      </c>
      <c r="K3" s="2">
        <f t="shared" si="2"/>
        <v>1</v>
      </c>
      <c r="L3" s="2">
        <f t="shared" si="2"/>
        <v>1</v>
      </c>
      <c r="M3" s="2">
        <f t="shared" si="2"/>
        <v>1</v>
      </c>
      <c r="N3" s="2">
        <f t="shared" si="2"/>
        <v>1</v>
      </c>
      <c r="O3" s="2">
        <f t="shared" si="2"/>
        <v>1</v>
      </c>
      <c r="P3" s="2">
        <f t="shared" si="2"/>
        <v>1</v>
      </c>
      <c r="Q3" s="2">
        <f t="shared" si="2"/>
        <v>1</v>
      </c>
      <c r="R3" s="2">
        <f t="shared" si="2"/>
        <v>1</v>
      </c>
      <c r="S3" s="2">
        <f t="shared" si="2"/>
        <v>0</v>
      </c>
      <c r="T3" s="2">
        <f t="shared" si="2"/>
        <v>0</v>
      </c>
      <c r="U3" s="2">
        <f t="shared" si="2"/>
        <v>0</v>
      </c>
      <c r="V3" s="2">
        <f t="shared" si="2"/>
        <v>0</v>
      </c>
      <c r="W3" s="2">
        <f t="shared" si="2"/>
        <v>0</v>
      </c>
      <c r="X3" s="2">
        <f t="shared" si="2"/>
        <v>0</v>
      </c>
      <c r="Y3" s="2">
        <f t="shared" si="2"/>
        <v>0</v>
      </c>
      <c r="Z3" s="2">
        <f t="shared" si="2"/>
        <v>0</v>
      </c>
    </row>
    <row r="6">
      <c r="A6" s="88">
        <f>MIN(A1:Z1)</f>
        <v>17</v>
      </c>
      <c r="B6" s="2" t="s">
        <v>14</v>
      </c>
    </row>
    <row r="7">
      <c r="A7">
        <f>MAX(A1:Z1)</f>
        <v>21</v>
      </c>
      <c r="B7" s="2" t="s">
        <v>15</v>
      </c>
    </row>
    <row r="8">
      <c r="A8">
        <f>A9/A11</f>
        <v>19.33333333</v>
      </c>
      <c r="B8" s="2" t="s">
        <v>174</v>
      </c>
    </row>
    <row r="9">
      <c r="A9">
        <f t="shared" ref="A9:A11" si="3">sum(A1:Z1)</f>
        <v>348</v>
      </c>
      <c r="B9" s="2" t="s">
        <v>175</v>
      </c>
      <c r="C9">
        <f>A9^2</f>
        <v>121104</v>
      </c>
    </row>
    <row r="10">
      <c r="A10">
        <f t="shared" si="3"/>
        <v>6750</v>
      </c>
      <c r="B10" s="2" t="s">
        <v>176</v>
      </c>
      <c r="C10">
        <f>A10*A11</f>
        <v>121500</v>
      </c>
      <c r="D10">
        <f>C10-C9</f>
        <v>396</v>
      </c>
    </row>
    <row r="11">
      <c r="A11">
        <f t="shared" si="3"/>
        <v>18</v>
      </c>
      <c r="B11" s="2" t="s">
        <v>177</v>
      </c>
    </row>
    <row r="12">
      <c r="A12">
        <f>1/(A11*(A11-1))*(A11*A10-A9^2)</f>
        <v>1.294117647</v>
      </c>
      <c r="B12" s="2" t="s">
        <v>178</v>
      </c>
      <c r="C12" s="2" t="s">
        <v>179</v>
      </c>
    </row>
    <row r="13">
      <c r="A13">
        <f>sqrt(A12)</f>
        <v>1.137592918</v>
      </c>
      <c r="B13" s="2" t="s">
        <v>180</v>
      </c>
      <c r="C13" s="2" t="s">
        <v>181</v>
      </c>
    </row>
    <row r="14">
      <c r="A14" s="28">
        <f>A13/(A9/A11)</f>
        <v>0.058841013</v>
      </c>
      <c r="B14" s="2" t="s">
        <v>182</v>
      </c>
    </row>
    <row r="16">
      <c r="D16">
        <f>87/12</f>
        <v>7.25</v>
      </c>
    </row>
    <row r="17">
      <c r="A17" s="2">
        <v>31000.0</v>
      </c>
      <c r="B17" s="2" t="s">
        <v>174</v>
      </c>
    </row>
    <row r="18">
      <c r="A18" s="2">
        <v>4000.0</v>
      </c>
      <c r="B18" s="2" t="s">
        <v>181</v>
      </c>
    </row>
    <row r="19">
      <c r="A19">
        <f>A18^2</f>
        <v>16000000</v>
      </c>
      <c r="B19" s="2" t="s">
        <v>183</v>
      </c>
      <c r="D19">
        <f>120+105+250+460+420+190</f>
        <v>1545</v>
      </c>
    </row>
    <row r="20">
      <c r="A20" s="28">
        <f>A18/A17</f>
        <v>0.1290322581</v>
      </c>
      <c r="B20" s="2" t="s">
        <v>182</v>
      </c>
      <c r="D20">
        <f>D19/30</f>
        <v>51.5</v>
      </c>
    </row>
    <row r="21">
      <c r="D21">
        <f>0.3*10000+0.5*3000+0.2*1000</f>
        <v>4700</v>
      </c>
    </row>
    <row r="22">
      <c r="D22">
        <f>24+6+30</f>
        <v>60</v>
      </c>
    </row>
    <row r="23">
      <c r="D23">
        <f>D22/10</f>
        <v>6</v>
      </c>
    </row>
    <row r="27">
      <c r="A27" s="2" t="s">
        <v>184</v>
      </c>
      <c r="B27" s="2">
        <v>26.0</v>
      </c>
      <c r="C27" s="2">
        <v>45.0</v>
      </c>
      <c r="D27" s="2">
        <v>54.0</v>
      </c>
      <c r="E27" s="2">
        <v>49.0</v>
      </c>
      <c r="F27" s="2">
        <v>41.0</v>
      </c>
      <c r="G27" s="2">
        <v>49.0</v>
      </c>
      <c r="H27" s="2">
        <v>44.0</v>
      </c>
      <c r="I27" s="2">
        <v>19.0</v>
      </c>
    </row>
    <row r="28">
      <c r="A28" s="2" t="s">
        <v>185</v>
      </c>
      <c r="B28" s="2">
        <v>90.0</v>
      </c>
      <c r="C28" s="2">
        <v>344.0</v>
      </c>
      <c r="D28" s="2">
        <v>416.0</v>
      </c>
      <c r="E28" s="2">
        <v>348.0</v>
      </c>
      <c r="F28" s="2">
        <v>262.0</v>
      </c>
      <c r="G28" s="2">
        <v>360.0</v>
      </c>
      <c r="H28" s="2">
        <v>332.0</v>
      </c>
      <c r="I28" s="2">
        <v>34.0</v>
      </c>
    </row>
    <row r="29">
      <c r="A29" s="2" t="s">
        <v>176</v>
      </c>
      <c r="B29">
        <f t="shared" ref="B29:I29" si="4">B27^2</f>
        <v>676</v>
      </c>
      <c r="C29">
        <f t="shared" si="4"/>
        <v>2025</v>
      </c>
      <c r="D29">
        <f t="shared" si="4"/>
        <v>2916</v>
      </c>
      <c r="E29">
        <f t="shared" si="4"/>
        <v>2401</v>
      </c>
      <c r="F29">
        <f t="shared" si="4"/>
        <v>1681</v>
      </c>
      <c r="G29">
        <f t="shared" si="4"/>
        <v>2401</v>
      </c>
      <c r="H29">
        <f t="shared" si="4"/>
        <v>1936</v>
      </c>
      <c r="I29">
        <f t="shared" si="4"/>
        <v>361</v>
      </c>
    </row>
    <row r="30">
      <c r="A30" s="2" t="s">
        <v>186</v>
      </c>
      <c r="B30">
        <f t="shared" ref="B30:I30" si="5">B28^2</f>
        <v>8100</v>
      </c>
      <c r="C30">
        <f t="shared" si="5"/>
        <v>118336</v>
      </c>
      <c r="D30">
        <f t="shared" si="5"/>
        <v>173056</v>
      </c>
      <c r="E30">
        <f t="shared" si="5"/>
        <v>121104</v>
      </c>
      <c r="F30">
        <f t="shared" si="5"/>
        <v>68644</v>
      </c>
      <c r="G30">
        <f t="shared" si="5"/>
        <v>129600</v>
      </c>
      <c r="H30">
        <f t="shared" si="5"/>
        <v>110224</v>
      </c>
      <c r="I30">
        <f t="shared" si="5"/>
        <v>1156</v>
      </c>
    </row>
    <row r="31">
      <c r="A31" s="2" t="s">
        <v>187</v>
      </c>
      <c r="B31">
        <f t="shared" ref="B31:I31" si="6">B27*B28</f>
        <v>2340</v>
      </c>
      <c r="C31">
        <f t="shared" si="6"/>
        <v>15480</v>
      </c>
      <c r="D31">
        <f t="shared" si="6"/>
        <v>22464</v>
      </c>
      <c r="E31">
        <f t="shared" si="6"/>
        <v>17052</v>
      </c>
      <c r="F31">
        <f t="shared" si="6"/>
        <v>10742</v>
      </c>
      <c r="G31">
        <f t="shared" si="6"/>
        <v>17640</v>
      </c>
      <c r="H31">
        <f t="shared" si="6"/>
        <v>14608</v>
      </c>
      <c r="I31">
        <f t="shared" si="6"/>
        <v>646</v>
      </c>
    </row>
    <row r="32">
      <c r="A32" s="2" t="s">
        <v>177</v>
      </c>
      <c r="B32" s="2">
        <v>8.0</v>
      </c>
    </row>
    <row r="33">
      <c r="A33" s="2" t="s">
        <v>175</v>
      </c>
      <c r="B33">
        <f t="shared" ref="B33:B37" si="7">sum(B27:I27)</f>
        <v>327</v>
      </c>
    </row>
    <row r="34">
      <c r="A34" s="2" t="s">
        <v>188</v>
      </c>
      <c r="B34">
        <f t="shared" si="7"/>
        <v>2186</v>
      </c>
    </row>
    <row r="35">
      <c r="A35" s="2" t="s">
        <v>176</v>
      </c>
      <c r="B35">
        <f t="shared" si="7"/>
        <v>14397</v>
      </c>
    </row>
    <row r="36">
      <c r="A36" s="2" t="s">
        <v>186</v>
      </c>
      <c r="B36">
        <f t="shared" si="7"/>
        <v>730220</v>
      </c>
    </row>
    <row r="37">
      <c r="A37" s="2" t="s">
        <v>187</v>
      </c>
      <c r="B37">
        <f t="shared" si="7"/>
        <v>100972</v>
      </c>
    </row>
    <row r="38">
      <c r="A38" s="2" t="s">
        <v>189</v>
      </c>
      <c r="B38">
        <f>(((B32*B35-B33^2)*(B32*B36-B34^2))^(-0.5))*(B32*B37-B33*B34)</f>
        <v>0.9927044177</v>
      </c>
    </row>
    <row r="39">
      <c r="A39" s="2"/>
    </row>
    <row r="40">
      <c r="A40" s="2">
        <v>10.0</v>
      </c>
    </row>
    <row r="41">
      <c r="A41" s="2">
        <v>18.0</v>
      </c>
    </row>
    <row r="42">
      <c r="A42" s="2">
        <v>26.0</v>
      </c>
    </row>
    <row r="43">
      <c r="A43" s="2">
        <v>33.0</v>
      </c>
    </row>
    <row r="44">
      <c r="A44" s="2">
        <v>62.0</v>
      </c>
    </row>
    <row r="45">
      <c r="A45" s="2">
        <v>123.0</v>
      </c>
    </row>
    <row r="46">
      <c r="A46" s="2">
        <v>123.0</v>
      </c>
    </row>
    <row r="47">
      <c r="A47" s="2">
        <v>132.0</v>
      </c>
    </row>
    <row r="48">
      <c r="A48" s="2">
        <v>133.0</v>
      </c>
    </row>
    <row r="49">
      <c r="A49" s="2">
        <v>138.0</v>
      </c>
    </row>
    <row r="50">
      <c r="A50" s="2">
        <v>150.0</v>
      </c>
    </row>
    <row r="51">
      <c r="A51" s="2">
        <v>316.0</v>
      </c>
    </row>
    <row r="56">
      <c r="B56">
        <f>median(A40:A51)</f>
        <v>123</v>
      </c>
      <c r="C56" s="2"/>
      <c r="D56" s="2"/>
      <c r="E56" s="2"/>
      <c r="F56" s="2"/>
      <c r="G56" s="2"/>
      <c r="H56" s="2"/>
      <c r="I56" s="2"/>
      <c r="J56" s="2"/>
    </row>
    <row r="59">
      <c r="B59" s="2"/>
    </row>
    <row r="60">
      <c r="C60">
        <f t="shared" ref="C60:C63" si="8">B60-B59</f>
        <v>0</v>
      </c>
    </row>
    <row r="61">
      <c r="B61" s="2"/>
      <c r="C61">
        <f t="shared" si="8"/>
        <v>0</v>
      </c>
    </row>
    <row r="62">
      <c r="B62" s="2"/>
      <c r="C62">
        <f t="shared" si="8"/>
        <v>0</v>
      </c>
    </row>
    <row r="63">
      <c r="B63" s="2"/>
      <c r="C63">
        <f t="shared" si="8"/>
        <v>0</v>
      </c>
    </row>
    <row r="65">
      <c r="B65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</sheetData>
  <drawing r:id="rId1"/>
</worksheet>
</file>