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TEMPLATE" sheetId="2" r:id="rId4"/>
    <sheet state="visible" name="TEMPLATE BREAKDOWN" sheetId="3" r:id="rId5"/>
    <sheet state="visible" name="Ass_Statlog" sheetId="4" r:id="rId6"/>
    <sheet state="visible" name="Dirge" sheetId="5" r:id="rId7"/>
    <sheet state="visible" name="Illy" sheetId="6" r:id="rId8"/>
    <sheet state="visible" name="Warden" sheetId="7" r:id="rId9"/>
    <sheet state="visible" name="Channeler" sheetId="8" r:id="rId10"/>
    <sheet state="visible" name="Berserker" sheetId="9" r:id="rId11"/>
    <sheet state="visible" name="AssParse" sheetId="10" r:id="rId12"/>
    <sheet state="visible" name="DirgeParse" sheetId="11" r:id="rId13"/>
    <sheet state="visible" name="IllyParse" sheetId="12" r:id="rId14"/>
    <sheet state="visible" name="WardenParse" sheetId="13" r:id="rId15"/>
    <sheet state="visible" name="ChannelerParse" sheetId="14" r:id="rId16"/>
    <sheet state="visible" name="BerserkerParse" sheetId="15" r:id="rId17"/>
    <sheet state="visible" name="Total Damage" sheetId="16" r:id="rId18"/>
  </sheets>
  <definedNames>
    <definedName hidden="1" localSheetId="15" name="_xlnm._FilterDatabase">'Total Damage'!$A$1:$N$198</definedName>
  </definedNames>
  <calcPr/>
</workbook>
</file>

<file path=xl/sharedStrings.xml><?xml version="1.0" encoding="utf-8"?>
<sst xmlns="http://schemas.openxmlformats.org/spreadsheetml/2006/main" count="2783" uniqueCount="832">
  <si>
    <t>INCLUDING MULTIPLIERS</t>
  </si>
  <si>
    <t>Stat</t>
  </si>
  <si>
    <t>Ass</t>
  </si>
  <si>
    <t>Dirge</t>
  </si>
  <si>
    <t>Illy</t>
  </si>
  <si>
    <t>Warden</t>
  </si>
  <si>
    <t>Mystic</t>
  </si>
  <si>
    <t>Berserker</t>
  </si>
  <si>
    <t>SUM</t>
  </si>
  <si>
    <t>SUM(no mult)</t>
  </si>
  <si>
    <t>Avg Mult</t>
  </si>
  <si>
    <t>CB</t>
  </si>
  <si>
    <t>Pot</t>
  </si>
  <si>
    <t>WDB</t>
  </si>
  <si>
    <t>MainStat</t>
  </si>
  <si>
    <t>MainStatMulti</t>
  </si>
  <si>
    <t>Dark Rites</t>
  </si>
  <si>
    <t>Bolster</t>
  </si>
  <si>
    <t>CB_Prestige</t>
  </si>
  <si>
    <t>Pot_Prestige</t>
  </si>
  <si>
    <t>Halter-Ankh</t>
  </si>
  <si>
    <t>Halter</t>
  </si>
  <si>
    <t>Average Stats</t>
  </si>
  <si>
    <t>Cb</t>
  </si>
  <si>
    <t>Wdb</t>
  </si>
  <si>
    <t>Dps</t>
  </si>
  <si>
    <t>Flurry</t>
  </si>
  <si>
    <t>SDA%</t>
  </si>
  <si>
    <t>Crit%</t>
  </si>
  <si>
    <t>Gain</t>
  </si>
  <si>
    <t>Loss</t>
  </si>
  <si>
    <t>Great Waters</t>
  </si>
  <si>
    <t>FlurryDPS/%</t>
  </si>
  <si>
    <t>Xiocite x2(Dirge)</t>
  </si>
  <si>
    <t>Sda DPS/%</t>
  </si>
  <si>
    <t>Dual Spec DPS</t>
  </si>
  <si>
    <t>Autoattack</t>
  </si>
  <si>
    <t>Agi</t>
  </si>
  <si>
    <t>Sta</t>
  </si>
  <si>
    <t xml:space="preserve">Name  </t>
  </si>
  <si>
    <t>FlurryDPS</t>
  </si>
  <si>
    <t>MultiDPS</t>
  </si>
  <si>
    <t>FromAuto</t>
  </si>
  <si>
    <t>SDA_DPS</t>
  </si>
  <si>
    <t>Crit</t>
  </si>
  <si>
    <t>Yokujin</t>
  </si>
  <si>
    <t>Dapinu</t>
  </si>
  <si>
    <t>Kinhin</t>
  </si>
  <si>
    <t>Simutu</t>
  </si>
  <si>
    <t>Protection</t>
  </si>
  <si>
    <t>Block%</t>
  </si>
  <si>
    <t>Uncontested Block</t>
  </si>
  <si>
    <t>Prot * +% block</t>
  </si>
  <si>
    <t>Block/Total Prot</t>
  </si>
  <si>
    <t>Trakanom</t>
  </si>
  <si>
    <t>Practiced</t>
  </si>
  <si>
    <t>Total DPS</t>
  </si>
  <si>
    <t>Trianguli</t>
  </si>
  <si>
    <t>Aim II</t>
  </si>
  <si>
    <t>Tactics III</t>
  </si>
  <si>
    <t>DPS without Utility Characters</t>
  </si>
  <si>
    <t>Swings III</t>
  </si>
  <si>
    <t>Valkyrie Assassin</t>
  </si>
  <si>
    <t>Normal</t>
  </si>
  <si>
    <t>Minus Dirge</t>
  </si>
  <si>
    <t>No Illy</t>
  </si>
  <si>
    <t>Combination</t>
  </si>
  <si>
    <t>Finisher III Losses</t>
  </si>
  <si>
    <t># of Finishers</t>
  </si>
  <si>
    <t>Potency</t>
  </si>
  <si>
    <t>Allied III</t>
  </si>
  <si>
    <t xml:space="preserve">                            </t>
  </si>
  <si>
    <t>No Dirge</t>
  </si>
  <si>
    <t xml:space="preserve">Yokujin  </t>
  </si>
  <si>
    <t xml:space="preserve">Trianguli  </t>
  </si>
  <si>
    <t xml:space="preserve">Trakanom  </t>
  </si>
  <si>
    <t xml:space="preserve">Dapinu  </t>
  </si>
  <si>
    <t xml:space="preserve">Kinhin  </t>
  </si>
  <si>
    <t xml:space="preserve">Simutu  </t>
  </si>
  <si>
    <t>Totals(-Chardps)</t>
  </si>
  <si>
    <t>Difference</t>
  </si>
  <si>
    <t>PRE-CHANGES</t>
  </si>
  <si>
    <t>Finisher IV</t>
  </si>
  <si>
    <t>No swaps</t>
  </si>
  <si>
    <t>Post swap&gt;50%</t>
  </si>
  <si>
    <t>Post swap&lt;50%</t>
  </si>
  <si>
    <t>Post swap&lt;30%</t>
  </si>
  <si>
    <t>Finisher III+IV</t>
  </si>
  <si>
    <t>Finisher III(x2)</t>
  </si>
  <si>
    <t>Damage</t>
  </si>
  <si>
    <t>% Increase</t>
  </si>
  <si>
    <t>Pre swap</t>
  </si>
  <si>
    <t>Finisher III(x1)</t>
  </si>
  <si>
    <t>POST-CHANGES</t>
  </si>
  <si>
    <t>Finisher III(x3)</t>
  </si>
  <si>
    <t>x1 Finisher</t>
  </si>
  <si>
    <t>&gt;50</t>
  </si>
  <si>
    <t>&lt;50</t>
  </si>
  <si>
    <t>&lt;30</t>
  </si>
  <si>
    <t>x2 Finisher</t>
  </si>
  <si>
    <t>Eth&lt;30%</t>
  </si>
  <si>
    <t>Control</t>
  </si>
  <si>
    <t>x3 Finisher</t>
  </si>
  <si>
    <t>Groups</t>
  </si>
  <si>
    <t>Pets Per Group</t>
  </si>
  <si>
    <t>Damage/25%</t>
  </si>
  <si>
    <t>Debuff Multi</t>
  </si>
  <si>
    <t>Damage per 25% per click</t>
  </si>
  <si>
    <t>Bell Tolls V</t>
  </si>
  <si>
    <t>Ankh</t>
  </si>
  <si>
    <t>Channeler</t>
  </si>
  <si>
    <t>Average</t>
  </si>
  <si>
    <t>Minimum</t>
  </si>
  <si>
    <t>Median</t>
  </si>
  <si>
    <t>Maximum</t>
  </si>
  <si>
    <t>Paste here</t>
  </si>
  <si>
    <t>Assassin</t>
  </si>
  <si>
    <t>Agility</t>
  </si>
  <si>
    <t>Base Cb Multi</t>
  </si>
  <si>
    <t>with EV</t>
  </si>
  <si>
    <t>Summary</t>
  </si>
  <si>
    <t>agi</t>
  </si>
  <si>
    <t>SwingType Legend</t>
  </si>
  <si>
    <t>ΔDPS/ΔStat</t>
  </si>
  <si>
    <t>1=Auto</t>
  </si>
  <si>
    <t>2=CA</t>
  </si>
  <si>
    <t>3=Critting Gprocs</t>
  </si>
  <si>
    <t>4=Noncrit procs</t>
  </si>
  <si>
    <t>Agi with EV</t>
  </si>
  <si>
    <t>Paste HTML copy here</t>
  </si>
  <si>
    <t>Change in Damage per Stat</t>
  </si>
  <si>
    <t>Type</t>
  </si>
  <si>
    <t>EncDPS</t>
  </si>
  <si>
    <t>MinHit</t>
  </si>
  <si>
    <t>MaxHit</t>
  </si>
  <si>
    <t>Hits</t>
  </si>
  <si>
    <t>Swings</t>
  </si>
  <si>
    <t>ToHit</t>
  </si>
  <si>
    <t>AvgDelay</t>
  </si>
  <si>
    <t>CritTypes</t>
  </si>
  <si>
    <t>Resist</t>
  </si>
  <si>
    <t>SwingType</t>
  </si>
  <si>
    <t>ΔCB</t>
  </si>
  <si>
    <t>ΔPot</t>
  </si>
  <si>
    <t>ΔWdb</t>
  </si>
  <si>
    <t>ΔAgi</t>
  </si>
  <si>
    <t>All</t>
  </si>
  <si>
    <t>12.6%L - 2.7%F - 0.3%M</t>
  </si>
  <si>
    <t>Hemotoxin</t>
  </si>
  <si>
    <t>-</t>
  </si>
  <si>
    <t>poison</t>
  </si>
  <si>
    <t>13.0%L - 2.6%F - 0.3%M</t>
  </si>
  <si>
    <t>burn</t>
  </si>
  <si>
    <t>12.4%L - 3.3%F - 0.8%M</t>
  </si>
  <si>
    <t>heat</t>
  </si>
  <si>
    <t>shadow's mirror image</t>
  </si>
  <si>
    <t>piercing</t>
  </si>
  <si>
    <t>Dagger Storm</t>
  </si>
  <si>
    <t>12.3%L - 1.8%F - 0.4%M</t>
  </si>
  <si>
    <t>Fatal Followup</t>
  </si>
  <si>
    <t>0.0%L - 7.1%F - 7.1%M</t>
  </si>
  <si>
    <t>Exploit Weakness</t>
  </si>
  <si>
    <t>18.4%L - 0.0%F - 0.0%M</t>
  </si>
  <si>
    <t>Caustic Weaponry</t>
  </si>
  <si>
    <t>12.5%L - 1.0%F - 0.0%M</t>
  </si>
  <si>
    <t>Ambush</t>
  </si>
  <si>
    <t>10.2%L - 5.1%F - 0.8%M</t>
  </si>
  <si>
    <t>Castle Highhold: Insider Treachery [Event Heroic] - [1] 1:10:00 PM | Valkyrie Assassin - [10:10] (8/31/2015) 2:03:17 PM | Simutu | Outgoing Damage</t>
  </si>
  <si>
    <t>14.6%L - 3.6%F - 0.9%M</t>
  </si>
  <si>
    <t>13.7%L - 3.3%F - 1.2%M</t>
  </si>
  <si>
    <t>freeze</t>
  </si>
  <si>
    <t>14.6%L - 4.0%F - 1.2%M</t>
  </si>
  <si>
    <t>cold</t>
  </si>
  <si>
    <t>13.6%L - 4.3%F - 0.5%M</t>
  </si>
  <si>
    <t>Assassin's Hemotoxin</t>
  </si>
  <si>
    <t>14.0%L - 4.1%F - 1.8%M</t>
  </si>
  <si>
    <t>Primal Instincts</t>
  </si>
  <si>
    <t>15.2%L - 5.4%F - 0.0%M</t>
  </si>
  <si>
    <t>Scream of Death</t>
  </si>
  <si>
    <t>17.4%L - 3.6%F - 0.3%M</t>
  </si>
  <si>
    <t>Peace of Mind</t>
  </si>
  <si>
    <t>16.2%L - 2.7%F - 1.1%M</t>
  </si>
  <si>
    <t>mental</t>
  </si>
  <si>
    <t>Evade</t>
  </si>
  <si>
    <t>18.2%L - 3.6%F - 0.0%M</t>
  </si>
  <si>
    <t>Lamentation</t>
  </si>
  <si>
    <t>13.4%L - 8.7%F - 0.7%M</t>
  </si>
  <si>
    <t>disease</t>
  </si>
  <si>
    <t>Stampede</t>
  </si>
  <si>
    <t>15.4%L - 4.6%F - 1.5%M</t>
  </si>
  <si>
    <t>crushing</t>
  </si>
  <si>
    <t>Grand Finale</t>
  </si>
  <si>
    <t>13.3%L - 0.0%F - 0.0%M</t>
  </si>
  <si>
    <t>magic</t>
  </si>
  <si>
    <t>Echoing Howl</t>
  </si>
  <si>
    <t>13.7%L - 2.0%F - 0.0%M</t>
  </si>
  <si>
    <t>Dynamism</t>
  </si>
  <si>
    <t>16.5%L - 3.3%F - 0.0%M</t>
  </si>
  <si>
    <t>Darksong Spin</t>
  </si>
  <si>
    <t>19.0%L - 3.4%F - 0.0%M</t>
  </si>
  <si>
    <t>Daro's Dull Blade</t>
  </si>
  <si>
    <t>15.6%L - 3.1%F - 0.0%M</t>
  </si>
  <si>
    <t>Field Commander's Charge</t>
  </si>
  <si>
    <t>17.3%L - 1.5%F - 0.8%M</t>
  </si>
  <si>
    <t>Resonation</t>
  </si>
  <si>
    <t>10.4%L - 6.3%F - 0.0%M</t>
  </si>
  <si>
    <t>Intoxicating Notes</t>
  </si>
  <si>
    <t>14.7%L - 4.4%F - 0.0%M</t>
  </si>
  <si>
    <t>Windblade</t>
  </si>
  <si>
    <t>12.1%L - 1.5%F - 1.5%M</t>
  </si>
  <si>
    <t>slashing</t>
  </si>
  <si>
    <t>Luda's Nefarious Wail</t>
  </si>
  <si>
    <t>33.3%L - 0.0%F - 0.0%M</t>
  </si>
  <si>
    <t>Evasive Maneuvers</t>
  </si>
  <si>
    <t>14.3%L - 0.0%F - 0.0%M</t>
  </si>
  <si>
    <t>Strike of Tears</t>
  </si>
  <si>
    <t>Turnstrike</t>
  </si>
  <si>
    <t>15.8%L - 0.0%F - 0.0%M</t>
  </si>
  <si>
    <t>Spiritblade</t>
  </si>
  <si>
    <t>8.7%L - 0.0%F - 0.0%M</t>
  </si>
  <si>
    <t>Bump</t>
  </si>
  <si>
    <t>19.0%L - 0.0%F - 4.8%M</t>
  </si>
  <si>
    <t>Misfortune's Kiss</t>
  </si>
  <si>
    <t>NaN</t>
  </si>
  <si>
    <t>100.0%L - 0.0%F - 0.0%M</t>
  </si>
  <si>
    <t>Wail of the Banshee</t>
  </si>
  <si>
    <t>0.0%L - 0.0%F - 0.0%M</t>
  </si>
  <si>
    <t>Banshee's Scream</t>
  </si>
  <si>
    <t>Victorious Concerto</t>
  </si>
  <si>
    <t>Clara's Chaos</t>
  </si>
  <si>
    <t>14.3%L - 4.2%F - 1.0%M</t>
  </si>
  <si>
    <t>Blade Chime</t>
  </si>
  <si>
    <t>14.8%L - 4.5%F - 0.6%M</t>
  </si>
  <si>
    <t>Zander's Chorus</t>
  </si>
  <si>
    <t>13.6%L - 2.3%F - 0.0%M</t>
  </si>
  <si>
    <t>Crypt's Revenge</t>
  </si>
  <si>
    <t>13.2%L - 4.5%F - 0.7%M</t>
  </si>
  <si>
    <t>16.3%L - 4.0%F - 0.7%M</t>
  </si>
  <si>
    <t>16.4%L - 4.8%F - 0.5%M</t>
  </si>
  <si>
    <t>Castle Highhold: Insider Treachery [Event Heroic] - [1] 1:10:00 PM | Valkyrie Assassin - [10:10] (8/31/2015) 2:03:17 PM | Valkyrie Assassin | Incoming Damage</t>
  </si>
  <si>
    <t>15.5%L - 4.7%F - 1.1%M</t>
  </si>
  <si>
    <t>15.5%L - 4.2%F - 1.1%M</t>
  </si>
  <si>
    <t>15.4%L - 4.0%F - 1.2%M</t>
  </si>
  <si>
    <t>slash</t>
  </si>
  <si>
    <t>16.0%L - 5.4%F - 1.2%M</t>
  </si>
  <si>
    <t>smite</t>
  </si>
  <si>
    <t>16.9%L - 5.9%F - 0.9%M</t>
  </si>
  <si>
    <t>divine</t>
  </si>
  <si>
    <t>Temporal Mimicry</t>
  </si>
  <si>
    <t>13.7%L - 4.7%F - 1.0%M</t>
  </si>
  <si>
    <t>pierce</t>
  </si>
  <si>
    <t>16.2%L - 5.0%F - 0.8%M</t>
  </si>
  <si>
    <t>Assassinate</t>
  </si>
  <si>
    <t>26.7%L - 0.0%F - 0.0%M</t>
  </si>
  <si>
    <t>16.7%L - 16.7%F - 0.0%M</t>
  </si>
  <si>
    <t>15.3%L - 3.7%F - 2.0%M</t>
  </si>
  <si>
    <t>18.9%L - 5.2%F - 1.5%M</t>
  </si>
  <si>
    <t>Leach</t>
  </si>
  <si>
    <t>crush</t>
  </si>
  <si>
    <t>16.7%L - 6.4%F - 2.2%M</t>
  </si>
  <si>
    <t>9.1%L - 11.4%F - 4.5%M</t>
  </si>
  <si>
    <t>15.4%L - 4.7%F - 1.3%M</t>
  </si>
  <si>
    <t>Acidmist</t>
  </si>
  <si>
    <t>19.3%L - 7.9%F - 0.7%M</t>
  </si>
  <si>
    <t>Theorems</t>
  </si>
  <si>
    <t>11.7%L - 5.3%F - 0.4%M</t>
  </si>
  <si>
    <t>18.7%L - 6.0%F - 0.7%M</t>
  </si>
  <si>
    <t>Psychic Trauma</t>
  </si>
  <si>
    <t>16.2%L - 3.5%F - 1.7%M</t>
  </si>
  <si>
    <t>14.0%L - 6.1%F - 1.8%M</t>
  </si>
  <si>
    <t>Nightblade</t>
  </si>
  <si>
    <t>16.5%L - 2.5%F - 0.0%M</t>
  </si>
  <si>
    <t>Dawnstrike</t>
  </si>
  <si>
    <t>18.2%L - 6.4%F - 0.0%M</t>
  </si>
  <si>
    <t>16.3%L - 4.0%F - 1.3%M</t>
  </si>
  <si>
    <t>Bloodsoaked Frenzy</t>
  </si>
  <si>
    <t>18.5%L - 4.3%F - 1.9%M</t>
  </si>
  <si>
    <t>Blinding Shock</t>
  </si>
  <si>
    <t>9.8%L - 2.4%F - 0.0%M</t>
  </si>
  <si>
    <t>Unda Arcanus Spiritus</t>
  </si>
  <si>
    <t>8.6%L - 2.9%F - 0.0%M</t>
  </si>
  <si>
    <t>Phantasmal Shock</t>
  </si>
  <si>
    <t>17.0%L - 3.9%F - 1.3%M</t>
  </si>
  <si>
    <t>Shadow Step</t>
  </si>
  <si>
    <t>26.3%L - 10.5%F - 0.0%M</t>
  </si>
  <si>
    <t>Prismatic Shock</t>
  </si>
  <si>
    <t>8.3%L - 4.6%F - 2.5%M</t>
  </si>
  <si>
    <t>Icefall Strike</t>
  </si>
  <si>
    <t>15.8%L - 3.0%F - 0.5%M</t>
  </si>
  <si>
    <t>Eviscerate</t>
  </si>
  <si>
    <t>30.0%L - 2.5%F - 0.0%M</t>
  </si>
  <si>
    <t>Mock</t>
  </si>
  <si>
    <t>14.3%L - 4.3%F - 1.9%M</t>
  </si>
  <si>
    <t>Acid Blades</t>
  </si>
  <si>
    <t>16.4%L - 6.4%F - 2.9%M</t>
  </si>
  <si>
    <t>Agonizing Pain</t>
  </si>
  <si>
    <t>17.5%L - 2.5%F - 1.9%M</t>
  </si>
  <si>
    <t>Uncontrollable Wrath</t>
  </si>
  <si>
    <t>15.3%L - 6.1%F - 0.0%M</t>
  </si>
  <si>
    <t>Stealth Assault</t>
  </si>
  <si>
    <t>6.0%L - 1.5%F - 0.0%M</t>
  </si>
  <si>
    <t>Mystic Ritual</t>
  </si>
  <si>
    <t>17.2%L - 5.3%F - 4.1%M</t>
  </si>
  <si>
    <t>Noxious Enfeeblement</t>
  </si>
  <si>
    <t>15.3%L - 1.9%F - 0.0%M</t>
  </si>
  <si>
    <t>Chromatic Shower</t>
  </si>
  <si>
    <t>12.8%L - 3.8%F - 4.1%M</t>
  </si>
  <si>
    <t>18.0%L - 6.4%F - 0.0%M</t>
  </si>
  <si>
    <t>Death Blow</t>
  </si>
  <si>
    <t>11.1%L - 0.0%F - 11.1%M</t>
  </si>
  <si>
    <t>Masked Strike</t>
  </si>
  <si>
    <t>16.0%L - 1.0%F - 1.0%M</t>
  </si>
  <si>
    <t>Frostbite Slice</t>
  </si>
  <si>
    <t>17.3%L - 11.4%F - 0.5%M</t>
  </si>
  <si>
    <t>Jugular Slice</t>
  </si>
  <si>
    <t>11.1%L - 2.8%F - 0.0%M</t>
  </si>
  <si>
    <t>Earthshock</t>
  </si>
  <si>
    <t>12.5%L - 8.9%F - 3.6%M</t>
  </si>
  <si>
    <t>Wrath of Nature</t>
  </si>
  <si>
    <t>18.1%L - 9.8%F - 2.5%M</t>
  </si>
  <si>
    <t>14.1%L - 3.8%F - 1.3%M</t>
  </si>
  <si>
    <t>16.9%L - 3.8%F - 0.4%M</t>
  </si>
  <si>
    <t>Glacial Strike</t>
  </si>
  <si>
    <t>17.4%L - 3.6%F - 2.3%M</t>
  </si>
  <si>
    <t>Chromatic Illusion</t>
  </si>
  <si>
    <t>18.2%L - 4.5%F - 0.8%M</t>
  </si>
  <si>
    <t>Direct Assault</t>
  </si>
  <si>
    <t>13.0%L - 5.8%F - 0.7%M</t>
  </si>
  <si>
    <t>Mortal Blade</t>
  </si>
  <si>
    <t>27.3%L - 0.0%F - 9.1%M</t>
  </si>
  <si>
    <t>Provoking Counterattack</t>
  </si>
  <si>
    <t>15.0%L - 5.5%F - 0.2%M</t>
  </si>
  <si>
    <t>Swipe</t>
  </si>
  <si>
    <t>16.9%L - 6.0%F - 1.2%M</t>
  </si>
  <si>
    <t>Plagueish Strike</t>
  </si>
  <si>
    <t>19.4%L - 1.1%F - 1.1%M</t>
  </si>
  <si>
    <t>Brainburst</t>
  </si>
  <si>
    <t>11.6%L - 1.9%F - 0.0%M</t>
  </si>
  <si>
    <t>Smoke Bomb</t>
  </si>
  <si>
    <t>22.2%L - 0.0%F - 0.0%M</t>
  </si>
  <si>
    <t>Enrage</t>
  </si>
  <si>
    <t>20.4%L - 4.8%F - 0.7%M</t>
  </si>
  <si>
    <t>Headache</t>
  </si>
  <si>
    <t>17.0%L - 4.3%F - 0.0%M</t>
  </si>
  <si>
    <t>Gushing Wound</t>
  </si>
  <si>
    <t>15.2%L - 1.0%F - 0.5%M</t>
  </si>
  <si>
    <t>Glacial Assault</t>
  </si>
  <si>
    <t>18.5%L - 5.7%F - 1.1%M</t>
  </si>
  <si>
    <t>Thorns</t>
  </si>
  <si>
    <t>14.9%L - 4.0%F - 1.1%M</t>
  </si>
  <si>
    <t>Chilling Strike</t>
  </si>
  <si>
    <t>16.2%L - 4.8%F - 0.0%M</t>
  </si>
  <si>
    <t>Full Moon</t>
  </si>
  <si>
    <t>17.7%L - 5.7%F - 1.0%M</t>
  </si>
  <si>
    <t>Nightmare</t>
  </si>
  <si>
    <t>13.5%L - 4.9%F - 4.9%M</t>
  </si>
  <si>
    <t>Color Shower</t>
  </si>
  <si>
    <t>20.6%L - 2.9%F - 0.0%M</t>
  </si>
  <si>
    <t>Daydream</t>
  </si>
  <si>
    <t>16.6%L - 8.2%F - 0.0%M</t>
  </si>
  <si>
    <t>Avenging Ancestors</t>
  </si>
  <si>
    <t>15.9%L - 0.0%F - 0.0%M</t>
  </si>
  <si>
    <t>Bloodbath</t>
  </si>
  <si>
    <t>24.1%L - 6.9%F - 3.4%M</t>
  </si>
  <si>
    <t>Overwhelming Silence</t>
  </si>
  <si>
    <t>15.1%L - 3.8%F - 3.8%M</t>
  </si>
  <si>
    <t>Impale</t>
  </si>
  <si>
    <t>7.1%L - 4.9%F - 0.5%M</t>
  </si>
  <si>
    <t>Confusion</t>
  </si>
  <si>
    <t>22.0%L - 0.0%F - 2.4%M</t>
  </si>
  <si>
    <t>Claws of the War Boar</t>
  </si>
  <si>
    <t>6.9%L - 1.7%F - 1.7%M</t>
  </si>
  <si>
    <t>Berserker Onslaught</t>
  </si>
  <si>
    <t>10.0%L - 5.0%F - 0.0%M</t>
  </si>
  <si>
    <t>Chromatic Storm</t>
  </si>
  <si>
    <t>12.3%L - 7.8%F - 0.0%M</t>
  </si>
  <si>
    <t>Massacre</t>
  </si>
  <si>
    <t>5.9%L - 0.0%F - 0.0%M</t>
  </si>
  <si>
    <t>Rampaging Blow</t>
  </si>
  <si>
    <t>17.9%L - 4.5%F - 0.0%M</t>
  </si>
  <si>
    <t>Mystic Illusion</t>
  </si>
  <si>
    <t>13.8%L - 3.4%F - 1.7%M</t>
  </si>
  <si>
    <t>Ancient Claws</t>
  </si>
  <si>
    <t>11.8%L - 3.9%F - 2.0%M</t>
  </si>
  <si>
    <t>Arcane Bewilderment</t>
  </si>
  <si>
    <t>13.8%L - 3.4%F - 3.4%M</t>
  </si>
  <si>
    <t>Bear Claws</t>
  </si>
  <si>
    <t>13.2%L - 5.1%F - 0.7%M</t>
  </si>
  <si>
    <t>Mutilate</t>
  </si>
  <si>
    <t>12.8%L - 10.6%F - 0.0%M</t>
  </si>
  <si>
    <t>Crippling Strike</t>
  </si>
  <si>
    <t>7.1%L - 14.3%F - 0.0%M</t>
  </si>
  <si>
    <t>Rage of the Wild</t>
  </si>
  <si>
    <t>13.0%L - 4.3%F - 0.0%M</t>
  </si>
  <si>
    <t>Quick Strike</t>
  </si>
  <si>
    <t>24.1%L - 6.5%F - 5.6%M</t>
  </si>
  <si>
    <t>shadow's Assault</t>
  </si>
  <si>
    <t>14.1%L - 0.0%F - 0.0%M</t>
  </si>
  <si>
    <t>Saga of Bloodshed</t>
  </si>
  <si>
    <t>12.7%L - 1.8%F - 0.0%M</t>
  </si>
  <si>
    <t>Brain Clot</t>
  </si>
  <si>
    <t>9.3%L - 3.5%F - 1.2%M</t>
  </si>
  <si>
    <t>Killing Blow</t>
  </si>
  <si>
    <t>25.0%L - 0.0%F - 0.0%M</t>
  </si>
  <si>
    <t>Partisan Cleave</t>
  </si>
  <si>
    <t>0.0%L - 10.0%F - 0.0%M</t>
  </si>
  <si>
    <t>Spine Shot</t>
  </si>
  <si>
    <t>Utter Destruction</t>
  </si>
  <si>
    <t>16.7%L - 0.0%F - 5.6%M</t>
  </si>
  <si>
    <t>Circle of the Ancients</t>
  </si>
  <si>
    <t>12.5%L - 9.4%F - 0.0%M</t>
  </si>
  <si>
    <t>Untreated Bleeding</t>
  </si>
  <si>
    <t>29.4%L - 5.9%F - 5.9%M</t>
  </si>
  <si>
    <t>Raging Blow</t>
  </si>
  <si>
    <t>13.8%L - 6.9%F - 0.0%M</t>
  </si>
  <si>
    <t>Counterattack</t>
  </si>
  <si>
    <t>17.2%L - 10.3%F - 0.0%M</t>
  </si>
  <si>
    <t>Saga</t>
  </si>
  <si>
    <t>9.8%L - 2.0%F - 2.0%M</t>
  </si>
  <si>
    <t>Phalanx</t>
  </si>
  <si>
    <t>25.8%L - 0.0%F - 0.0%M</t>
  </si>
  <si>
    <t>Furious Assault</t>
  </si>
  <si>
    <t>14.8%L - 3.3%F - 0.0%M</t>
  </si>
  <si>
    <t>Whirl of Permafrost</t>
  </si>
  <si>
    <t>21.4%L - 7.1%F - 0.0%M</t>
  </si>
  <si>
    <t>Insolent Assault</t>
  </si>
  <si>
    <t>14.3%L - 14.3%F - 0.0%M</t>
  </si>
  <si>
    <t>Jeering Onslaught</t>
  </si>
  <si>
    <t>8.7%L - 4.3%F - 0.0%M</t>
  </si>
  <si>
    <t>Open Wounds</t>
  </si>
  <si>
    <t>10.0%L - 8.6%F - 0.0%M</t>
  </si>
  <si>
    <t>Migraine</t>
  </si>
  <si>
    <t>15.2%L - 0.0%F - 3.0%M</t>
  </si>
  <si>
    <t>Frenzy</t>
  </si>
  <si>
    <t>16.1%L - 6.5%F - 3.2%M</t>
  </si>
  <si>
    <t>Leg Bleed</t>
  </si>
  <si>
    <t>13.1%L - 0.0%F - 3.0%M</t>
  </si>
  <si>
    <t>Tiger Bite</t>
  </si>
  <si>
    <t>17.4%L - 1.2%F - 0.0%M</t>
  </si>
  <si>
    <t>Acceleration Strike</t>
  </si>
  <si>
    <t>26.5%L - 5.9%F - 0.0%M</t>
  </si>
  <si>
    <t>confound</t>
  </si>
  <si>
    <t>16.3%L - 5.1%F - 1.0%M</t>
  </si>
  <si>
    <t>Rabies</t>
  </si>
  <si>
    <t>9.5%L - 0.0%F - 0.0%M</t>
  </si>
  <si>
    <t>Stunning Roar</t>
  </si>
  <si>
    <t>20.0%L - 0.0%F - 0.0%M</t>
  </si>
  <si>
    <t>Rabies II</t>
  </si>
  <si>
    <t>5.7%L - 5.7%F - 0.0%M</t>
  </si>
  <si>
    <t>Poison Combination</t>
  </si>
  <si>
    <t>11.8%L - 17.6%F - 0.0%M</t>
  </si>
  <si>
    <t>Touch of the Nightshade</t>
  </si>
  <si>
    <t>Head Crush</t>
  </si>
  <si>
    <t>Counterblade</t>
  </si>
  <si>
    <t>42.9%L - 0.0%F - 0.0%M</t>
  </si>
  <si>
    <t>Focus: Mutilate</t>
  </si>
  <si>
    <t>17.6%L - 0.0%F - 2.9%M</t>
  </si>
  <si>
    <t>Maul</t>
  </si>
  <si>
    <t>25.0%L - 12.5%F - 0.0%M</t>
  </si>
  <si>
    <t>Speechless</t>
  </si>
  <si>
    <t>50.0%L - 0.0%F - 0.0%M</t>
  </si>
  <si>
    <t>Body Check</t>
  </si>
  <si>
    <t>0.0%L - 20.0%F - 0.0%M</t>
  </si>
  <si>
    <t>shadow</t>
  </si>
  <si>
    <t>12.2%L - 6.1%F - 0.6%M</t>
  </si>
  <si>
    <t>Rupture</t>
  </si>
  <si>
    <t>0.0%L - 50.0%F - 0.0%M</t>
  </si>
  <si>
    <t>Flurry of Poison</t>
  </si>
  <si>
    <t>22.2%L - 3.2%F - 0.0%M</t>
  </si>
  <si>
    <t>wolf pack's Bite</t>
  </si>
  <si>
    <t>9.1%L - 0.0%F - 9.1%M</t>
  </si>
  <si>
    <t>mirror image</t>
  </si>
  <si>
    <t>zap</t>
  </si>
  <si>
    <t>0.0%L - 100.0%F - 0.0%M</t>
  </si>
  <si>
    <t>Manaspine</t>
  </si>
  <si>
    <t>66.7%L - 0.0%F - 0.0%M</t>
  </si>
  <si>
    <t>Superior Soul Schism</t>
  </si>
  <si>
    <t>wolf pack</t>
  </si>
  <si>
    <t>16.7%L - 0.0%F - 0.0%M</t>
  </si>
  <si>
    <t>Warding Ebb</t>
  </si>
  <si>
    <t>Essence of Turgur</t>
  </si>
  <si>
    <t>Logging to _x0007_g1441998236-Yokujin.txt</t>
  </si>
  <si>
    <t>Time</t>
  </si>
  <si>
    <t>SDA</t>
  </si>
  <si>
    <t>MA</t>
  </si>
  <si>
    <t>Haste</t>
  </si>
  <si>
    <t>Stamina</t>
  </si>
  <si>
    <t>TargetHP</t>
  </si>
  <si>
    <t>CritPercent</t>
  </si>
  <si>
    <t>Flurry Adjusted</t>
  </si>
  <si>
    <t>SDA Adjusted</t>
  </si>
  <si>
    <t>(12:05:44)</t>
  </si>
  <si>
    <t>Mimicry!</t>
  </si>
  <si>
    <t>(12:07:29)</t>
  </si>
  <si>
    <t>12:08:12: BJ Anti AFK</t>
  </si>
  <si>
    <t>(12:09:13)</t>
  </si>
  <si>
    <t>(12:10:59)</t>
  </si>
  <si>
    <t>(12:12:39)</t>
  </si>
  <si>
    <t>THealth</t>
  </si>
  <si>
    <t>Critpercent</t>
  </si>
  <si>
    <t>omgro is true</t>
  </si>
  <si>
    <t>Omg, starting VC record!</t>
  </si>
  <si>
    <t>. : . : . r o ? . : . : . : .</t>
  </si>
  <si>
    <t>RO Start Recording 12:04:09</t>
  </si>
  <si>
    <t>enabling stuff!</t>
  </si>
  <si>
    <t>Omg, VC!</t>
  </si>
  <si>
    <t>RO Start Recording 12:05:34</t>
  </si>
  <si>
    <t>RO Start Recording 12:06:58</t>
  </si>
  <si>
    <t>RO Start Recording 12:09:38</t>
  </si>
  <si>
    <t>12:09:41: BJ Anti AFK</t>
  </si>
  <si>
    <t>RO Start Recording 12:11:06</t>
  </si>
  <si>
    <t>RO Start Recording 12:13:49</t>
  </si>
  <si>
    <t>DontSpamMeBro!</t>
  </si>
  <si>
    <t>Logging to _x0007_g1435606509-Trakaboxr.txt</t>
  </si>
  <si>
    <t>Intelligence</t>
  </si>
  <si>
    <t>12:07:09: BJ Anti AFK</t>
  </si>
  <si>
    <t>12:12:58: BJ Anti AFK</t>
  </si>
  <si>
    <t>Logging to _x0007_g1435606510-Trakadumb.txt</t>
  </si>
  <si>
    <t>Wisdom</t>
  </si>
  <si>
    <t>Logging to _x0007_g1427130639-Trakabot.txt</t>
  </si>
  <si>
    <t>12:04:15: BJ Anti AFK</t>
  </si>
  <si>
    <t>Logging to _x0007_g1427130639-Trakaboxt.txt</t>
  </si>
  <si>
    <t>Strength</t>
  </si>
  <si>
    <t>ShieldEff</t>
  </si>
  <si>
    <t>Mit</t>
  </si>
  <si>
    <t>SDA Corr</t>
  </si>
  <si>
    <t>12:10:21: BJ Anti AFK</t>
  </si>
  <si>
    <t>Sum(Group['Stat_Deltas'].Groupby['Stat_Name'])</t>
  </si>
  <si>
    <t>Item Comparisons</t>
  </si>
  <si>
    <t>Item</t>
  </si>
  <si>
    <t>Amped</t>
  </si>
  <si>
    <t>Uplifting</t>
  </si>
  <si>
    <t>From Rites</t>
  </si>
  <si>
    <t>From Ankh</t>
  </si>
  <si>
    <t>Base CB</t>
  </si>
  <si>
    <t>Finisher (pre-fix)</t>
  </si>
  <si>
    <t>Finisher</t>
  </si>
  <si>
    <t>CB+Pot</t>
  </si>
  <si>
    <t>Linked (Group)</t>
  </si>
  <si>
    <t>Linked (Raid)</t>
  </si>
  <si>
    <t>Wdb-flurry</t>
  </si>
  <si>
    <t>Import/Merge - [1] | Fixed - [05:12] (8/12/2015) 3:45:00 PM | Yokujin | Outgoing Damage</t>
  </si>
  <si>
    <t>SCRATCH WORK SECTION</t>
  </si>
  <si>
    <t>16.9%L - 4.5%F - 1.2%M</t>
  </si>
  <si>
    <t>floor(log(agi)/ln2</t>
  </si>
  <si>
    <t>17.6%L - 5.6%F - 0.9%M</t>
  </si>
  <si>
    <t>17.2%L - 4.1%F - 1.1%M</t>
  </si>
  <si>
    <t>16.7%L - 4.0%F - 1.3%M</t>
  </si>
  <si>
    <t>16.7%L - 5.6%F - 0.0%M</t>
  </si>
  <si>
    <t>14.3%L - 7.1%F - 0.0%M</t>
  </si>
  <si>
    <t>DPS/%</t>
  </si>
  <si>
    <t>16.1%L - 4.8%F - 3.2%M</t>
  </si>
  <si>
    <t>18.6%L - 2.8%F - 0.5%M</t>
  </si>
  <si>
    <t>10.9%L - 3.9%F - 2.3%M</t>
  </si>
  <si>
    <t>9.6%L - 5.5%F - 0.0%M</t>
  </si>
  <si>
    <t>18.8%L - 5.4%F - 0.9%M</t>
  </si>
  <si>
    <t>18.2%L - 3.6%F - 1.6%M</t>
  </si>
  <si>
    <t>31.6%L - 5.3%F - 0.0%M</t>
  </si>
  <si>
    <t>14.8%L - 5.4%F - 1.0%M</t>
  </si>
  <si>
    <t>26.2%L - 2.4%F - 2.4%M</t>
  </si>
  <si>
    <t>19.4%L - 2.8%F - 0.0%M</t>
  </si>
  <si>
    <t>29.7%L - 0.6%F - 0.0%M</t>
  </si>
  <si>
    <t>11.8%L - 4.5%F - 4.5%M</t>
  </si>
  <si>
    <t>13.3%L - 8.6%F - 0.0%M</t>
  </si>
  <si>
    <t>18.8%L - 5.6%F - 0.9%M</t>
  </si>
  <si>
    <t>16.7%L - 0.0%F - 16.7%M</t>
  </si>
  <si>
    <t>19.4%L - 5.6%F - 0.0%M</t>
  </si>
  <si>
    <t>16.0%L - 3.7%F - 0.6%M</t>
  </si>
  <si>
    <t>18.4%L - 5.4%F - 0.9%M</t>
  </si>
  <si>
    <t>11.1%L - 5.6%F - 0.0%M</t>
  </si>
  <si>
    <t>18.2%L - 1.1%F - 1.1%M</t>
  </si>
  <si>
    <t>13.5%L - 5.0%F - 2.1%M</t>
  </si>
  <si>
    <t>0.0%L - 14.3%F - 0.0%M</t>
  </si>
  <si>
    <t>12.4%L - 7.3%F - 0.0%M</t>
  </si>
  <si>
    <t>16.1%L - 3.0%F - 0.4%M</t>
  </si>
  <si>
    <t>15.4%L - 11.1%F - 3.4%M</t>
  </si>
  <si>
    <t>23.0%L - 4.4%F - 0.0%M</t>
  </si>
  <si>
    <t>21.1%L - 0.0%F - 2.8%M</t>
  </si>
  <si>
    <t>19.6%L - 4.2%F - 1.1%M</t>
  </si>
  <si>
    <t>14.5%L - 4.8%F - 1.2%M</t>
  </si>
  <si>
    <t>11.1%L - 11.1%F - 5.6%M</t>
  </si>
  <si>
    <t>19.1%L - 7.4%F - 2.9%M</t>
  </si>
  <si>
    <t>13.1%L - 4.0%F - 2.4%M</t>
  </si>
  <si>
    <t>33.3%L - 11.1%F - 0.0%M</t>
  </si>
  <si>
    <t>13.0%L - 1.0%F - 0.0%M</t>
  </si>
  <si>
    <t>7.1%L - 14.3%F - 7.1%M</t>
  </si>
  <si>
    <t>13.1%L - 8.5%F - 0.8%M</t>
  </si>
  <si>
    <t>17.7%L - 5.1%F - 1.3%M</t>
  </si>
  <si>
    <t>8.0%L - 2.7%F - 0.0%M</t>
  </si>
  <si>
    <t>0.0%L - 22.2%F - 0.0%M</t>
  </si>
  <si>
    <t>18.0%L - 4.5%F - 1.1%M</t>
  </si>
  <si>
    <t>11.8%L - 5.9%F - 0.0%M</t>
  </si>
  <si>
    <t>27.8%L - 5.6%F - 5.6%M</t>
  </si>
  <si>
    <t>19.6%L - 3.9%F - 0.0%M</t>
  </si>
  <si>
    <t>Paralyzing Strike</t>
  </si>
  <si>
    <t>12.3%L - 0.0%F - 0.0%M</t>
  </si>
  <si>
    <t>17.5%L - 5.5%F - 0.9%M</t>
  </si>
  <si>
    <t>Group Totals</t>
  </si>
  <si>
    <t>Salvo</t>
  </si>
  <si>
    <t>CB (self)</t>
  </si>
  <si>
    <t>CB (group)</t>
  </si>
  <si>
    <t>Points</t>
  </si>
  <si>
    <t>DPS/Pt</t>
  </si>
  <si>
    <t>Time(s)</t>
  </si>
  <si>
    <t>Total Dmg(4)</t>
  </si>
  <si>
    <t>Total Dmg(2.3)</t>
  </si>
  <si>
    <t>Off stance</t>
  </si>
  <si>
    <t>Fatal Combo</t>
  </si>
  <si>
    <t>AE Shit</t>
  </si>
  <si>
    <t>time/tick-mod(time,tick)/tick</t>
  </si>
  <si>
    <t>Name</t>
  </si>
  <si>
    <t>Avg</t>
  </si>
  <si>
    <t>Delay</t>
  </si>
  <si>
    <t>Avg/Dly*hits</t>
  </si>
  <si>
    <t>Crit Bonus</t>
  </si>
  <si>
    <t xml:space="preserve"> </t>
  </si>
  <si>
    <t>Wdb+flurry</t>
  </si>
  <si>
    <t>Import/Merge - [1] | Fixed - [05:12] (8/12/2015) 3:45:00 PM | Simutu | Outgoing Damage</t>
  </si>
  <si>
    <t>14.9%L - 4.7%F - 0.9%M</t>
  </si>
  <si>
    <t>15.0%L - 3.7%F - 1.0%M</t>
  </si>
  <si>
    <t>15.6%L - 5.8%F - 1.1%M</t>
  </si>
  <si>
    <t>18.4%L - 6.1%F - 0.7%M</t>
  </si>
  <si>
    <t>12.1%L - 1.5%F - 1.9%M</t>
  </si>
  <si>
    <t>16.7%L - 2.8%F - 0.0%M</t>
  </si>
  <si>
    <t>13.8%L - 5.0%F - 0.0%M</t>
  </si>
  <si>
    <t>16.8%L - 2.0%F - 0.3%M</t>
  </si>
  <si>
    <t>20.8%L - 1.9%F - 1.9%M</t>
  </si>
  <si>
    <t>18.2%L - 3.6%F - 1.8%M</t>
  </si>
  <si>
    <t>8.5%L - 5.9%F - 0.0%M</t>
  </si>
  <si>
    <t>3.7%L - 3.7%F - 3.7%M</t>
  </si>
  <si>
    <t>11.4%L - 2.9%F - 0.0%M</t>
  </si>
  <si>
    <t>12.6%L - 6.3%F - 1.8%M</t>
  </si>
  <si>
    <t>5.0%L - 0.0%F - 0.0%M</t>
  </si>
  <si>
    <t>10.6%L - 4.3%F - 4.3%M</t>
  </si>
  <si>
    <t>13.9%L - 5.6%F - 0.9%M</t>
  </si>
  <si>
    <t>19.0%L - 12.1%F - 1.7%M</t>
  </si>
  <si>
    <t>18.6%L - 2.9%F - 1.0%M</t>
  </si>
  <si>
    <t>17.3%L - 1.8%F - 1.8%M</t>
  </si>
  <si>
    <t>21.8%L - 1.8%F - 0.0%M</t>
  </si>
  <si>
    <t>12.1%L - 4.3%F - 0.0%M</t>
  </si>
  <si>
    <t>11.9%L - 7.5%F - 0.0%M</t>
  </si>
  <si>
    <t>11.8%L - 11.8%F - 0.0%M</t>
  </si>
  <si>
    <t>16.4%L - 3.3%F - 0.0%M</t>
  </si>
  <si>
    <t>21.1%L - 5.3%F - 0.0%M</t>
  </si>
  <si>
    <t>6.7%L - 12.0%F - 0.0%M</t>
  </si>
  <si>
    <t>5.0%L - 10.0%F - 0.0%M</t>
  </si>
  <si>
    <t>10.0%L - 20.0%F - 0.0%M</t>
  </si>
  <si>
    <t>5.0%L - 0.0%F - 5.0%M</t>
  </si>
  <si>
    <t>Jael's Dreadful Deprivation</t>
  </si>
  <si>
    <t>18.8%L - 6.3%F - 0.0%M</t>
  </si>
  <si>
    <t>Thuri's Doleful Thrust</t>
  </si>
  <si>
    <t>Lanet's Excruciating Scream</t>
  </si>
  <si>
    <t>17.4%L - 4.7%F - 1.2%M</t>
  </si>
  <si>
    <t>15.6%L - 5.7%F - 0.7%M</t>
  </si>
  <si>
    <t>15.2%L - 4.7%F - 1.4%M</t>
  </si>
  <si>
    <t>14.6%L - 6.3%F - 0.0%M</t>
  </si>
  <si>
    <t xml:space="preserve">no drum
</t>
  </si>
  <si>
    <t>with drum</t>
  </si>
  <si>
    <t>Troub+drum</t>
  </si>
  <si>
    <t>4s</t>
  </si>
  <si>
    <t>6s</t>
  </si>
  <si>
    <t>Finisher III</t>
  </si>
  <si>
    <t>Allied Str (6x)</t>
  </si>
  <si>
    <t>Import/Merge - [1] | Fixed - [05:12] (8/12/2015) 3:45:00 PM | Trianguli | Outgoing Damage</t>
  </si>
  <si>
    <t>14.2%L - 4.3%F - 1.2%M</t>
  </si>
  <si>
    <t>16.7%L - 4.0%F - 0.6%M</t>
  </si>
  <si>
    <t>11.7%L - 3.2%F - 0.7%M</t>
  </si>
  <si>
    <t>20.0%L - 0.0%F - 2.9%M</t>
  </si>
  <si>
    <t>16.6%L - 2.2%F - 1.1%M</t>
  </si>
  <si>
    <t>13.9%L - 5.7%F - 0.4%M</t>
  </si>
  <si>
    <t>16.1%L - 6.5%F - 0.0%M</t>
  </si>
  <si>
    <t>13.3%L - 3.0%F - 0.2%M</t>
  </si>
  <si>
    <t>14.3%L - 2.3%F - 2.3%M</t>
  </si>
  <si>
    <t>17.1%L - 5.7%F - 1.4%M</t>
  </si>
  <si>
    <t>13.5%L - 2.6%F - 3.0%M</t>
  </si>
  <si>
    <t>18.6%L - 8.5%F - 0.5%M</t>
  </si>
  <si>
    <t>10.0%L - 11.4%F - 0.0%M</t>
  </si>
  <si>
    <t>16.7%L - 4.2%F - 0.0%M</t>
  </si>
  <si>
    <t>15.1%L - 3.4%F - 1.0%M</t>
  </si>
  <si>
    <t>25.0%L - 0.0%F - 2.8%M</t>
  </si>
  <si>
    <t>1.0%L - 3.4%F - 3.4%M</t>
  </si>
  <si>
    <t>18.6%L - 0.0%F - 5.4%M</t>
  </si>
  <si>
    <t>15.6%L - 4.4%F - 0.0%M</t>
  </si>
  <si>
    <t>10.1%L - 6.6%F - 0.0%M</t>
  </si>
  <si>
    <t>21.6%L - 4.0%F - 0.8%M</t>
  </si>
  <si>
    <t>17.3%L - 1.9%F - 0.0%M</t>
  </si>
  <si>
    <t>24.1%L - 6.9%F - 0.0%M</t>
  </si>
  <si>
    <t>19.3%L - 2.8%F - 0.0%M</t>
  </si>
  <si>
    <t>8.2%L - 3.6%F - 0.9%M</t>
  </si>
  <si>
    <t>9.6%L - 2.1%F - 1.1%M</t>
  </si>
  <si>
    <t>11.6%L - 6.3%F - 0.0%M</t>
  </si>
  <si>
    <t>11.8%L - 3.9%F - 0.0%M</t>
  </si>
  <si>
    <t>10.0%L - 2.5%F - 0.0%M</t>
  </si>
  <si>
    <t>14.8%L - 5.2%F - 1.6%M</t>
  </si>
  <si>
    <t>9.4%L - 3.1%F - 0.0%M</t>
  </si>
  <si>
    <t>14.9%L - 6.0%F - 0.0%M</t>
  </si>
  <si>
    <t>14.7%L - 2.9%F - 2.9%M</t>
  </si>
  <si>
    <t>6.7%L - 5.6%F - 1.1%M</t>
  </si>
  <si>
    <t>19.0%L - 4.8%F - 0.0%M</t>
  </si>
  <si>
    <t>44.4%L - 0.0%F - 0.0%M</t>
  </si>
  <si>
    <t>13.3%L - 4.0%F - 0.9%M</t>
  </si>
  <si>
    <t>15.6%L - 4.1%F - 0.7%M</t>
  </si>
  <si>
    <t>Cast</t>
  </si>
  <si>
    <t>DPS</t>
  </si>
  <si>
    <t>Aspd</t>
  </si>
  <si>
    <t>AE</t>
  </si>
  <si>
    <t>Ability Mod</t>
  </si>
  <si>
    <t>Red 2/2</t>
  </si>
  <si>
    <t>Recal</t>
  </si>
  <si>
    <t>Pet</t>
  </si>
  <si>
    <t>Auto</t>
  </si>
  <si>
    <t>%</t>
  </si>
  <si>
    <t>Multi</t>
  </si>
  <si>
    <t>TW</t>
  </si>
  <si>
    <t>Base</t>
  </si>
  <si>
    <t>Reforgable</t>
  </si>
  <si>
    <t>Minimum via reforge</t>
  </si>
  <si>
    <t>Must Keep</t>
  </si>
  <si>
    <t>Reforge amt</t>
  </si>
  <si>
    <t>weight</t>
  </si>
  <si>
    <t>Reuse</t>
  </si>
  <si>
    <t>Ability</t>
  </si>
  <si>
    <t>ae</t>
  </si>
  <si>
    <t>recovery</t>
  </si>
  <si>
    <t>Nonreforgable</t>
  </si>
  <si>
    <t>Cork</t>
  </si>
  <si>
    <t>Import/Merge - [1] | Fixed - [05:12] (8/12/2015) 3:45:00 PM | Dapinu | Outgoing Damage</t>
  </si>
  <si>
    <t>16.0%L - 4.6%F - 0.8%M</t>
  </si>
  <si>
    <t>15.6%L - 4.7%F - 1.4%M</t>
  </si>
  <si>
    <t>19.6%L - 4.7%F - 0.7%M</t>
  </si>
  <si>
    <t>14.6%L - 3.5%F - 0.3%M</t>
  </si>
  <si>
    <t>15.0%L - 2.0%F - 1.3%M</t>
  </si>
  <si>
    <t>16.6%L - 4.3%F - 0.0%M</t>
  </si>
  <si>
    <t>17.1%L - 6.2%F - 0.5%M</t>
  </si>
  <si>
    <t>15.0%L - 2.9%F - 0.4%M</t>
  </si>
  <si>
    <t>16.0%L - 4.8%F - 0.6%M</t>
  </si>
  <si>
    <t>16.5%L - 6.2%F - 0.0%M</t>
  </si>
  <si>
    <t>16.8%L - 6.1%F - 0.0%M</t>
  </si>
  <si>
    <t>26.5%L - 2.9%F - 2.9%M</t>
  </si>
  <si>
    <t>14.0%L - 2.3%F - 1.2%M</t>
  </si>
  <si>
    <t>15.7%L - 8.4%F - 0.0%M</t>
  </si>
  <si>
    <t>23.1%L - 11.5%F - 0.0%M</t>
  </si>
  <si>
    <t>17.5%L - 5.1%F - 0.7%M</t>
  </si>
  <si>
    <t>14.6%L - 6.5%F - 1.2%M</t>
  </si>
  <si>
    <t>17.4%L - 3.9%F - 1.9%M</t>
  </si>
  <si>
    <t>11.3%L - 3.8%F - 1.3%M</t>
  </si>
  <si>
    <t>13.6%L - 6.8%F - 3.4%M</t>
  </si>
  <si>
    <t>15.0%L - 5.0%F - 0.0%M</t>
  </si>
  <si>
    <t>16.2%L - 3.0%F - 0.0%M</t>
  </si>
  <si>
    <t>10.0%L - 0.0%F - 0.0%M</t>
  </si>
  <si>
    <t>15.7%L - 5.6%F - 0.9%M</t>
  </si>
  <si>
    <t>16.8%L - 4.1%F - 0.9%M</t>
  </si>
  <si>
    <t>16.8%L - 4.7%F - 1.3%M</t>
  </si>
  <si>
    <t>14.4%L - 5.0%F - 1.2%M</t>
  </si>
  <si>
    <t>Import/Merge - [1] | Fixed - [05:12] (8/12/2015) 3:45:00 PM | Kinhin | Outgoing Damage</t>
  </si>
  <si>
    <t>15.9%L - 4.0%F - 0.7%M</t>
  </si>
  <si>
    <t>14.3%L - 4.2%F - 0.8%M</t>
  </si>
  <si>
    <t>18.0%L - 1.9%F - 0.9%M</t>
  </si>
  <si>
    <t>19.8%L - 4.9%F - 0.6%M</t>
  </si>
  <si>
    <t>24.5%L - 3.6%F - 1.0%M</t>
  </si>
  <si>
    <t>15.4%L - 4.7%F - 0.9%M</t>
  </si>
  <si>
    <t>14.0%L - 2.0%F - 0.0%M</t>
  </si>
  <si>
    <t>15.5%L - 1.8%F - 0.0%M</t>
  </si>
  <si>
    <t>14.7%L - 5.3%F - 0.4%M</t>
  </si>
  <si>
    <t>16.8%L - 5.6%F - 0.9%M</t>
  </si>
  <si>
    <t>24.1%L - 3.8%F - 0.0%M</t>
  </si>
  <si>
    <t>9.1%L - 3.4%F - 3.4%M</t>
  </si>
  <si>
    <t>16.2%L - 2.9%F - 0.0%M</t>
  </si>
  <si>
    <t>15.7%L - 3.9%F - 0.0%M</t>
  </si>
  <si>
    <t>16.7%L - 6.5%F - 1.4%M</t>
  </si>
  <si>
    <t>16.9%L - 5.0%F - 0.0%M</t>
  </si>
  <si>
    <t>16.7%L - 6.0%F - 0.9%M</t>
  </si>
  <si>
    <t>16.1%L - 3.6%F - 1.8%M</t>
  </si>
  <si>
    <t>18.4%L - 5.1%F - 1.0%M</t>
  </si>
  <si>
    <t>9.7%L - 9.7%F - 0.0%M</t>
  </si>
  <si>
    <t>6.5%L - 3.2%F - 6.5%M</t>
  </si>
  <si>
    <t>27.5%L - 5.0%F - 0.0%M</t>
  </si>
  <si>
    <t>18.3%L - 2.8%F - 1.4%M</t>
  </si>
  <si>
    <t>12.7%L - 0.0%F - 0.0%M</t>
  </si>
  <si>
    <t>7.8%L - 3.6%F - 0.0%M</t>
  </si>
  <si>
    <t>10.5%L - 0.0%F - 0.0%M</t>
  </si>
  <si>
    <t>16.8%L - 6.3%F - 1.0%M</t>
  </si>
  <si>
    <t>16.3%L - 3.5%F - 0.4%M</t>
  </si>
  <si>
    <t>Import/Merge - [1] | Fixed - [05:12] (8/12/2015) 3:45:00 PM | Trakanom | Outgoing Damage</t>
  </si>
  <si>
    <t>16.4%L - 5.0%F - 1.3%M</t>
  </si>
  <si>
    <t>15.0%L - 6.3%F - 1.7%M</t>
  </si>
  <si>
    <t>16.9%L - 4.1%F - 2.1%M</t>
  </si>
  <si>
    <t>14.6%L - 4.3%F - 1.8%M</t>
  </si>
  <si>
    <t>14.5%L - 7.7%F - 0.5%M</t>
  </si>
  <si>
    <t>15.4%L - 1.9%F - 0.0%M</t>
  </si>
  <si>
    <t>10.5%L - 8.9%F - 2.1%M</t>
  </si>
  <si>
    <t>13.3%L - 4.3%F - 1.4%M</t>
  </si>
  <si>
    <t>16.0%L - 5.7%F - 0.7%M</t>
  </si>
  <si>
    <t>16.3%L - 5.9%F - 0.7%M</t>
  </si>
  <si>
    <t>4.2%L - 8.3%F - 0.0%M</t>
  </si>
  <si>
    <t>16.0%L - 4.0%F - 1.6%M</t>
  </si>
  <si>
    <t>17.6%L - 7.7%F - 2.2%M</t>
  </si>
  <si>
    <t>16.5%L - 4.7%F - 1.2%M</t>
  </si>
  <si>
    <t>15.2%L - 6.1%F - 0.0%M</t>
  </si>
  <si>
    <t>20.2%L - 5.1%F - 0.6%M</t>
  </si>
  <si>
    <t>7.9%L - 4.8%F - 0.0%M</t>
  </si>
  <si>
    <t>14.8%L - 5.6%F - 0.7%M</t>
  </si>
  <si>
    <t>22.8%L - 0.8%F - 2.4%M</t>
  </si>
  <si>
    <t>18.6%L - 4.7%F - 0.7%M</t>
  </si>
  <si>
    <t>20.6%L - 4.1%F - 1.0%M</t>
  </si>
  <si>
    <t>23.1%L - 7.7%F - 0.0%M</t>
  </si>
  <si>
    <t>33.3%L - 0.0%F - 16.7%M</t>
  </si>
  <si>
    <t>23.8%L - 0.0%F - 4.8%M</t>
  </si>
  <si>
    <t>17.2%L - 3.4%F - 0.0%M</t>
  </si>
  <si>
    <t>12.5%L - 1.8%F - 0.0%M</t>
  </si>
  <si>
    <t>16.9%L - 6.8%F - 1.7%M</t>
  </si>
  <si>
    <t>17.1%L - 8.6%F - 2.9%M</t>
  </si>
  <si>
    <t>37.5%L - 3.1%F - 3.1%M</t>
  </si>
  <si>
    <t>15.0%L - 10.0%F - 0.0%M</t>
  </si>
  <si>
    <t>10.0%L - 7.5%F - 0.0%M</t>
  </si>
  <si>
    <t>9.1%L - 0.0%F - 0.0%M</t>
  </si>
  <si>
    <t>Dragoon Spin</t>
  </si>
  <si>
    <t>9.1%L - 4.5%F - 0.0%M</t>
  </si>
  <si>
    <t>0.0%L - 16.7%F - 0.0%M</t>
  </si>
  <si>
    <t>17.0%L - 4.3%F - 0.6%M</t>
  </si>
  <si>
    <t>15.8%L - 4.5%F - 1.1%M</t>
  </si>
  <si>
    <t>Physical</t>
  </si>
  <si>
    <t>Magical</t>
  </si>
  <si>
    <t>Nonphys Auto</t>
  </si>
  <si>
    <t>14.7%L - 3.9%F - 0.9%M</t>
  </si>
  <si>
    <t>16.4%L - 5.0%F - 1.1%M</t>
  </si>
  <si>
    <t>physical</t>
  </si>
  <si>
    <t>16.0%L - 4.9%F - 1.5%M</t>
  </si>
  <si>
    <t>18.0%L - 5.8%F - 0.8%M</t>
  </si>
  <si>
    <t>16.0%L - 4.5%F - 1.4%M</t>
  </si>
  <si>
    <t>15.2%L - 4.1%F - 0.0%M</t>
  </si>
  <si>
    <t>18.3%L - 3.7%F - 1.2%M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</si>
</sst>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0.0000000"/>
    <numFmt numFmtId="166" formatCode="0.0"/>
    <numFmt numFmtId="167" formatCode="#,###"/>
    <numFmt numFmtId="168" formatCode="#,###.00"/>
    <numFmt numFmtId="169" formatCode="m&quot;/&quot;d"/>
  </numFmts>
  <fonts count="13">
    <font>
      <sz val="10.0"/>
      <color rgb="FF000000"/>
      <name val="Arial"/>
    </font>
    <font/>
    <font>
      <sz val="11.0"/>
    </font>
    <font>
      <b/>
    </font>
    <font>
      <sz val="11.0"/>
      <color rgb="FF11A9CC"/>
    </font>
    <font>
      <color rgb="FFA61D4C"/>
    </font>
    <font>
      <i/>
      <sz val="11.0"/>
    </font>
    <font>
      <color rgb="FF1155CC"/>
    </font>
    <font>
      <color rgb="FF7E3794"/>
    </font>
    <font>
      <color rgb="FF000000"/>
    </font>
    <font>
      <color rgb="FFF7981D"/>
    </font>
    <font>
      <sz val="11.0"/>
      <color rgb="FF1155CC"/>
    </font>
    <font>
      <sz val="11.0"/>
      <color rgb="FFF7981D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1" numFmtId="3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1" numFmtId="1" xfId="0" applyFont="1" applyNumberFormat="1"/>
    <xf borderId="0" fillId="0" fontId="1" numFmtId="9" xfId="0" applyFont="1" applyNumberForma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3" fillId="0" fontId="1" numFmtId="0" xfId="0" applyBorder="1" applyFont="1"/>
    <xf borderId="8" fillId="0" fontId="1" numFmtId="0" xfId="0" applyAlignment="1" applyBorder="1" applyFont="1">
      <alignment readingOrder="0"/>
    </xf>
    <xf borderId="2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1" numFmtId="10" xfId="0" applyAlignment="1" applyFont="1" applyNumberFormat="1">
      <alignment readingOrder="0"/>
    </xf>
    <xf borderId="11" fillId="0" fontId="1" numFmtId="0" xfId="0" applyAlignment="1" applyBorder="1" applyFont="1">
      <alignment readingOrder="0"/>
    </xf>
    <xf borderId="11" fillId="0" fontId="1" numFmtId="3" xfId="0" applyBorder="1" applyFont="1" applyNumberForma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12" fillId="0" fontId="1" numFmtId="0" xfId="0" applyAlignment="1" applyBorder="1" applyFont="1">
      <alignment readingOrder="0"/>
    </xf>
    <xf borderId="12" fillId="0" fontId="1" numFmtId="3" xfId="0" applyBorder="1" applyFont="1" applyNumberFormat="1"/>
    <xf borderId="4" fillId="0" fontId="1" numFmtId="0" xfId="0" applyBorder="1" applyFont="1"/>
    <xf borderId="5" fillId="0" fontId="1" numFmtId="0" xfId="0" applyBorder="1" applyFont="1"/>
    <xf borderId="3" fillId="0" fontId="1" numFmtId="3" xfId="0" applyBorder="1" applyFont="1" applyNumberFormat="1"/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0" fontId="1" numFmtId="9" xfId="0" applyBorder="1" applyFont="1" applyNumberFormat="1"/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165" xfId="0" applyFont="1" applyNumberFormat="1"/>
    <xf borderId="0" fillId="2" fontId="3" numFmtId="0" xfId="0" applyAlignment="1" applyFill="1" applyFont="1">
      <alignment readingOrder="0"/>
    </xf>
    <xf borderId="9" fillId="3" fontId="3" numFmtId="1" xfId="0" applyBorder="1" applyFill="1" applyFont="1" applyNumberFormat="1"/>
    <xf borderId="0" fillId="0" fontId="5" numFmtId="0" xfId="0" applyFont="1"/>
    <xf borderId="0" fillId="0" fontId="3" numFmtId="0" xfId="0" applyAlignment="1" applyFont="1">
      <alignment horizontal="center" readingOrder="0"/>
    </xf>
    <xf borderId="0" fillId="4" fontId="6" numFmtId="166" xfId="0" applyAlignment="1" applyFill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7" fillId="0" fontId="1" numFmtId="1" xfId="0" applyBorder="1" applyFont="1" applyNumberForma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1" xfId="0" applyAlignment="1" applyFont="1" applyNumberFormat="1">
      <alignment readingOrder="0"/>
    </xf>
    <xf borderId="0" fillId="0" fontId="1" numFmtId="166" xfId="0" applyFont="1" applyNumberFormat="1"/>
    <xf borderId="0" fillId="0" fontId="3" numFmtId="167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168" xfId="0" applyFont="1" applyNumberFormat="1"/>
    <xf borderId="0" fillId="0" fontId="1" numFmtId="9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9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8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1" numFmtId="9" xfId="0" applyAlignment="1" applyFont="1" applyNumberFormat="1">
      <alignment readingOrder="0" vertical="bottom"/>
    </xf>
    <xf borderId="0" fillId="0" fontId="1" numFmtId="168" xfId="0" applyAlignment="1" applyFont="1" applyNumberForma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3" xfId="0" applyAlignment="1" applyFont="1" applyNumberFormat="1">
      <alignment horizontal="right"/>
    </xf>
    <xf borderId="0" fillId="0" fontId="2" numFmtId="0" xfId="0" applyFont="1"/>
    <xf borderId="0" fillId="0" fontId="2" numFmtId="1" xfId="0" applyFont="1" applyNumberFormat="1"/>
    <xf borderId="0" fillId="0" fontId="1" numFmtId="3" xfId="0" applyAlignment="1" applyFont="1" applyNumberFormat="1">
      <alignment horizontal="right"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1" numFmtId="1" xfId="0" applyAlignment="1" applyFont="1" applyNumberFormat="1">
      <alignment horizontal="left" readingOrder="0"/>
    </xf>
    <xf borderId="0" fillId="0" fontId="1" numFmtId="10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0" numFmtId="1" xfId="0" applyAlignment="1" applyFont="1" applyNumberFormat="1">
      <alignment horizontal="left"/>
    </xf>
    <xf borderId="0" fillId="4" fontId="6" numFmtId="166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3" numFmtId="10" xfId="0" applyAlignment="1" applyFont="1" applyNumberFormat="1">
      <alignment horizontal="center" readingOrder="0"/>
    </xf>
    <xf borderId="0" fillId="0" fontId="10" numFmtId="1" xfId="0" applyFont="1" applyNumberFormat="1"/>
    <xf borderId="0" fillId="0" fontId="7" numFmtId="0" xfId="0" applyFont="1"/>
    <xf borderId="0" fillId="0" fontId="1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3" xfId="0" applyAlignment="1" applyFont="1" applyNumberFormat="1">
      <alignment horizontal="right" readingOrder="0"/>
    </xf>
    <xf borderId="0" fillId="0" fontId="1" numFmtId="167" xfId="0" applyFont="1" applyNumberFormat="1"/>
    <xf borderId="0" fillId="0" fontId="3" numFmtId="9" xfId="0" applyAlignment="1" applyFont="1" applyNumberFormat="1">
      <alignment horizontal="center" readingOrder="0"/>
    </xf>
    <xf borderId="3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2" numFmtId="10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Differential DPS (Normal, No Dirge, and No Illy)</a:t>
            </a:r>
          </a:p>
        </c:rich>
      </c:tx>
      <c:overlay val="0"/>
    </c:title>
    <c:plotArea>
      <c:layout>
        <c:manualLayout>
          <c:xMode val="edge"/>
          <c:yMode val="edge"/>
          <c:x val="0.08050025860800594"/>
          <c:y val="0.23358974358974355"/>
          <c:w val="0.8884882910103147"/>
          <c:h val="0.6202564102564103"/>
        </c:manualLayout>
      </c:layout>
      <c:barChart>
        <c:barDir val="col"/>
        <c:ser>
          <c:idx val="0"/>
          <c:order val="0"/>
          <c:tx>
            <c:strRef>
              <c:f>Overview!$B$56:$B$57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Overview!$A$58:$A$63</c:f>
            </c:strRef>
          </c:cat>
          <c:val>
            <c:numRef>
              <c:f>Overview!$B$58:$B$63</c:f>
              <c:numCache/>
            </c:numRef>
          </c:val>
        </c:ser>
        <c:ser>
          <c:idx val="1"/>
          <c:order val="1"/>
          <c:tx>
            <c:strRef>
              <c:f>Overview!$C$56:$C$57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Overview!$A$58:$A$63</c:f>
            </c:strRef>
          </c:cat>
          <c:val>
            <c:numRef>
              <c:f>Overview!$C$58:$C$63</c:f>
              <c:numCache/>
            </c:numRef>
          </c:val>
        </c:ser>
        <c:ser>
          <c:idx val="2"/>
          <c:order val="2"/>
          <c:tx>
            <c:strRef>
              <c:f>Overview!$D$56:$D$57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Overview!$A$58:$A$63</c:f>
            </c:strRef>
          </c:cat>
          <c:val>
            <c:numRef>
              <c:f>Overview!$D$58:$D$63</c:f>
              <c:numCache/>
            </c:numRef>
          </c:val>
        </c:ser>
        <c:axId val="460572907"/>
        <c:axId val="1274460691"/>
      </c:barChart>
      <c:catAx>
        <c:axId val="460572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                         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4460691"/>
      </c:catAx>
      <c:valAx>
        <c:axId val="127446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0572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Time/RollingAvg(Dirge)/RollingAvg(Berserker)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Dirge!$L$359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Dirge!$K$360:$K$512</c:f>
            </c:strRef>
          </c:cat>
          <c:val>
            <c:numRef>
              <c:f>Dirge!$L$360:$L$512</c:f>
              <c:numCache/>
            </c:numRef>
          </c:val>
          <c:smooth val="1"/>
        </c:ser>
        <c:ser>
          <c:idx val="1"/>
          <c:order val="1"/>
          <c:tx>
            <c:strRef>
              <c:f>Dirge!$M$359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Dirge!$K$360:$K$512</c:f>
            </c:strRef>
          </c:cat>
          <c:val>
            <c:numRef>
              <c:f>Dirge!$M$360:$M$512</c:f>
              <c:numCache/>
            </c:numRef>
          </c:val>
          <c:smooth val="1"/>
        </c:ser>
        <c:axId val="1999842737"/>
        <c:axId val="1155735535"/>
      </c:lineChart>
      <c:catAx>
        <c:axId val="199984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735535"/>
      </c:catAx>
      <c:valAx>
        <c:axId val="115573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842737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Total Dmg(4)/Total Dmg(2.3)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AssParse!$G$78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AssParse!$F$79:$F$94</c:f>
            </c:strRef>
          </c:cat>
          <c:val>
            <c:numRef>
              <c:f>AssParse!$G$79:$G$94</c:f>
              <c:numCache/>
            </c:numRef>
          </c:val>
        </c:ser>
        <c:ser>
          <c:idx val="1"/>
          <c:order val="1"/>
          <c:tx>
            <c:strRef>
              <c:f>AssParse!$H$78</c:f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AssParse!$F$79:$F$94</c:f>
            </c:strRef>
          </c:cat>
          <c:val>
            <c:numRef>
              <c:f>AssParse!$H$79:$H$94</c:f>
              <c:numCache/>
            </c:numRef>
          </c:val>
        </c:ser>
        <c:axId val="38647232"/>
        <c:axId val="1818285560"/>
      </c:areaChart>
      <c:catAx>
        <c:axId val="386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8285560"/>
      </c:catAx>
      <c:valAx>
        <c:axId val="1818285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647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Pt>
            <c:idx val="28"/>
            <c:spPr>
              <a:solidFill>
                <a:srgbClr val="FF6D00"/>
              </a:solidFill>
            </c:spPr>
          </c:dPt>
          <c:dPt>
            <c:idx val="29"/>
            <c:spPr>
              <a:solidFill>
                <a:srgbClr val="46BDC6"/>
              </a:solidFill>
            </c:spPr>
          </c:dPt>
          <c:dPt>
            <c:idx val="30"/>
            <c:spPr>
              <a:solidFill>
                <a:srgbClr val="AB30C4"/>
              </a:solidFill>
            </c:spPr>
          </c:dPt>
          <c:dPt>
            <c:idx val="31"/>
            <c:spPr>
              <a:solidFill>
                <a:srgbClr val="C1BC1F"/>
              </a:solidFill>
            </c:spPr>
          </c:dPt>
          <c:dPt>
            <c:idx val="32"/>
            <c:spPr>
              <a:solidFill>
                <a:srgbClr val="3949AB"/>
              </a:solidFill>
            </c:spPr>
          </c:dPt>
          <c:dPt>
            <c:idx val="33"/>
            <c:spPr>
              <a:solidFill>
                <a:srgbClr val="F975A8"/>
              </a:solidFill>
            </c:spPr>
          </c:dPt>
          <c:dPt>
            <c:idx val="34"/>
            <c:spPr>
              <a:solidFill>
                <a:srgbClr val="00695C"/>
              </a:solidFill>
            </c:spPr>
          </c:dPt>
          <c:dPt>
            <c:idx val="35"/>
            <c:spPr>
              <a:solidFill>
                <a:srgbClr val="C2185B"/>
              </a:solidFill>
            </c:spPr>
          </c:dPt>
          <c:dPt>
            <c:idx val="36"/>
            <c:spPr>
              <a:solidFill>
                <a:srgbClr val="4285F4"/>
              </a:solidFill>
            </c:spPr>
          </c:dPt>
          <c:dPt>
            <c:idx val="37"/>
            <c:spPr>
              <a:solidFill>
                <a:srgbClr val="DB4437"/>
              </a:solidFill>
            </c:spPr>
          </c:dPt>
          <c:dPt>
            <c:idx val="38"/>
            <c:spPr>
              <a:solidFill>
                <a:srgbClr val="F4B400"/>
              </a:solidFill>
            </c:spPr>
          </c:dPt>
          <c:dPt>
            <c:idx val="39"/>
            <c:spPr>
              <a:solidFill>
                <a:srgbClr val="0F9D58"/>
              </a:solidFill>
            </c:spPr>
          </c:dPt>
          <c:dPt>
            <c:idx val="40"/>
            <c:spPr>
              <a:solidFill>
                <a:srgbClr val="FF6D00"/>
              </a:solidFill>
            </c:spPr>
          </c:dPt>
          <c:dPt>
            <c:idx val="41"/>
            <c:spPr>
              <a:solidFill>
                <a:srgbClr val="46BDC6"/>
              </a:solidFill>
            </c:spPr>
          </c:dPt>
          <c:dPt>
            <c:idx val="42"/>
            <c:spPr>
              <a:solidFill>
                <a:srgbClr val="AB30C4"/>
              </a:solidFill>
            </c:spPr>
          </c:dPt>
          <c:dPt>
            <c:idx val="43"/>
            <c:spPr>
              <a:solidFill>
                <a:srgbClr val="C1BC1F"/>
              </a:solidFill>
            </c:spPr>
          </c:dPt>
          <c:dPt>
            <c:idx val="44"/>
            <c:spPr>
              <a:solidFill>
                <a:srgbClr val="3949AB"/>
              </a:solidFill>
            </c:spPr>
          </c:dPt>
          <c:dPt>
            <c:idx val="45"/>
            <c:spPr>
              <a:solidFill>
                <a:srgbClr val="F975A8"/>
              </a:solidFill>
            </c:spPr>
          </c:dPt>
          <c:dPt>
            <c:idx val="46"/>
            <c:spPr>
              <a:solidFill>
                <a:srgbClr val="00695C"/>
              </a:solidFill>
            </c:spPr>
          </c:dPt>
          <c:dPt>
            <c:idx val="47"/>
            <c:spPr>
              <a:solidFill>
                <a:srgbClr val="C2185B"/>
              </a:solidFill>
            </c:spPr>
          </c:dPt>
          <c:dPt>
            <c:idx val="48"/>
            <c:spPr>
              <a:solidFill>
                <a:srgbClr val="4285F4"/>
              </a:solidFill>
            </c:spPr>
          </c:dPt>
          <c:dPt>
            <c:idx val="49"/>
            <c:spPr>
              <a:solidFill>
                <a:srgbClr val="DB4437"/>
              </a:solidFill>
            </c:spPr>
          </c:dPt>
          <c:dPt>
            <c:idx val="50"/>
            <c:spPr>
              <a:solidFill>
                <a:srgbClr val="F4B400"/>
              </a:solidFill>
            </c:spPr>
          </c:dPt>
          <c:dPt>
            <c:idx val="51"/>
            <c:spPr>
              <a:solidFill>
                <a:srgbClr val="0F9D58"/>
              </a:solidFill>
            </c:spPr>
          </c:dPt>
          <c:dPt>
            <c:idx val="52"/>
            <c:spPr>
              <a:solidFill>
                <a:srgbClr val="FF6D00"/>
              </a:solidFill>
            </c:spPr>
          </c:dPt>
          <c:dPt>
            <c:idx val="53"/>
            <c:spPr>
              <a:solidFill>
                <a:srgbClr val="46BDC6"/>
              </a:solidFill>
            </c:spPr>
          </c:dPt>
          <c:dPt>
            <c:idx val="54"/>
            <c:spPr>
              <a:solidFill>
                <a:srgbClr val="AB30C4"/>
              </a:solidFill>
            </c:spPr>
          </c:dPt>
          <c:dPt>
            <c:idx val="55"/>
            <c:spPr>
              <a:solidFill>
                <a:srgbClr val="C1BC1F"/>
              </a:solidFill>
            </c:spPr>
          </c:dPt>
          <c:dPt>
            <c:idx val="56"/>
            <c:spPr>
              <a:solidFill>
                <a:srgbClr val="3949AB"/>
              </a:solidFill>
            </c:spPr>
          </c:dPt>
          <c:dPt>
            <c:idx val="57"/>
            <c:spPr>
              <a:solidFill>
                <a:srgbClr val="F975A8"/>
              </a:solidFill>
            </c:spPr>
          </c:dPt>
          <c:dPt>
            <c:idx val="58"/>
            <c:spPr>
              <a:solidFill>
                <a:srgbClr val="0069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AssParse!$A$13:$A$71</c:f>
            </c:strRef>
          </c:cat>
          <c:val>
            <c:numRef>
              <c:f>AssParse!$B$13:$B$71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53</xdr:row>
      <xdr:rowOff>57150</xdr:rowOff>
    </xdr:from>
    <xdr:ext cx="4200525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156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19050</xdr:colOff>
      <xdr:row>11</xdr:row>
      <xdr:rowOff>0</xdr:rowOff>
    </xdr:from>
    <xdr:ext cx="10572750" cy="9048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513</xdr:row>
      <xdr:rowOff>19050</xdr:rowOff>
    </xdr:from>
    <xdr:ext cx="9972675" cy="616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 t="s">
        <v>0</v>
      </c>
    </row>
    <row r="5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1" t="s">
        <v>8</v>
      </c>
      <c r="I5" s="1" t="s">
        <v>9</v>
      </c>
      <c r="J5" s="1" t="s">
        <v>10</v>
      </c>
    </row>
    <row r="6">
      <c r="A6" s="4" t="s">
        <v>11</v>
      </c>
      <c r="B6" s="5">
        <f>AssParse!I2*(1.05+B13)</f>
        <v>31419.84681</v>
      </c>
      <c r="C6" s="5">
        <f>DirgeParse!I2*(1.05+C13)</f>
        <v>9285.71682</v>
      </c>
      <c r="D6" s="5">
        <f>IllyParse!I2*(1.05+D13)</f>
        <v>8554.879256</v>
      </c>
      <c r="E6" s="5">
        <f>WardenParse!I2*(1.05+E13)</f>
        <v>7788.574175</v>
      </c>
      <c r="F6" s="5">
        <f>ChannelerParse!I2*(1.05+F13)</f>
        <v>6657.430005</v>
      </c>
      <c r="G6" s="5">
        <f>BerserkerParse!I2*(1.05+G13)</f>
        <v>9506.24626</v>
      </c>
      <c r="H6" s="5">
        <f t="shared" ref="H6:H9" si="1">sum(B6:G6)</f>
        <v>73212.69332</v>
      </c>
      <c r="I6" s="6">
        <f>(AssParse!I2+DirgeParse!I2+IllyParse!I2+WardenParse!I2+ChannelerParse!I2+BerserkerParse!I2)</f>
        <v>64586.77632</v>
      </c>
      <c r="J6" s="7">
        <f t="shared" ref="J6:J9" si="2">H6/I6-1</f>
        <v>0.133555466</v>
      </c>
      <c r="L6">
        <f>C6*0.5</f>
        <v>4642.85841</v>
      </c>
    </row>
    <row r="7">
      <c r="A7" s="4" t="s">
        <v>12</v>
      </c>
      <c r="B7" s="5">
        <f>AssParse!I3*(1.05+B14)</f>
        <v>25469.49763</v>
      </c>
      <c r="C7" s="5">
        <f>DirgeParse!I3*(1.05+C14)</f>
        <v>4405.106788</v>
      </c>
      <c r="D7" s="5">
        <f>IllyParse!I3*(1.05+D14)</f>
        <v>7809.267261</v>
      </c>
      <c r="E7" s="5">
        <f>WardenParse!I3*(1.05+E14)</f>
        <v>4710.468371</v>
      </c>
      <c r="F7" s="5">
        <f>ChannelerParse!I3*(1.05+F14)</f>
        <v>2995.194194</v>
      </c>
      <c r="G7" s="5">
        <f>BerserkerParse!I3*(1.05+G14)</f>
        <v>3249.649977</v>
      </c>
      <c r="H7" s="5">
        <f t="shared" si="1"/>
        <v>48639.18422</v>
      </c>
      <c r="I7" s="6">
        <f>(AssParse!I3+DirgeParse!I3+IllyParse!I3+WardenParse!I3+ChannelerParse!I3+BerserkerParse!I3)</f>
        <v>43033.91554</v>
      </c>
      <c r="J7" s="7">
        <f t="shared" si="2"/>
        <v>0.1302523513</v>
      </c>
      <c r="L7">
        <f>C7*1.9</f>
        <v>8369.702897</v>
      </c>
    </row>
    <row r="8">
      <c r="A8" s="4" t="s">
        <v>13</v>
      </c>
      <c r="B8" s="5">
        <f>AssParse!I4</f>
        <v>24939.38508</v>
      </c>
      <c r="C8" s="5">
        <f>DirgeParse!I4</f>
        <v>19949.04349</v>
      </c>
      <c r="D8" s="5">
        <f>IllyParse!I4</f>
        <v>8622.276993</v>
      </c>
      <c r="E8" s="5">
        <f>WardenParse!I4</f>
        <v>12969.66509</v>
      </c>
      <c r="F8" s="5">
        <f>ChannelerParse!I4</f>
        <v>10792.58568</v>
      </c>
      <c r="G8" s="5">
        <f>BerserkerParse!I4</f>
        <v>17484.96186</v>
      </c>
      <c r="H8" s="5">
        <f t="shared" si="1"/>
        <v>94757.91818</v>
      </c>
      <c r="I8" s="6">
        <f>(AssParse!I4+DirgeParse!I4+IllyParse!I4+WardenParse!I4+ChannelerParse!I4+BerserkerParse!I4)</f>
        <v>94757.91818</v>
      </c>
      <c r="J8" s="7">
        <f t="shared" si="2"/>
        <v>0</v>
      </c>
      <c r="L8">
        <f>C8*56*0.003</f>
        <v>3351.439306</v>
      </c>
    </row>
    <row r="9">
      <c r="A9" s="4" t="s">
        <v>14</v>
      </c>
      <c r="B9" s="5">
        <f>AssParse!I5*(IF(B11=TRUE,0.18*0.75,0)+1+B12+COUNTIF(B11:G11,TRUE)*0.12*0.25)</f>
        <v>1074.652439</v>
      </c>
      <c r="C9" s="5">
        <f>DirgeParse!I5*(IF(C11=TRUE,0.18*0.75,0)+1+C12+COUNTIF(B11:G11,TRUE)*0.12*0.25)</f>
        <v>227.0625506</v>
      </c>
      <c r="D9" s="5">
        <f>IllyParse!I5*(IF(D11=TRUE,0.18*0.75,0)+1+D12+COUNTIF(B11:G11,TRUE)*0.12*0.25)</f>
        <v>299.7660781</v>
      </c>
      <c r="E9" s="5">
        <f>WardenParse!I5*(IF(E11=TRUE,0.18*0.75,0)+1+E12+COUNTIF(B11:G11,TRUE)*0.12*0.25)</f>
        <v>262.6678288</v>
      </c>
      <c r="F9" s="5">
        <f>ChannelerParse!I5*(IF(F11=TRUE,0.18*0.75,0)+1+F12+COUNTIF(B11:G11,TRUE)*0.12*0.25)</f>
        <v>185.6284655</v>
      </c>
      <c r="G9" s="5">
        <f>BerserkerParse!I5*(IF(G11=TRUE,0.18*0.75,0)+1+G12+COUNTIF(B11:G11,TRUE)*0.12*0.25)</f>
        <v>243.4205182</v>
      </c>
      <c r="H9" s="5">
        <f t="shared" si="1"/>
        <v>2293.19788</v>
      </c>
      <c r="I9" s="6">
        <f>(AssParse!I5+DirgeParse!I5+IllyParse!I5+WardenParse!I5+ChannelerParse!I5+BerserkerParse!I5)</f>
        <v>1626.102619</v>
      </c>
      <c r="J9" s="7">
        <f t="shared" si="2"/>
        <v>0.4102417974</v>
      </c>
      <c r="L9">
        <f>C9*31</f>
        <v>7038.939069</v>
      </c>
    </row>
    <row r="10">
      <c r="A10" s="4" t="s">
        <v>15</v>
      </c>
      <c r="B10">
        <f>B9/AssParse!I5</f>
        <v>1.44</v>
      </c>
      <c r="C10">
        <f>C9/DirgeParse!I5</f>
        <v>1.385</v>
      </c>
      <c r="D10">
        <f>D9/IllyParse!I5</f>
        <v>1.385</v>
      </c>
      <c r="E10">
        <f>E9/WardenParse!I5</f>
        <v>1.385</v>
      </c>
      <c r="F10">
        <f>F9/ChannelerParse!I5</f>
        <v>1.385</v>
      </c>
      <c r="G10">
        <f>G9/BerserkerParse!I5</f>
        <v>1.385</v>
      </c>
      <c r="H10" s="1">
        <v>2010.0</v>
      </c>
      <c r="I10">
        <f>average(B10:G10)</f>
        <v>1.394166667</v>
      </c>
      <c r="J10" s="7"/>
      <c r="L10">
        <f>31*C10*24/120*0.005*H7+C9*31</f>
        <v>9127.262444</v>
      </c>
    </row>
    <row r="11">
      <c r="A11" s="4" t="s">
        <v>16</v>
      </c>
      <c r="B11" s="1" t="b">
        <v>0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>
        <v>2078.0</v>
      </c>
    </row>
    <row r="12">
      <c r="A12" s="4" t="s">
        <v>17</v>
      </c>
      <c r="B12" s="1">
        <v>0.29</v>
      </c>
      <c r="C12" s="1">
        <v>0.1</v>
      </c>
      <c r="D12" s="1">
        <v>0.1</v>
      </c>
      <c r="E12" s="1">
        <v>0.1</v>
      </c>
      <c r="F12" s="1">
        <v>0.1</v>
      </c>
      <c r="G12" s="1">
        <v>0.1</v>
      </c>
      <c r="I12">
        <f>(G6+G7)*43</f>
        <v>548503.5382</v>
      </c>
    </row>
    <row r="13">
      <c r="A13" s="4" t="s">
        <v>18</v>
      </c>
      <c r="B13" s="1">
        <v>0.08</v>
      </c>
      <c r="C13" s="1">
        <v>0.08</v>
      </c>
      <c r="D13" s="1">
        <v>0.08</v>
      </c>
      <c r="E13" s="1">
        <v>0.06</v>
      </c>
      <c r="F13" s="1">
        <f>0.06+0.12
</f>
        <v>0.18</v>
      </c>
      <c r="G13" s="1">
        <v>0.06</v>
      </c>
    </row>
    <row r="14">
      <c r="A14" s="4" t="s">
        <v>19</v>
      </c>
      <c r="B14" s="1">
        <v>0.08</v>
      </c>
      <c r="C14" s="1">
        <v>0.03</v>
      </c>
      <c r="D14" s="1">
        <v>0.08</v>
      </c>
      <c r="E14" s="1">
        <v>0.05</v>
      </c>
      <c r="F14" s="1">
        <v>0.05</v>
      </c>
      <c r="G14" s="1">
        <v>0.25</v>
      </c>
    </row>
    <row r="15">
      <c r="A15" s="4" t="s">
        <v>20</v>
      </c>
      <c r="B15" s="8">
        <f t="shared" ref="B15:G15" si="3">B16-($H6*54)</f>
        <v>-1363001.97</v>
      </c>
      <c r="C15" s="8">
        <f t="shared" si="3"/>
        <v>-3306935.408</v>
      </c>
      <c r="D15" s="8">
        <f t="shared" si="3"/>
        <v>-3186635.877</v>
      </c>
      <c r="E15" s="8">
        <f t="shared" si="3"/>
        <v>-3360565.555</v>
      </c>
      <c r="F15" s="8">
        <f t="shared" si="3"/>
        <v>-3488654.381</v>
      </c>
      <c r="G15" s="8">
        <f t="shared" si="3"/>
        <v>-3349007.139</v>
      </c>
      <c r="H15">
        <f>sum(A15:G15)</f>
        <v>-18054800.33</v>
      </c>
    </row>
    <row r="16">
      <c r="A16" s="4" t="s">
        <v>21</v>
      </c>
      <c r="B16" s="8">
        <f t="shared" ref="B16:G16" si="4">(B7+B6)*(60*0.75)+($H7+$H6)*0.25</f>
        <v>2590483.469</v>
      </c>
      <c r="C16" s="8">
        <f t="shared" si="4"/>
        <v>646550.0317</v>
      </c>
      <c r="D16" s="8">
        <f t="shared" si="4"/>
        <v>766849.5627</v>
      </c>
      <c r="E16" s="8">
        <f t="shared" si="4"/>
        <v>592919.8839</v>
      </c>
      <c r="F16" s="8">
        <f t="shared" si="4"/>
        <v>464831.0583</v>
      </c>
      <c r="G16" s="8">
        <f t="shared" si="4"/>
        <v>604478.3001</v>
      </c>
    </row>
    <row r="17">
      <c r="A17" s="1"/>
      <c r="D17" s="9" t="s">
        <v>22</v>
      </c>
    </row>
    <row r="18">
      <c r="A18" s="10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</row>
    <row r="19">
      <c r="A19" s="4" t="s">
        <v>14</v>
      </c>
      <c r="B19" s="11">
        <f>AssParse!B4</f>
        <v>20946</v>
      </c>
      <c r="C19" s="11">
        <f>DirgeParse!B4</f>
        <v>19847</v>
      </c>
      <c r="D19" s="11">
        <f>IllyParse!B4</f>
        <v>18341</v>
      </c>
      <c r="E19" s="11">
        <f>WardenParse!B4</f>
        <v>18546</v>
      </c>
      <c r="F19" s="11">
        <f>ChannelerParse!B4</f>
        <v>18794</v>
      </c>
      <c r="G19" s="11">
        <f>BerserkerParse!B4</f>
        <v>19562</v>
      </c>
    </row>
    <row r="20">
      <c r="A20" s="4" t="s">
        <v>23</v>
      </c>
      <c r="B20" s="12">
        <f>AssParse!C4</f>
        <v>18.447</v>
      </c>
      <c r="C20" s="12">
        <f>DirgeParse!C4</f>
        <v>15.111</v>
      </c>
      <c r="D20" s="12">
        <f>IllyParse!C4</f>
        <v>15.2265</v>
      </c>
      <c r="E20" s="12">
        <f>WardenParse!C4</f>
        <v>16.933</v>
      </c>
      <c r="F20" s="12">
        <f>ChannelerParse!C4</f>
        <v>17.3505</v>
      </c>
      <c r="G20" s="12">
        <f>BerserkerParse!C4</f>
        <v>15.198</v>
      </c>
    </row>
    <row r="21">
      <c r="A21" s="4" t="s">
        <v>12</v>
      </c>
      <c r="B21" s="12">
        <f>AssParse!D4</f>
        <v>19.097</v>
      </c>
      <c r="C21" s="12">
        <f>DirgeParse!D4</f>
        <v>12.82</v>
      </c>
      <c r="D21" s="12">
        <f>IllyParse!D4</f>
        <v>16.8455</v>
      </c>
      <c r="E21" s="12">
        <f>WardenParse!D4</f>
        <v>16.8095</v>
      </c>
      <c r="F21" s="12">
        <f>ChannelerParse!D4</f>
        <v>16.1285</v>
      </c>
      <c r="G21" s="12">
        <f>BerserkerParse!D4</f>
        <v>18.4445</v>
      </c>
    </row>
    <row r="22">
      <c r="A22" s="4" t="s">
        <v>24</v>
      </c>
      <c r="B22" s="12">
        <f>AssParse!E4</f>
        <v>1.534</v>
      </c>
      <c r="C22" s="12">
        <f>DirgeParse!E4</f>
        <v>3.408</v>
      </c>
      <c r="D22" s="12">
        <f>IllyParse!E4</f>
        <v>1.247</v>
      </c>
      <c r="E22" s="12">
        <f>WardenParse!E4</f>
        <v>3.527</v>
      </c>
      <c r="F22" s="12">
        <f>ChannelerParse!E4</f>
        <v>3.372</v>
      </c>
      <c r="G22" s="12">
        <f>BerserkerParse!E4</f>
        <v>3.476</v>
      </c>
    </row>
    <row r="23">
      <c r="A23" s="4" t="s">
        <v>25</v>
      </c>
      <c r="B23" s="11">
        <f>AssParse!F4</f>
        <v>1069.8</v>
      </c>
      <c r="C23" s="11">
        <f>DirgeParse!F4</f>
        <v>1101.1</v>
      </c>
      <c r="D23" s="11">
        <f>IllyParse!F4</f>
        <v>864.8</v>
      </c>
      <c r="E23" s="11">
        <f>WardenParse!F4</f>
        <v>888.9</v>
      </c>
      <c r="F23" s="11">
        <f>ChannelerParse!F4</f>
        <v>1025.8</v>
      </c>
      <c r="G23" s="11">
        <f>BerserkerParse!F4</f>
        <v>1076.6</v>
      </c>
    </row>
    <row r="24">
      <c r="A24" s="4" t="s">
        <v>26</v>
      </c>
      <c r="B24" s="12">
        <f>AssParse!G4</f>
        <v>0.885</v>
      </c>
      <c r="C24" s="12">
        <f>Average(Dirge!O11:O1000)</f>
        <v>0.930989899</v>
      </c>
      <c r="D24" s="12">
        <f>IllyParse!G4</f>
        <v>0.628</v>
      </c>
      <c r="E24" s="12">
        <f>WardenParse!G4</f>
        <v>0.782</v>
      </c>
      <c r="F24" s="12">
        <f>ChannelerParse!G4</f>
        <v>0.603</v>
      </c>
      <c r="G24" s="12">
        <f>BerserkerParse!G4</f>
        <v>0.708</v>
      </c>
    </row>
    <row r="25">
      <c r="A25" s="4" t="s">
        <v>27</v>
      </c>
      <c r="B25" s="7">
        <f>Average(Ass_Statlog!O11:O1000)</f>
        <v>0.4547508418</v>
      </c>
      <c r="C25" s="7">
        <f>Average(Dirge!N11:N1000)</f>
        <v>0.4400942761</v>
      </c>
      <c r="D25" s="7">
        <f>Average(Illy!O11:O1000)</f>
        <v>0.5842524917</v>
      </c>
      <c r="E25" s="7">
        <f>Average(Warden!N11:N1000)</f>
        <v>0.4914267516</v>
      </c>
      <c r="F25" s="7">
        <f>Average(Channeler!N11:N1000)</f>
        <v>0.4534166667</v>
      </c>
      <c r="G25" s="7">
        <f>Average(Berserker!P11:P1000)</f>
        <v>0.4496688963</v>
      </c>
    </row>
    <row r="26">
      <c r="A26" s="4" t="s">
        <v>28</v>
      </c>
      <c r="B26" s="12">
        <f>Average(Ass_Statlog!M11:M1000)</f>
        <v>16.40691246</v>
      </c>
      <c r="C26" s="12">
        <f>Average(Dirge!M11:M1000)</f>
        <v>14.7150303</v>
      </c>
      <c r="D26" s="12">
        <f>Average(Illy!M11:M1000)</f>
        <v>14.71897674</v>
      </c>
      <c r="E26" s="12">
        <f>Average(Warden!M11:M1000)</f>
        <v>15.26695652</v>
      </c>
      <c r="F26" s="12">
        <f>Average(Channeler!M11:M1000)</f>
        <v>15.46842475</v>
      </c>
      <c r="G26" s="12">
        <f>Average(Berserker!O11:O1000)</f>
        <v>16.0942408</v>
      </c>
      <c r="J26" s="1" t="s">
        <v>29</v>
      </c>
      <c r="K26" s="1" t="s">
        <v>30</v>
      </c>
    </row>
    <row r="27">
      <c r="I27" s="1" t="s">
        <v>31</v>
      </c>
      <c r="J27" s="5">
        <f>SUM(B28:G28)*5+(H6+H7)*10</f>
        <v>2402928.1</v>
      </c>
      <c r="K27" s="5">
        <f>218694.073375527+(150+858-696)*(D9+B7*0.0075)+(51.6-(25.2+17.6))*D6+(51.6-(25.2+8.8))*D7+12*D8+8*D7/(1.08+0.05*0.75)</f>
        <v>743918.3483</v>
      </c>
    </row>
    <row r="28">
      <c r="A28" s="1" t="s">
        <v>32</v>
      </c>
      <c r="B28" s="5">
        <f>$B37/(100*B$24)</f>
        <v>36877.17514</v>
      </c>
      <c r="C28" s="5">
        <f>$B40/(100*E$24)</f>
        <v>60280.61381</v>
      </c>
      <c r="D28" s="5">
        <f>$B42/(100*G$24)</f>
        <v>12436.52542</v>
      </c>
      <c r="E28" s="5">
        <f>$B38/(100*C$24)</f>
        <v>31153.6785</v>
      </c>
      <c r="F28" s="5">
        <f>$B39/(100*D$24)</f>
        <v>33613.80573</v>
      </c>
      <c r="G28" s="5">
        <f>$B41/(100*F$24)</f>
        <v>62520.06633</v>
      </c>
      <c r="I28" s="1" t="s">
        <v>33</v>
      </c>
    </row>
    <row r="29">
      <c r="A29" s="1" t="s">
        <v>34</v>
      </c>
      <c r="B29" s="5">
        <f>$E37/(B$25*100)</f>
        <v>13691.62941</v>
      </c>
      <c r="C29" s="5">
        <f>$E40/(E$25*100)</f>
        <v>3968.994349</v>
      </c>
      <c r="D29" s="5">
        <f>$E42/(G$25*100)</f>
        <v>37861.92494</v>
      </c>
      <c r="E29" s="5">
        <f>$E38/(C$25*100)</f>
        <v>13930.10619</v>
      </c>
      <c r="F29" s="5">
        <f>$E39/(D$25*100)</f>
        <v>4610.677812</v>
      </c>
      <c r="G29" s="5">
        <f>$E41/(F$25*100)</f>
        <v>7907.781658</v>
      </c>
      <c r="I29" s="1"/>
      <c r="J29" s="11"/>
    </row>
    <row r="30">
      <c r="B30">
        <f>H8*25*39.6/90</f>
        <v>1042337.1</v>
      </c>
      <c r="E30" s="1"/>
      <c r="F30" s="1"/>
      <c r="G30" s="1"/>
      <c r="H30" s="1" t="s">
        <v>35</v>
      </c>
      <c r="I30" s="1"/>
      <c r="J30" s="11"/>
    </row>
    <row r="31">
      <c r="B31">
        <f t="shared" ref="B31:G31" si="5">20*(B6+B7)*0.5</f>
        <v>568893.4444</v>
      </c>
      <c r="C31">
        <f t="shared" si="5"/>
        <v>136908.2361</v>
      </c>
      <c r="D31">
        <f t="shared" si="5"/>
        <v>163641.4652</v>
      </c>
      <c r="E31">
        <f t="shared" si="5"/>
        <v>124990.4255</v>
      </c>
      <c r="F31">
        <f t="shared" si="5"/>
        <v>96526.24199</v>
      </c>
      <c r="G31">
        <f t="shared" si="5"/>
        <v>127558.9624</v>
      </c>
      <c r="H31">
        <f>average(B31:G31)</f>
        <v>203086.4626</v>
      </c>
      <c r="L31" s="13" t="s">
        <v>36</v>
      </c>
      <c r="M31" s="14">
        <v>-219742.829584854</v>
      </c>
      <c r="N31" s="15"/>
      <c r="Q31" s="13" t="s">
        <v>37</v>
      </c>
      <c r="R31" s="14">
        <f>420-383</f>
        <v>37</v>
      </c>
      <c r="S31" s="16">
        <f>R31*C9+R32*C6+C7*R33+C8*R34</f>
        <v>268304.2328</v>
      </c>
    </row>
    <row r="32">
      <c r="D32">
        <f>D29*4.2*5</f>
        <v>795100.4237</v>
      </c>
      <c r="L32" s="17" t="s">
        <v>23</v>
      </c>
      <c r="M32" s="11">
        <f>(25.8-21.7)*2</f>
        <v>8.2</v>
      </c>
      <c r="N32" s="18">
        <f>M32*C6+M33*C7+M34*(C9+H7*0.005)+M35*0.003*C8*C10</f>
        <v>249102.4771</v>
      </c>
      <c r="Q32" s="17" t="s">
        <v>11</v>
      </c>
      <c r="R32">
        <f>33-32.8</f>
        <v>0.2</v>
      </c>
      <c r="S32" s="18"/>
    </row>
    <row r="33">
      <c r="B33">
        <f>1000*(1.5+B20)*1.5</f>
        <v>29920.5</v>
      </c>
      <c r="D33">
        <f>D7*52+110*D7*0.5</f>
        <v>835591.5969</v>
      </c>
      <c r="L33" s="17" t="s">
        <v>12</v>
      </c>
      <c r="M33">
        <f>(25.8-Average(18.7,20.8))</f>
        <v>6.05</v>
      </c>
      <c r="N33" s="18"/>
      <c r="Q33" s="17" t="s">
        <v>12</v>
      </c>
      <c r="R33" s="1">
        <v>38.2</v>
      </c>
      <c r="S33" s="18"/>
    </row>
    <row r="34">
      <c r="B34">
        <f>B33/0.5</f>
        <v>59841</v>
      </c>
      <c r="L34" s="17" t="s">
        <v>37</v>
      </c>
      <c r="M34">
        <f>(429-345)*2</f>
        <v>168</v>
      </c>
      <c r="N34" s="18"/>
      <c r="Q34" s="19" t="s">
        <v>13</v>
      </c>
      <c r="R34" s="20">
        <f>10.4-5.9</f>
        <v>4.5</v>
      </c>
      <c r="S34" s="10"/>
    </row>
    <row r="35">
      <c r="L35" s="17" t="s">
        <v>38</v>
      </c>
      <c r="M35">
        <f>(973-567)*2</f>
        <v>812</v>
      </c>
      <c r="N35" s="18"/>
    </row>
    <row r="36">
      <c r="A36" s="1" t="s">
        <v>39</v>
      </c>
      <c r="B36" s="1" t="s">
        <v>40</v>
      </c>
      <c r="C36" s="1" t="s">
        <v>41</v>
      </c>
      <c r="D36" s="1" t="s">
        <v>42</v>
      </c>
      <c r="E36" s="1" t="s">
        <v>43</v>
      </c>
      <c r="L36" s="19" t="s">
        <v>44</v>
      </c>
      <c r="M36" s="20">
        <f>(143.2-115.3)*2</f>
        <v>55.8</v>
      </c>
      <c r="N36" s="10"/>
    </row>
    <row r="37">
      <c r="A37" s="1" t="s">
        <v>45</v>
      </c>
      <c r="B37" s="1">
        <v>3263630.0</v>
      </c>
      <c r="C37" s="1">
        <v>2534916.0</v>
      </c>
      <c r="D37" s="1">
        <f>(1001063+911225)</f>
        <v>1912288</v>
      </c>
      <c r="E37">
        <f t="shared" ref="E37:E42" si="6">(C37-D37)</f>
        <v>622628</v>
      </c>
    </row>
    <row r="38">
      <c r="A38" s="1" t="s">
        <v>46</v>
      </c>
      <c r="B38" s="1">
        <v>2900376.0</v>
      </c>
      <c r="C38" s="1">
        <v>2426398.0</v>
      </c>
      <c r="D38" s="1">
        <v>1813342.0</v>
      </c>
      <c r="E38">
        <f t="shared" si="6"/>
        <v>613056</v>
      </c>
      <c r="F38" s="11"/>
      <c r="G38" s="11"/>
    </row>
    <row r="39">
      <c r="A39" s="1" t="s">
        <v>47</v>
      </c>
      <c r="B39" s="1">
        <f>2148544-37597</f>
        <v>2110947</v>
      </c>
      <c r="C39" s="1">
        <v>2042412.0</v>
      </c>
      <c r="D39" s="1">
        <f>(1547410+225622)</f>
        <v>1773032</v>
      </c>
      <c r="E39">
        <f t="shared" si="6"/>
        <v>269380</v>
      </c>
      <c r="F39" s="11"/>
      <c r="G39" s="11"/>
    </row>
    <row r="40">
      <c r="A40" s="1" t="s">
        <v>48</v>
      </c>
      <c r="B40" s="1">
        <v>4713944.0</v>
      </c>
      <c r="C40" s="1">
        <v>2520311.0</v>
      </c>
      <c r="D40">
        <f>(1161821+1163443)</f>
        <v>2325264</v>
      </c>
      <c r="E40">
        <f t="shared" si="6"/>
        <v>195047</v>
      </c>
      <c r="R40" s="1" t="s">
        <v>49</v>
      </c>
      <c r="S40" s="1" t="s">
        <v>50</v>
      </c>
      <c r="T40" s="1" t="s">
        <v>51</v>
      </c>
      <c r="U40" s="1" t="s">
        <v>52</v>
      </c>
      <c r="V40" s="1" t="s">
        <v>53</v>
      </c>
    </row>
    <row r="41">
      <c r="A41" s="1" t="s">
        <v>54</v>
      </c>
      <c r="B41" s="1">
        <v>3769960.0</v>
      </c>
      <c r="C41" s="1">
        <v>2756370.0</v>
      </c>
      <c r="D41">
        <f>(1251234+1146584)</f>
        <v>2397818</v>
      </c>
      <c r="E41">
        <f t="shared" si="6"/>
        <v>358552</v>
      </c>
      <c r="L41" s="21" t="s">
        <v>55</v>
      </c>
      <c r="M41" s="22" t="s">
        <v>11</v>
      </c>
      <c r="N41" s="22" t="s">
        <v>12</v>
      </c>
      <c r="O41" s="22" t="s">
        <v>13</v>
      </c>
      <c r="P41" s="21" t="s">
        <v>56</v>
      </c>
      <c r="R41" s="1">
        <v>4010.0</v>
      </c>
      <c r="S41" s="23">
        <v>1.243</v>
      </c>
      <c r="T41" s="1">
        <v>48.8</v>
      </c>
      <c r="U41">
        <f t="shared" ref="U41:U43" si="7">R41*(1+S41)</f>
        <v>8994.43</v>
      </c>
      <c r="V41">
        <f t="shared" ref="V41:V43" si="8">U41/T41</f>
        <v>184.3120902</v>
      </c>
    </row>
    <row r="42">
      <c r="A42" s="1" t="s">
        <v>57</v>
      </c>
      <c r="B42">
        <f>(885809-5303)</f>
        <v>880506</v>
      </c>
      <c r="C42" s="1">
        <v>2362663.0</v>
      </c>
      <c r="D42">
        <f>624696+35434</f>
        <v>660130</v>
      </c>
      <c r="E42">
        <f t="shared" si="6"/>
        <v>1702533</v>
      </c>
      <c r="L42" s="24" t="s">
        <v>58</v>
      </c>
      <c r="M42" s="1">
        <v>48.0</v>
      </c>
      <c r="P42" s="25">
        <f t="shared" ref="P42:P46" si="9">$M42*$H$6+$N42*$H$7+$O42*$H$8</f>
        <v>3514209.279</v>
      </c>
      <c r="R42" s="1">
        <v>4010.0</v>
      </c>
      <c r="S42" s="23">
        <v>1.393</v>
      </c>
      <c r="T42" s="1">
        <v>52.1</v>
      </c>
      <c r="U42">
        <f t="shared" si="7"/>
        <v>9595.93</v>
      </c>
      <c r="V42">
        <f t="shared" si="8"/>
        <v>184.1829175</v>
      </c>
    </row>
    <row r="43">
      <c r="L43" s="24" t="s">
        <v>59</v>
      </c>
      <c r="M43" s="1">
        <v>30.0</v>
      </c>
      <c r="N43" s="1">
        <v>30.0</v>
      </c>
      <c r="P43" s="25">
        <f t="shared" si="9"/>
        <v>3655556.326</v>
      </c>
      <c r="R43" s="1">
        <v>2439.0</v>
      </c>
      <c r="S43" s="26">
        <v>2.29</v>
      </c>
      <c r="T43" s="1">
        <v>43.6</v>
      </c>
      <c r="U43">
        <f t="shared" si="7"/>
        <v>8024.31</v>
      </c>
      <c r="V43">
        <f t="shared" si="8"/>
        <v>184.0438073</v>
      </c>
    </row>
    <row r="44">
      <c r="B44" s="1" t="s">
        <v>60</v>
      </c>
      <c r="L44" s="24" t="s">
        <v>61</v>
      </c>
      <c r="O44" s="1">
        <v>42.0</v>
      </c>
      <c r="P44" s="25">
        <f t="shared" si="9"/>
        <v>3979832.564</v>
      </c>
      <c r="V44">
        <f>average(V41:V43)</f>
        <v>184.179605</v>
      </c>
    </row>
    <row r="45">
      <c r="A45" s="1" t="s">
        <v>62</v>
      </c>
      <c r="B45" s="1" t="s">
        <v>63</v>
      </c>
      <c r="C45" s="1" t="s">
        <v>64</v>
      </c>
      <c r="D45" s="1" t="s">
        <v>65</v>
      </c>
      <c r="L45" s="24" t="s">
        <v>66</v>
      </c>
      <c r="M45" s="1">
        <v>30.0</v>
      </c>
      <c r="N45" s="1">
        <v>30.0</v>
      </c>
      <c r="O45" s="1">
        <v>18.0</v>
      </c>
      <c r="P45" s="25">
        <f t="shared" si="9"/>
        <v>5361198.854</v>
      </c>
      <c r="T45" s="1">
        <v>4010.0</v>
      </c>
      <c r="U45">
        <f>T45*0.15/V44</f>
        <v>3.265833913</v>
      </c>
    </row>
    <row r="46">
      <c r="A46" s="1" t="s">
        <v>46</v>
      </c>
      <c r="B46" s="27">
        <v>1.3233989E7</v>
      </c>
      <c r="C46" s="27">
        <v>1.1219116E7</v>
      </c>
      <c r="D46" s="27">
        <f t="shared" ref="D46:D51" si="10">B46-C46</f>
        <v>2014873</v>
      </c>
      <c r="L46" s="28" t="s">
        <v>61</v>
      </c>
      <c r="M46" s="20"/>
      <c r="N46" s="20"/>
      <c r="O46" s="3">
        <v>36.0</v>
      </c>
      <c r="P46" s="29">
        <f t="shared" si="9"/>
        <v>3411285.055</v>
      </c>
    </row>
    <row r="47">
      <c r="A47" s="1" t="s">
        <v>47</v>
      </c>
      <c r="B47" s="27">
        <v>1.0620587E7</v>
      </c>
      <c r="C47" s="27">
        <v>8445630.0</v>
      </c>
      <c r="D47" s="27">
        <f t="shared" si="10"/>
        <v>2174957</v>
      </c>
    </row>
    <row r="48">
      <c r="A48" s="1" t="s">
        <v>48</v>
      </c>
      <c r="B48" s="27">
        <v>1.4052922E7</v>
      </c>
      <c r="C48" s="27">
        <v>7601991.0</v>
      </c>
      <c r="D48" s="27">
        <f t="shared" si="10"/>
        <v>6450931</v>
      </c>
      <c r="R48" s="30"/>
      <c r="S48" s="31"/>
      <c r="T48" s="15"/>
    </row>
    <row r="49">
      <c r="A49" s="1" t="s">
        <v>54</v>
      </c>
      <c r="B49" s="27">
        <v>1.7061423E7</v>
      </c>
      <c r="C49" s="27">
        <v>1.4867517E7</v>
      </c>
      <c r="D49" s="27">
        <f t="shared" si="10"/>
        <v>2193906</v>
      </c>
      <c r="L49" s="13" t="s">
        <v>67</v>
      </c>
      <c r="M49" s="31"/>
      <c r="N49" s="31"/>
      <c r="O49" s="15"/>
      <c r="R49" s="17" t="s">
        <v>68</v>
      </c>
      <c r="S49" t="str">
        <f>"+Hemo DPS"</f>
        <v>+Hemo DPS</v>
      </c>
      <c r="T49" s="18"/>
    </row>
    <row r="50">
      <c r="A50" s="1" t="s">
        <v>57</v>
      </c>
      <c r="B50" s="27">
        <v>1.8602362E7</v>
      </c>
      <c r="C50" s="27">
        <v>1.5804272E7</v>
      </c>
      <c r="D50" s="27">
        <f t="shared" si="10"/>
        <v>2798090</v>
      </c>
      <c r="L50" s="17" t="s">
        <v>69</v>
      </c>
      <c r="M50" s="1" t="s">
        <v>23</v>
      </c>
      <c r="N50" s="1" t="s">
        <v>13</v>
      </c>
      <c r="O50" s="18"/>
      <c r="R50" s="17">
        <v>1.0</v>
      </c>
      <c r="S50" s="5">
        <f>E111</f>
        <v>2848711.658</v>
      </c>
      <c r="T50" s="32">
        <f t="shared" ref="T50:T52" si="11">S50+52*B$7</f>
        <v>4173125.535</v>
      </c>
    </row>
    <row r="51">
      <c r="A51" s="1" t="s">
        <v>45</v>
      </c>
      <c r="B51" s="27">
        <v>5.859388E7</v>
      </c>
      <c r="C51" s="27">
        <v>4.7694184E7</v>
      </c>
      <c r="D51" s="27">
        <f t="shared" si="10"/>
        <v>10899696</v>
      </c>
      <c r="L51" s="17">
        <v>128.0</v>
      </c>
      <c r="M51" s="1">
        <v>48.0</v>
      </c>
      <c r="N51" s="1">
        <v>74.0</v>
      </c>
      <c r="O51" s="18"/>
      <c r="R51" s="17">
        <v>2.0</v>
      </c>
      <c r="S51" s="5">
        <f>E105-E111</f>
        <v>2413401.253</v>
      </c>
      <c r="T51" s="32">
        <f t="shared" si="11"/>
        <v>3737815.13</v>
      </c>
    </row>
    <row r="52">
      <c r="B52" s="5">
        <f>sum(B46:B51)</f>
        <v>132165163</v>
      </c>
      <c r="C52" s="5">
        <f t="shared" ref="C52:D52" si="12">sum(C46:C51)-C48</f>
        <v>98030719</v>
      </c>
      <c r="D52" s="5">
        <f t="shared" si="12"/>
        <v>20081522</v>
      </c>
      <c r="L52" s="17">
        <v>144.0</v>
      </c>
      <c r="M52" s="1">
        <v>64.0</v>
      </c>
      <c r="O52" s="18"/>
      <c r="R52" s="17">
        <v>3.0</v>
      </c>
      <c r="S52" s="5">
        <f>E99-E105</f>
        <v>2132998.581</v>
      </c>
      <c r="T52" s="32">
        <f t="shared" si="11"/>
        <v>3457412.458</v>
      </c>
    </row>
    <row r="53">
      <c r="C53" s="5">
        <f t="shared" ref="C53:D53" si="13">B52-C52</f>
        <v>34134444</v>
      </c>
      <c r="D53" s="5">
        <f t="shared" si="13"/>
        <v>77949197</v>
      </c>
      <c r="L53" s="33">
        <f t="shared" ref="L53:L54" si="14">L51*$B$7</f>
        <v>3260095.697</v>
      </c>
      <c r="M53">
        <f t="shared" ref="M53:M54" si="15">M51*$B$6</f>
        <v>1508152.647</v>
      </c>
      <c r="N53">
        <f t="shared" ref="N53:N54" si="16">N$51*$B$8</f>
        <v>1845514.496</v>
      </c>
      <c r="O53" s="18">
        <f t="shared" ref="O53:O54" si="17">sum(L53:N53)</f>
        <v>6613762.839</v>
      </c>
      <c r="R53" s="17" t="s">
        <v>61</v>
      </c>
      <c r="S53">
        <f>B8*3.7*20</f>
        <v>1845514.496</v>
      </c>
      <c r="T53" s="18"/>
    </row>
    <row r="54">
      <c r="L54" s="34">
        <f t="shared" si="14"/>
        <v>3667607.659</v>
      </c>
      <c r="M54" s="20">
        <f t="shared" si="15"/>
        <v>2010870.196</v>
      </c>
      <c r="N54" s="20">
        <f t="shared" si="16"/>
        <v>1845514.496</v>
      </c>
      <c r="O54" s="10">
        <f t="shared" si="17"/>
        <v>7523992.35</v>
      </c>
      <c r="R54" s="19" t="s">
        <v>70</v>
      </c>
      <c r="S54" s="20">
        <f>(B7+B6)*48</f>
        <v>2730688.533</v>
      </c>
      <c r="T54" s="10"/>
    </row>
    <row r="55">
      <c r="A55" s="1"/>
      <c r="C55" s="1"/>
    </row>
    <row r="56">
      <c r="A56" s="1"/>
      <c r="B56" s="1" t="s">
        <v>60</v>
      </c>
      <c r="C56" s="1"/>
      <c r="D56" s="1"/>
    </row>
    <row r="57">
      <c r="A57" s="1" t="s">
        <v>71</v>
      </c>
      <c r="B57" s="1" t="s">
        <v>63</v>
      </c>
      <c r="C57" s="1" t="s">
        <v>72</v>
      </c>
      <c r="D57" s="1" t="s">
        <v>65</v>
      </c>
    </row>
    <row r="58">
      <c r="A58" s="1" t="s">
        <v>73</v>
      </c>
      <c r="B58" s="27">
        <v>5.859388E7</v>
      </c>
      <c r="C58" s="27">
        <v>4.7032946E7</v>
      </c>
      <c r="D58" s="27">
        <v>5.2061275E7</v>
      </c>
    </row>
    <row r="59">
      <c r="A59" s="1" t="s">
        <v>74</v>
      </c>
      <c r="B59" s="27">
        <v>1.8602362E7</v>
      </c>
      <c r="C59" s="27">
        <v>1.4498711E7</v>
      </c>
      <c r="D59" s="27">
        <v>1.4924476E7</v>
      </c>
    </row>
    <row r="60">
      <c r="A60" s="1" t="s">
        <v>75</v>
      </c>
      <c r="B60" s="27">
        <v>1.7061423E7</v>
      </c>
      <c r="C60" s="27">
        <v>1.3928695E7</v>
      </c>
      <c r="D60" s="27">
        <v>1.6623625E7</v>
      </c>
    </row>
    <row r="61">
      <c r="A61" s="1" t="s">
        <v>76</v>
      </c>
      <c r="B61" s="27">
        <v>1.3233989E7</v>
      </c>
      <c r="C61" s="27">
        <v>1.1012525E7</v>
      </c>
      <c r="D61" s="27">
        <v>1.1759499E7</v>
      </c>
    </row>
    <row r="62">
      <c r="A62" s="1" t="s">
        <v>77</v>
      </c>
      <c r="B62" s="27">
        <v>1.0620587E7</v>
      </c>
      <c r="C62" s="27">
        <v>8590719.0</v>
      </c>
      <c r="D62" s="27">
        <v>9649535.0</v>
      </c>
    </row>
    <row r="63">
      <c r="A63" s="1" t="s">
        <v>78</v>
      </c>
      <c r="B63" s="27">
        <v>1.4052922E7</v>
      </c>
      <c r="C63" s="27">
        <v>7863346.0</v>
      </c>
      <c r="D63" s="27">
        <v>1.3165844E7</v>
      </c>
    </row>
    <row r="64">
      <c r="A64" s="1" t="s">
        <v>79</v>
      </c>
      <c r="B64" s="5">
        <f>sum(B58:B63)</f>
        <v>132165163</v>
      </c>
      <c r="C64" s="5">
        <f>Sum(C58:C63)-C63-(790431+75027-56009)</f>
        <v>94254147</v>
      </c>
      <c r="D64" s="5">
        <f>sum(D58:D63)-D59</f>
        <v>103259778</v>
      </c>
    </row>
    <row r="65">
      <c r="A65" s="1" t="s">
        <v>80</v>
      </c>
      <c r="B65" s="5"/>
      <c r="C65" s="5">
        <f>B64-C64</f>
        <v>37911016</v>
      </c>
      <c r="D65" s="5">
        <f>B64-D64</f>
        <v>28905385</v>
      </c>
    </row>
    <row r="66">
      <c r="C66" s="23"/>
      <c r="G66" s="1"/>
    </row>
    <row r="67">
      <c r="C67" s="23"/>
      <c r="G67" s="1"/>
    </row>
    <row r="68">
      <c r="B68" s="1"/>
      <c r="C68" s="23"/>
      <c r="G68" s="1"/>
    </row>
    <row r="69">
      <c r="B69" s="1"/>
      <c r="C69" s="23"/>
      <c r="G69" s="1"/>
    </row>
    <row r="70">
      <c r="B70" s="1"/>
      <c r="C70" s="23"/>
      <c r="G70" s="1"/>
    </row>
    <row r="71">
      <c r="A71" s="1" t="s">
        <v>81</v>
      </c>
      <c r="B71" s="1"/>
      <c r="C71" s="23"/>
      <c r="G71" s="1"/>
    </row>
    <row r="72">
      <c r="A72" s="1" t="s">
        <v>82</v>
      </c>
    </row>
    <row r="73">
      <c r="A73" s="1" t="s">
        <v>83</v>
      </c>
      <c r="B73" s="1">
        <v>1166421.0</v>
      </c>
    </row>
    <row r="74">
      <c r="A74" s="1" t="s">
        <v>84</v>
      </c>
      <c r="B74" s="1">
        <v>1284310.0</v>
      </c>
    </row>
    <row r="75">
      <c r="A75" s="1" t="s">
        <v>85</v>
      </c>
      <c r="B75" s="1">
        <v>2352788.0</v>
      </c>
    </row>
    <row r="76">
      <c r="A76" s="1" t="s">
        <v>86</v>
      </c>
      <c r="B76" s="1">
        <v>2527751.0</v>
      </c>
    </row>
    <row r="79">
      <c r="A79" s="13" t="s">
        <v>87</v>
      </c>
      <c r="B79" s="31"/>
      <c r="C79" s="31"/>
      <c r="D79" s="31"/>
      <c r="E79" s="31"/>
      <c r="F79" s="31"/>
      <c r="G79" s="31"/>
      <c r="H79" s="31"/>
      <c r="I79" s="31"/>
      <c r="J79" s="15"/>
    </row>
    <row r="80">
      <c r="A80" s="17" t="s">
        <v>84</v>
      </c>
      <c r="B80" s="1">
        <v>1284310.0</v>
      </c>
      <c r="J80" s="18"/>
    </row>
    <row r="81">
      <c r="A81" s="17" t="s">
        <v>85</v>
      </c>
      <c r="B81" s="1">
        <v>2356807.0</v>
      </c>
      <c r="C81" s="1"/>
      <c r="E81" s="1"/>
      <c r="F81" s="1"/>
      <c r="G81" s="1"/>
      <c r="H81" s="1"/>
      <c r="I81" s="1"/>
      <c r="J81" s="4"/>
    </row>
    <row r="82">
      <c r="A82" s="17" t="s">
        <v>86</v>
      </c>
      <c r="B82" s="1">
        <v>2532069.0</v>
      </c>
      <c r="J82" s="18"/>
    </row>
    <row r="83">
      <c r="A83" s="33"/>
      <c r="E83" s="35"/>
      <c r="F83" s="35"/>
      <c r="G83" s="35"/>
      <c r="H83" s="35"/>
      <c r="I83" s="35"/>
      <c r="J83" s="36"/>
    </row>
    <row r="84">
      <c r="A84" s="17" t="s">
        <v>88</v>
      </c>
      <c r="B84" s="1" t="s">
        <v>89</v>
      </c>
      <c r="C84" s="1" t="s">
        <v>90</v>
      </c>
      <c r="J84" s="18"/>
    </row>
    <row r="85">
      <c r="A85" s="17" t="s">
        <v>91</v>
      </c>
      <c r="B85" s="1">
        <v>1049389.0</v>
      </c>
      <c r="C85" s="26">
        <v>0.0</v>
      </c>
      <c r="J85" s="18"/>
    </row>
    <row r="86">
      <c r="A86" s="17" t="s">
        <v>84</v>
      </c>
      <c r="B86" s="1">
        <v>2021875.0</v>
      </c>
      <c r="C86" s="12">
        <f t="shared" ref="C86:C88" si="18">B86/B$85</f>
        <v>1.926716404</v>
      </c>
      <c r="J86" s="18"/>
    </row>
    <row r="87">
      <c r="A87" s="17" t="s">
        <v>85</v>
      </c>
      <c r="B87" s="1">
        <v>3784207.0</v>
      </c>
      <c r="C87" s="12">
        <f t="shared" si="18"/>
        <v>3.606105076</v>
      </c>
      <c r="J87" s="18"/>
    </row>
    <row r="88">
      <c r="A88" s="17" t="s">
        <v>86</v>
      </c>
      <c r="B88" s="1">
        <v>4066581.0</v>
      </c>
      <c r="C88" s="12">
        <f t="shared" si="18"/>
        <v>3.875189277</v>
      </c>
      <c r="J88" s="18"/>
    </row>
    <row r="89">
      <c r="A89" s="33"/>
      <c r="J89" s="18"/>
    </row>
    <row r="90">
      <c r="A90" s="17" t="s">
        <v>92</v>
      </c>
      <c r="J90" s="18"/>
    </row>
    <row r="91">
      <c r="A91" s="17" t="s">
        <v>91</v>
      </c>
      <c r="B91" s="1">
        <v>1049389.0</v>
      </c>
      <c r="J91" s="18"/>
    </row>
    <row r="92">
      <c r="A92" s="17" t="s">
        <v>84</v>
      </c>
      <c r="B92" s="1">
        <v>1588662.0</v>
      </c>
      <c r="C92">
        <f t="shared" ref="C92:C94" si="19">B92/B$91</f>
        <v>1.51389237</v>
      </c>
      <c r="J92" s="18"/>
    </row>
    <row r="93">
      <c r="A93" s="17" t="s">
        <v>85</v>
      </c>
      <c r="B93" s="1">
        <v>2469828.0</v>
      </c>
      <c r="C93">
        <f t="shared" si="19"/>
        <v>2.353586706</v>
      </c>
      <c r="J93" s="18"/>
    </row>
    <row r="94">
      <c r="A94" s="17" t="s">
        <v>86</v>
      </c>
      <c r="B94" s="1">
        <v>2689719.0</v>
      </c>
      <c r="C94">
        <f t="shared" si="19"/>
        <v>2.56312864</v>
      </c>
      <c r="J94" s="18"/>
    </row>
    <row r="95">
      <c r="A95" s="33"/>
      <c r="J95" s="18"/>
    </row>
    <row r="96">
      <c r="A96" s="17" t="s">
        <v>93</v>
      </c>
      <c r="J96" s="18"/>
    </row>
    <row r="97">
      <c r="A97" s="17" t="s">
        <v>94</v>
      </c>
      <c r="E97" s="1">
        <v>1.247553127E7</v>
      </c>
      <c r="J97" s="18"/>
    </row>
    <row r="98">
      <c r="A98" s="17" t="s">
        <v>83</v>
      </c>
      <c r="B98" s="1">
        <v>1444194.0</v>
      </c>
      <c r="J98" s="18"/>
    </row>
    <row r="99">
      <c r="A99" s="17" t="s">
        <v>84</v>
      </c>
      <c r="B99" s="1">
        <v>1662366.0</v>
      </c>
      <c r="C99" s="12">
        <f t="shared" ref="C99:C101" si="20">B99/$B$98</f>
        <v>1.151068347</v>
      </c>
      <c r="D99">
        <f>(C99-1)*0.5+(C100-1)*0.2+(C101-1)*0.3</f>
        <v>1.455610327</v>
      </c>
      <c r="E99">
        <f>E97/(1+D99)*D99</f>
        <v>7395111.492</v>
      </c>
      <c r="F99">
        <f>25327808*(1-1/(D99+1))</f>
        <v>15013546.11</v>
      </c>
      <c r="J99" s="18"/>
    </row>
    <row r="100">
      <c r="A100" s="17" t="s">
        <v>85</v>
      </c>
      <c r="B100" s="1">
        <v>5300412.0</v>
      </c>
      <c r="C100" s="12">
        <f t="shared" si="20"/>
        <v>3.670152348</v>
      </c>
      <c r="J100" s="18"/>
    </row>
    <row r="101">
      <c r="A101" s="17" t="s">
        <v>86</v>
      </c>
      <c r="B101" s="1">
        <v>5517041.0</v>
      </c>
      <c r="C101" s="12">
        <f t="shared" si="20"/>
        <v>3.820152279</v>
      </c>
      <c r="J101" s="18"/>
    </row>
    <row r="102">
      <c r="A102" s="33"/>
      <c r="J102" s="18"/>
    </row>
    <row r="103">
      <c r="A103" s="17" t="s">
        <v>88</v>
      </c>
      <c r="B103" s="1" t="s">
        <v>89</v>
      </c>
      <c r="C103" s="1" t="s">
        <v>90</v>
      </c>
      <c r="J103" s="18"/>
    </row>
    <row r="104">
      <c r="A104" s="17" t="s">
        <v>83</v>
      </c>
      <c r="B104" s="1">
        <v>1380478.0</v>
      </c>
      <c r="C104" s="26">
        <v>0.0</v>
      </c>
      <c r="J104" s="18"/>
    </row>
    <row r="105">
      <c r="A105" s="17" t="s">
        <v>84</v>
      </c>
      <c r="B105" s="1">
        <v>1589025.0</v>
      </c>
      <c r="C105" s="12">
        <f t="shared" ref="C105:C107" si="21">B105/B$104</f>
        <v>1.151068688</v>
      </c>
      <c r="D105">
        <f>(C105-1)*0.5+(C106-1)*0.2+(C107-1)*0.3</f>
        <v>1.035763409</v>
      </c>
      <c r="E105" s="37">
        <f>E97/(1+D99)*D105</f>
        <v>5262112.911</v>
      </c>
      <c r="J105" s="18"/>
    </row>
    <row r="106">
      <c r="A106" s="17" t="s">
        <v>85</v>
      </c>
      <c r="B106" s="1">
        <v>3907385.0</v>
      </c>
      <c r="C106" s="12">
        <f t="shared" si="21"/>
        <v>2.830458001</v>
      </c>
      <c r="H106" s="1" t="s">
        <v>95</v>
      </c>
      <c r="I106" s="1">
        <v>1075.0</v>
      </c>
      <c r="J106" s="18"/>
    </row>
    <row r="107">
      <c r="A107" s="17" t="s">
        <v>86</v>
      </c>
      <c r="B107" s="1">
        <v>4114457.0</v>
      </c>
      <c r="C107" s="12">
        <f t="shared" si="21"/>
        <v>2.980458218</v>
      </c>
      <c r="H107" s="1" t="s">
        <v>96</v>
      </c>
      <c r="I107" s="1">
        <v>104474.0</v>
      </c>
      <c r="J107" s="18">
        <f>(110*1)/(I106+100)+1</f>
        <v>1.093617021</v>
      </c>
    </row>
    <row r="108">
      <c r="A108" s="33"/>
      <c r="H108" s="1" t="s">
        <v>97</v>
      </c>
      <c r="I108" s="1">
        <v>112867.0</v>
      </c>
      <c r="J108" s="18">
        <f>I108/I107</f>
        <v>1.080335777</v>
      </c>
    </row>
    <row r="109">
      <c r="A109" s="17" t="s">
        <v>92</v>
      </c>
      <c r="B109" s="1" t="s">
        <v>89</v>
      </c>
      <c r="C109" s="1" t="s">
        <v>90</v>
      </c>
      <c r="H109" s="1" t="s">
        <v>98</v>
      </c>
      <c r="I109" s="1">
        <v>127675.0</v>
      </c>
      <c r="J109" s="18">
        <f>I109/I107</f>
        <v>1.222074392</v>
      </c>
    </row>
    <row r="110">
      <c r="A110" s="17" t="s">
        <v>83</v>
      </c>
      <c r="B110" s="1">
        <v>1333327.0</v>
      </c>
      <c r="C110" s="26">
        <v>0.0</v>
      </c>
      <c r="J110" s="18"/>
    </row>
    <row r="111">
      <c r="A111" s="17" t="s">
        <v>84</v>
      </c>
      <c r="B111" s="1">
        <v>1534751.0</v>
      </c>
      <c r="C111" s="12">
        <f t="shared" ref="C111:C113" si="22">B111/B$104</f>
        <v>1.11175332</v>
      </c>
      <c r="D111">
        <f>(C111-1)*0.5+(C112-1)*0.2+(C113-1)*0.3</f>
        <v>0.5607236769</v>
      </c>
      <c r="E111">
        <f>E97/(1+D99)*D111</f>
        <v>2848711.658</v>
      </c>
      <c r="H111" s="1" t="s">
        <v>99</v>
      </c>
      <c r="I111" s="1">
        <v>1133.0</v>
      </c>
      <c r="J111" s="18"/>
    </row>
    <row r="112">
      <c r="A112" s="17" t="s">
        <v>85</v>
      </c>
      <c r="B112" s="1">
        <v>2654339.0</v>
      </c>
      <c r="C112" s="12">
        <f t="shared" si="22"/>
        <v>1.922768056</v>
      </c>
      <c r="H112" s="1" t="s">
        <v>96</v>
      </c>
      <c r="I112" s="1">
        <v>109419.0</v>
      </c>
      <c r="J112" s="18">
        <f>(110*2)/(I111+100)+1</f>
        <v>1.178426602</v>
      </c>
    </row>
    <row r="113">
      <c r="A113" s="17" t="s">
        <v>86</v>
      </c>
      <c r="B113" s="1">
        <v>2854338.0</v>
      </c>
      <c r="C113" s="12">
        <f t="shared" si="22"/>
        <v>2.067644685</v>
      </c>
      <c r="H113" s="1" t="s">
        <v>97</v>
      </c>
      <c r="I113" s="1">
        <v>126204.0</v>
      </c>
      <c r="J113" s="18">
        <f>I113/I112</f>
        <v>1.153401146</v>
      </c>
    </row>
    <row r="114">
      <c r="A114" s="17" t="s">
        <v>100</v>
      </c>
      <c r="B114" s="1">
        <v>4187665.0</v>
      </c>
      <c r="H114" s="1" t="s">
        <v>98</v>
      </c>
      <c r="I114" s="1">
        <v>141181.0</v>
      </c>
      <c r="J114" s="18">
        <f>I114/I112</f>
        <v>1.290278654</v>
      </c>
    </row>
    <row r="115">
      <c r="A115" s="33"/>
      <c r="J115" s="18"/>
    </row>
    <row r="116">
      <c r="A116" s="17" t="s">
        <v>101</v>
      </c>
      <c r="B116" s="1" t="s">
        <v>89</v>
      </c>
      <c r="C116" s="1" t="s">
        <v>90</v>
      </c>
      <c r="H116" s="1" t="s">
        <v>102</v>
      </c>
      <c r="I116" s="1">
        <v>1190.0</v>
      </c>
      <c r="J116" s="18"/>
    </row>
    <row r="117">
      <c r="A117" s="17" t="s">
        <v>83</v>
      </c>
      <c r="B117" s="1">
        <v>1433092.0</v>
      </c>
      <c r="C117" s="26">
        <v>0.0</v>
      </c>
      <c r="H117" s="1" t="s">
        <v>96</v>
      </c>
      <c r="I117" s="1">
        <v>115168.0</v>
      </c>
      <c r="J117" s="18">
        <f>(110*3)/(I116+100)+1</f>
        <v>1.255813953</v>
      </c>
    </row>
    <row r="118">
      <c r="A118" s="17" t="s">
        <v>84</v>
      </c>
      <c r="B118" s="1"/>
      <c r="C118" s="12">
        <f t="shared" ref="C118:C120" si="23">B118/B$104</f>
        <v>0</v>
      </c>
      <c r="H118" s="1" t="s">
        <v>97</v>
      </c>
      <c r="I118" s="1">
        <v>139347.0</v>
      </c>
      <c r="J118" s="18">
        <f>I118/I117</f>
        <v>1.209945471</v>
      </c>
    </row>
    <row r="119">
      <c r="A119" s="17" t="s">
        <v>85</v>
      </c>
      <c r="B119" s="1"/>
      <c r="C119" s="12">
        <f t="shared" si="23"/>
        <v>0</v>
      </c>
      <c r="H119" s="1" t="s">
        <v>98</v>
      </c>
      <c r="I119" s="1">
        <v>154974.0</v>
      </c>
      <c r="J119" s="18">
        <f>I119/I117</f>
        <v>1.345634204</v>
      </c>
    </row>
    <row r="120">
      <c r="A120" s="19" t="s">
        <v>86</v>
      </c>
      <c r="B120" s="3">
        <v>1619843.0</v>
      </c>
      <c r="C120" s="38">
        <f t="shared" si="23"/>
        <v>1.173392839</v>
      </c>
      <c r="D120" s="20"/>
      <c r="E120" s="20"/>
      <c r="F120" s="20"/>
      <c r="G120" s="20"/>
      <c r="H120" s="20"/>
      <c r="I120" s="20"/>
      <c r="J120" s="10"/>
    </row>
    <row r="121">
      <c r="A121" s="1"/>
      <c r="B121" s="1"/>
    </row>
    <row r="127">
      <c r="B127" s="1" t="s">
        <v>103</v>
      </c>
      <c r="C127" s="1" t="s">
        <v>104</v>
      </c>
      <c r="D127" s="1" t="s">
        <v>105</v>
      </c>
      <c r="E127" s="1" t="s">
        <v>106</v>
      </c>
      <c r="F127" s="1" t="s">
        <v>107</v>
      </c>
    </row>
    <row r="128">
      <c r="A128" s="1" t="s">
        <v>108</v>
      </c>
      <c r="B128" s="1">
        <v>4.0</v>
      </c>
      <c r="C128" s="1">
        <v>2.0</v>
      </c>
      <c r="D128" s="1">
        <v>420000.0</v>
      </c>
      <c r="E128">
        <f>1.5+0.014*5/6*B128*6</f>
        <v>1.78</v>
      </c>
      <c r="F128">
        <f t="shared" ref="F128:F129" si="24">(B128*(6+C128))*D128*E128</f>
        <v>23923200</v>
      </c>
      <c r="G128">
        <f>F128*(1+2+3+4)/4*1/60</f>
        <v>996800</v>
      </c>
      <c r="H128">
        <f>F128/60</f>
        <v>398720</v>
      </c>
    </row>
    <row r="129">
      <c r="F129">
        <f t="shared" si="24"/>
        <v>0</v>
      </c>
      <c r="G129">
        <v>1000526.4625765386</v>
      </c>
    </row>
    <row r="130">
      <c r="A130" s="1" t="s">
        <v>109</v>
      </c>
      <c r="B130" s="1">
        <v>4.0</v>
      </c>
      <c r="C130" s="1">
        <v>2.0</v>
      </c>
      <c r="D130" s="1">
        <v>9.0</v>
      </c>
      <c r="E130" s="5">
        <f>H6</f>
        <v>73212.69332</v>
      </c>
      <c r="F130">
        <f>E130*D130*C130</f>
        <v>1317828.48</v>
      </c>
      <c r="G130">
        <f>B130*C130*D130*E130</f>
        <v>5271313.919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1.0" topLeftCell="B12" activePane="bottomRight" state="frozen"/>
      <selection activeCell="B1" sqref="B1" pane="topRight"/>
      <selection activeCell="A12" sqref="A12" pane="bottomLeft"/>
      <selection activeCell="B12" sqref="B12" pane="bottomRight"/>
    </sheetView>
  </sheetViews>
  <sheetFormatPr customHeight="1" defaultColWidth="12.63" defaultRowHeight="15.75"/>
  <cols>
    <col customWidth="1" min="2" max="2" width="16.0"/>
    <col customWidth="1" min="10" max="10" width="16.5"/>
    <col customWidth="1" min="15" max="15" width="2.63"/>
  </cols>
  <sheetData>
    <row r="1">
      <c r="A1" s="78">
        <v>42086.0</v>
      </c>
      <c r="B1" s="1" t="s">
        <v>117</v>
      </c>
      <c r="C1" s="1" t="s">
        <v>23</v>
      </c>
      <c r="D1" s="1" t="s">
        <v>12</v>
      </c>
      <c r="E1" s="1" t="s">
        <v>24</v>
      </c>
      <c r="F1" s="1" t="s">
        <v>25</v>
      </c>
      <c r="G1" s="1" t="s">
        <v>26</v>
      </c>
      <c r="H1" s="21" t="s">
        <v>1</v>
      </c>
      <c r="I1" s="21" t="s">
        <v>123</v>
      </c>
      <c r="J1" s="1" t="s">
        <v>527</v>
      </c>
      <c r="K1" s="1">
        <f>sum(K2:K3)</f>
        <v>-157960.3879</v>
      </c>
      <c r="R1" s="1" t="s">
        <v>528</v>
      </c>
      <c r="AE1" s="1">
        <v>4.0</v>
      </c>
    </row>
    <row r="2">
      <c r="A2" s="1" t="s">
        <v>111</v>
      </c>
      <c r="B2" s="11">
        <f>Ass_Statlog!B2</f>
        <v>22796.83278</v>
      </c>
      <c r="C2" s="7">
        <f>Ass_Statlog!C2</f>
        <v>19.32498997</v>
      </c>
      <c r="D2" s="7">
        <f>Ass_Statlog!D2</f>
        <v>20.84908027</v>
      </c>
      <c r="E2" s="7">
        <f>Ass_Statlog!E2</f>
        <v>1.607110368</v>
      </c>
      <c r="F2" s="11">
        <f>Ass_Statlog!F2</f>
        <v>1070.591304</v>
      </c>
      <c r="G2" s="7">
        <f>Ass_Statlog!G2</f>
        <v>0.8844080268</v>
      </c>
      <c r="H2" s="21" t="s">
        <v>23</v>
      </c>
      <c r="I2" s="47">
        <f>SUM(P11:P1001)</f>
        <v>27805.17416</v>
      </c>
      <c r="J2" s="79">
        <f>(I2+DirgeParse!I2+IllyParse!I2+WardenParse!I2+ChannelerParse!I2+BerserkerParse!I2)</f>
        <v>64586.77632</v>
      </c>
      <c r="K2" s="1">
        <f>((92-176)+(22.2-20.2)+0.008*(370-336)*1.1)*I2*1.08</f>
        <v>-2453441.371</v>
      </c>
      <c r="L2" s="80">
        <f>J2*15*1.1+200*J5*1.4</f>
        <v>1520990.542</v>
      </c>
      <c r="M2" s="73">
        <f t="shared" ref="M2:M4" si="1">$I2/$I$2</f>
        <v>1</v>
      </c>
      <c r="Q2" s="1" t="s">
        <v>529</v>
      </c>
      <c r="R2" s="1" t="s">
        <v>530</v>
      </c>
      <c r="S2" s="1" t="s">
        <v>531</v>
      </c>
      <c r="AD2" s="1" t="s">
        <v>532</v>
      </c>
      <c r="AE2" s="1" t="s">
        <v>533</v>
      </c>
    </row>
    <row r="3">
      <c r="A3" s="1" t="s">
        <v>112</v>
      </c>
      <c r="B3" s="11">
        <f>Ass_Statlog!B3</f>
        <v>15749</v>
      </c>
      <c r="C3" s="64">
        <f>Ass_Statlog!C3</f>
        <v>16.95</v>
      </c>
      <c r="D3" s="64">
        <f>Ass_Statlog!D3</f>
        <v>16.585</v>
      </c>
      <c r="E3" s="64">
        <f>Ass_Statlog!E3</f>
        <v>0.977</v>
      </c>
      <c r="F3" s="11">
        <f>Ass_Statlog!F3</f>
        <v>1015.5</v>
      </c>
      <c r="G3" s="64">
        <f>Ass_Statlog!G3</f>
        <v>0.845</v>
      </c>
      <c r="H3" s="21" t="s">
        <v>12</v>
      </c>
      <c r="I3" s="47">
        <f>sum(Q11:Q1001)</f>
        <v>22539.37844</v>
      </c>
      <c r="J3" s="79">
        <f>(I3+DirgeParse!I3+IllyParse!I3+WardenParse!I3+ChannelerParse!I3+BerserkerParse!I3)</f>
        <v>43033.91554</v>
      </c>
      <c r="K3" s="1">
        <f>((92)+(22.2-20.2)+0.008*(370-336)*1.1)*I3*1.08</f>
        <v>2295480.983</v>
      </c>
      <c r="L3" s="1" t="s">
        <v>534</v>
      </c>
      <c r="M3" s="73">
        <f t="shared" si="1"/>
        <v>0.8106181354</v>
      </c>
      <c r="N3" s="46" t="s">
        <v>124</v>
      </c>
      <c r="O3">
        <f>80*I3*(1.08+10/60*0.25+0.05*25/60)+120*0.5*(I3-Q13)</f>
        <v>3052488.351</v>
      </c>
      <c r="P3">
        <f>(20*1.08*I3+20*1.13*I2+15*I4)-(110*1.08*I3)</f>
        <v>-1188339.872</v>
      </c>
      <c r="Q3" s="1" t="s">
        <v>12</v>
      </c>
      <c r="R3" s="5">
        <f>I3*152.8*1.08</f>
        <v>3719538.387</v>
      </c>
      <c r="S3" s="5">
        <f>4.8*1.08*20*I3</f>
        <v>2336882.756</v>
      </c>
      <c r="U3" s="1" t="s">
        <v>535</v>
      </c>
      <c r="V3" s="81">
        <f>I3*(52+110*0.5)</f>
        <v>2411713.493</v>
      </c>
      <c r="Y3" s="1" t="s">
        <v>1</v>
      </c>
      <c r="Z3" s="1">
        <v>1.0</v>
      </c>
      <c r="AA3" s="1">
        <v>2.0</v>
      </c>
      <c r="AB3" s="1">
        <v>3.0</v>
      </c>
      <c r="AC3" s="1" t="s">
        <v>2</v>
      </c>
      <c r="AD3" s="82">
        <f>B2/(1.29+0.12*5*12/60)*0.12*12/60*I5</f>
        <v>289582.4106</v>
      </c>
      <c r="AE3" s="82">
        <f>I2*9*$AE$1*1.13</f>
        <v>1131114.485</v>
      </c>
    </row>
    <row r="4">
      <c r="A4" s="1" t="s">
        <v>113</v>
      </c>
      <c r="B4" s="11">
        <f>Ass_Statlog!B4</f>
        <v>20946</v>
      </c>
      <c r="C4" s="64">
        <f>Ass_Statlog!C4</f>
        <v>18.447</v>
      </c>
      <c r="D4" s="64">
        <f>Ass_Statlog!D4</f>
        <v>19.097</v>
      </c>
      <c r="E4" s="64">
        <f>Ass_Statlog!E4</f>
        <v>1.534</v>
      </c>
      <c r="F4" s="11">
        <f>Ass_Statlog!F4</f>
        <v>1069.8</v>
      </c>
      <c r="G4" s="64">
        <f>Ass_Statlog!G4</f>
        <v>0.885</v>
      </c>
      <c r="H4" s="21" t="s">
        <v>13</v>
      </c>
      <c r="I4" s="47">
        <f>sum(R11:R1001)</f>
        <v>24939.38508</v>
      </c>
      <c r="J4" s="79">
        <f>(I4+DirgeParse!I4+IllyParse!I4+WardenParse!I4+ChannelerParse!I4+BerserkerParse!I4)</f>
        <v>94757.91818</v>
      </c>
      <c r="K4">
        <f>I3*20*1.08</f>
        <v>486850.5742</v>
      </c>
      <c r="L4" s="26">
        <v>1.5</v>
      </c>
      <c r="M4" s="73">
        <f t="shared" si="1"/>
        <v>0.8969332444</v>
      </c>
      <c r="N4" s="46" t="s">
        <v>125</v>
      </c>
      <c r="O4">
        <f>54*(I2*1.13+I3*(1.08+10/60*0.25+0.05*25/60))</f>
        <v>3087238.68</v>
      </c>
      <c r="Q4" s="1" t="s">
        <v>11</v>
      </c>
      <c r="R4" s="5">
        <f>I2*152.8*1.13</f>
        <v>4800952.592</v>
      </c>
      <c r="S4" s="5">
        <f>4.8*1.13*20*I2</f>
        <v>3016305.293</v>
      </c>
      <c r="U4" s="1" t="s">
        <v>536</v>
      </c>
      <c r="V4" s="83">
        <f>(I3-Q13)*(52+110*0.5)</f>
        <v>1769760.673</v>
      </c>
      <c r="W4" s="1"/>
      <c r="X4" s="1" t="s">
        <v>37</v>
      </c>
      <c r="Y4" s="1">
        <v>236.0</v>
      </c>
      <c r="Z4" s="11">
        <f t="shared" ref="Z4:AB4" si="2">$Y4*0.1*0.5^(Z$3-1)*$I$5*(1.18+0.29)</f>
        <v>25890.16834</v>
      </c>
      <c r="AA4" s="11">
        <f t="shared" si="2"/>
        <v>12945.08417</v>
      </c>
      <c r="AB4" s="11">
        <f t="shared" si="2"/>
        <v>6472.542084</v>
      </c>
      <c r="AC4" s="83" t="s">
        <v>3</v>
      </c>
      <c r="AD4" s="79">
        <f>DirgeParse!B2/(1.1+0.18*48/60+0.12*5*12/60)*(0.12*12/60)*DirgeParse!I5</f>
        <v>61254.26952</v>
      </c>
      <c r="AE4" s="79">
        <f>DirgeParse!I2*9*$AE$1*1.13</f>
        <v>334285.8055</v>
      </c>
    </row>
    <row r="5">
      <c r="A5" s="1" t="s">
        <v>114</v>
      </c>
      <c r="B5" s="11">
        <f>Ass_Statlog!B5</f>
        <v>30611</v>
      </c>
      <c r="C5" s="64">
        <f>Ass_Statlog!C5</f>
        <v>24.011</v>
      </c>
      <c r="D5" s="64">
        <f>Ass_Statlog!D5+0.25*6+0.52+0.11*0.5</f>
        <v>34.409</v>
      </c>
      <c r="E5" s="64">
        <f>Ass_Statlog!E5</f>
        <v>2.373</v>
      </c>
      <c r="F5" s="11">
        <f>Ass_Statlog!F5</f>
        <v>1120.8</v>
      </c>
      <c r="G5" s="64">
        <f>Ass_Statlog!G5</f>
        <v>0.985</v>
      </c>
      <c r="H5" s="21" t="str">
        <f>B1</f>
        <v>Agility</v>
      </c>
      <c r="I5" s="47">
        <f>SUM(S11:S1001)/500+0.008*I$2+0.008*I$3</f>
        <v>746.2864158</v>
      </c>
      <c r="J5" s="79">
        <f>(I5+DirgeParse!I5+IllyParse!I5+WardenParse!I5+ChannelerParse!I5+BerserkerParse!I5)</f>
        <v>1626.102619</v>
      </c>
      <c r="K5" s="27">
        <f>I5*352*(1+0.29+0.12*5*15/60)</f>
        <v>378277.6584</v>
      </c>
      <c r="L5" s="84">
        <f>B2/1.28*0.18</f>
        <v>3205.804609</v>
      </c>
      <c r="M5" s="85">
        <f>150*1/3*(I2*1.13+I3*(1+0.08+0.05*2/3))</f>
        <v>2825684.407</v>
      </c>
      <c r="N5" s="46" t="s">
        <v>126</v>
      </c>
      <c r="Q5" s="1" t="s">
        <v>537</v>
      </c>
      <c r="R5" s="5">
        <f>(I3+I2)*1.08*92</f>
        <v>5002234.746</v>
      </c>
      <c r="S5" s="27">
        <f>2.4*(1.08*I3+1.13*I2)*20</f>
        <v>2676594.025</v>
      </c>
      <c r="U5" s="1" t="s">
        <v>538</v>
      </c>
      <c r="V5" s="83">
        <f>(I2+I3)*1.08*40</f>
        <v>2174884.672</v>
      </c>
      <c r="X5" s="86" t="s">
        <v>11</v>
      </c>
      <c r="Y5" s="1">
        <v>16.8</v>
      </c>
      <c r="Z5" s="11">
        <f t="shared" ref="Z5:AB5" si="3">$Y5*0.1*0.5^(Z$3-1)*$I$2*1.13</f>
        <v>52785.34263</v>
      </c>
      <c r="AA5" s="11">
        <f t="shared" si="3"/>
        <v>26392.67132</v>
      </c>
      <c r="AB5" s="11">
        <f t="shared" si="3"/>
        <v>13196.33566</v>
      </c>
      <c r="AC5" s="83" t="s">
        <v>4</v>
      </c>
      <c r="AD5" s="79">
        <f>IllyParse!B2/(1.1+0.18*48/60+0.12*5*12/60)*(0.12*12/60)*IllyParse!I5</f>
        <v>74882.31981</v>
      </c>
      <c r="AE5" s="79">
        <f>IllyParse!I2*9*$AE$1*1.13</f>
        <v>307975.6532</v>
      </c>
    </row>
    <row r="6">
      <c r="A6" s="9"/>
      <c r="B6">
        <f>B4/1.28</f>
        <v>16364.0625</v>
      </c>
      <c r="C6" s="64">
        <f>(C2+DirgeParse!C2+IllyParse!C2+WardenParse!C2+ChannelerParse!C2+BerserkerParse!C2)</f>
        <v>100.4069468</v>
      </c>
      <c r="D6">
        <f>($D$14+$D$15)*2.95/$G$2*1/100/(AVERAGE($J$14:$J$15))</f>
        <v>32373.83261</v>
      </c>
      <c r="E6">
        <f>D6*12.3+1.08*(I2+I3)*11.7</f>
        <v>1034351.908</v>
      </c>
      <c r="G6">
        <f>(I2*1.13+I3*1.08)*30</f>
        <v>1672871.266</v>
      </c>
      <c r="H6" s="21" t="s">
        <v>128</v>
      </c>
      <c r="I6" s="47">
        <f>SUM(S11:S1001)/500+0.008*I$2+(0.008+0.0075)*I$3</f>
        <v>915.3317541</v>
      </c>
      <c r="J6" s="79">
        <f>I5*35.2*(1.28+0.29+0.15*4*1/4)*7</f>
        <v>316282.1533</v>
      </c>
      <c r="L6" s="84">
        <f>350*1.1*(I5+0.008*(I2*1.08+I3*1.08))</f>
        <v>454786.3898</v>
      </c>
      <c r="M6" s="87">
        <f>I2*7.5*1.13</f>
        <v>235648.851</v>
      </c>
      <c r="N6" s="46" t="s">
        <v>127</v>
      </c>
      <c r="O6" s="1"/>
      <c r="P6" s="1"/>
      <c r="Q6" s="1" t="s">
        <v>24</v>
      </c>
      <c r="R6" s="5">
        <f>I4*76</f>
        <v>1895393.266</v>
      </c>
      <c r="S6" s="5">
        <f>3.7*I4*20</f>
        <v>1845514.496</v>
      </c>
      <c r="U6" s="1" t="s">
        <v>539</v>
      </c>
      <c r="V6" s="83">
        <f>(I2+I3)*1.08*52</f>
        <v>2827350.074</v>
      </c>
      <c r="X6" s="1" t="s">
        <v>12</v>
      </c>
      <c r="Y6" s="1">
        <v>16.8</v>
      </c>
      <c r="Z6" s="11">
        <f t="shared" ref="Z6:AB6" si="4">$Y6*0.1*0.5^(Z$3-1)*$I$3*1.08</f>
        <v>40895.44823</v>
      </c>
      <c r="AA6" s="11">
        <f t="shared" si="4"/>
        <v>20447.72412</v>
      </c>
      <c r="AB6" s="11">
        <f t="shared" si="4"/>
        <v>10223.86206</v>
      </c>
      <c r="AC6" s="83" t="s">
        <v>5</v>
      </c>
      <c r="AD6" s="79">
        <f>WardenParse!B2/(1.1+0.18*48/60+0.12*5*12/60)*(0.18)*WardenParse!I5</f>
        <v>498258.1825</v>
      </c>
      <c r="AE6" s="79">
        <f>WardenParse!I2*9*$AE$1*1.11</f>
        <v>280388.6703</v>
      </c>
    </row>
    <row r="7">
      <c r="A7" s="87">
        <f>B2-19377</f>
        <v>3419.832776</v>
      </c>
      <c r="B7" s="84">
        <f>B2/(B3/1.28)</f>
        <v>1.85281262</v>
      </c>
      <c r="C7" s="88"/>
      <c r="D7" s="84"/>
      <c r="E7" s="84">
        <f>I2*7*1.13</f>
        <v>219938.9276</v>
      </c>
      <c r="F7" s="84">
        <f>I5*(1.64+0.29)*101</f>
        <v>145473.611</v>
      </c>
      <c r="G7" s="84">
        <f>I7*14</f>
        <v>41722.22123</v>
      </c>
      <c r="H7" s="21" t="s">
        <v>44</v>
      </c>
      <c r="I7" s="47">
        <f>SUM(T13:T1001)/25</f>
        <v>2980.158659</v>
      </c>
      <c r="J7" s="82">
        <f>I2*1.13*73.3</f>
        <v>2303074.771</v>
      </c>
      <c r="K7" s="84">
        <f> 38.6*(1.08+0.05)*13559+38.6*1.08*9484</f>
        <v>986785.454</v>
      </c>
      <c r="L7" s="89">
        <f>J7-K7</f>
        <v>1316289.317</v>
      </c>
      <c r="M7" s="90">
        <f>7.2*(I2*1.13+I3*1.1)</f>
        <v>404734.7742</v>
      </c>
      <c r="N7" s="85"/>
      <c r="O7" s="91">
        <f>48*(1.13*I2+1.08*I3)</f>
        <v>2676594.025</v>
      </c>
      <c r="P7" s="91"/>
      <c r="Q7" s="84"/>
      <c r="R7" s="92"/>
      <c r="S7" s="92"/>
      <c r="T7" s="93"/>
      <c r="U7" s="93">
        <f>(D2/1.08*0.08*100+B2*0.008*1.08)*I3</f>
        <v>7920388.674</v>
      </c>
      <c r="V7" s="84">
        <f>I3*19.3*1.08</f>
        <v>469810.8041</v>
      </c>
      <c r="W7" s="93"/>
      <c r="X7" s="93"/>
      <c r="Y7" s="93"/>
      <c r="Z7" s="85">
        <f>Z5+AA5+Z6+AA6+Z4</f>
        <v>166411.3546</v>
      </c>
      <c r="AA7" s="93"/>
      <c r="AB7" s="93"/>
      <c r="AC7" s="84" t="s">
        <v>6</v>
      </c>
      <c r="AD7" s="79">
        <f>ChannelerParse!B2/(1.1+0.18*48/60+0.12*5*12/60)*(0.12*12/60)*ChannelerParse!I5</f>
        <v>47621.88359</v>
      </c>
      <c r="AE7" s="79">
        <f>ChannelerParse!I2*9*$AE$1*1.11</f>
        <v>216285.287</v>
      </c>
    </row>
    <row r="8">
      <c r="A8" s="49"/>
      <c r="B8" s="49">
        <f>(B6*(1+0.18+0.29)+(B2-B3)-B2)*I5</f>
        <v>6198783.237</v>
      </c>
      <c r="C8" s="94">
        <f>C6/1.13*0.05</f>
        <v>4.442785256</v>
      </c>
      <c r="D8" s="49">
        <f>(D14+D16)*3/(average(J14:J15))*0.01</f>
        <v>18946.29087</v>
      </c>
      <c r="E8" s="49"/>
      <c r="F8" s="49">
        <f>I2*7*1.13</f>
        <v>219938.9276</v>
      </c>
      <c r="G8" s="49">
        <f>J5*139*(1+0.18/5+(0.1+0.29)/6+0.12*5*0.25)</f>
        <v>282761.3583</v>
      </c>
      <c r="H8" s="49">
        <f>10*1.08*I3</f>
        <v>243425.2871</v>
      </c>
      <c r="I8" s="49">
        <f>I5*35.2*1.1*10</f>
        <v>288962.1002</v>
      </c>
      <c r="J8" s="49">
        <f>I3*4.6*1.08*20</f>
        <v>2239512.641</v>
      </c>
      <c r="K8" s="49">
        <f>I5*352*1.28</f>
        <v>336246.8075</v>
      </c>
      <c r="L8" s="84">
        <f>(I5*1.28*35.2)/I3</f>
        <v>1.491819344</v>
      </c>
      <c r="M8" s="95"/>
      <c r="N8" s="85">
        <f>(46+46*0.5)*(I2*1.13+I3*(1.08+0.05*2/3))</f>
        <v>3899444.481</v>
      </c>
      <c r="O8" s="50">
        <f>I4*3.7*20</f>
        <v>1845514.496</v>
      </c>
      <c r="P8" s="50"/>
      <c r="Q8" s="1" t="s">
        <v>540</v>
      </c>
      <c r="R8" s="5">
        <f>76*(C14+C15-($D$14+$D$15)*2.95/$G$2*1/100*22/(AVERAGE($J$14:$J$15)))*((1+E$2+1%)/(1+E$2)-1)</f>
        <v>3015808.714</v>
      </c>
      <c r="S8" s="5">
        <f>3.7*20*(C14+C15-($D$14+$D$15)*2.95/$G$2*1/100*22/(AVERAGE($J$14:$J$15)))*((1+E$2+1%)/(1+E$2)-1)</f>
        <v>2936445.327</v>
      </c>
      <c r="V8" s="1">
        <f>I4*5.5</f>
        <v>137166.6179</v>
      </c>
      <c r="W8">
        <f>24000*0.003</f>
        <v>72</v>
      </c>
      <c r="X8">
        <f>W8*I4</f>
        <v>1795635.725</v>
      </c>
      <c r="AC8" s="1" t="s">
        <v>7</v>
      </c>
      <c r="AD8" s="79">
        <f>BerserkerParse!B2/(1.1+0.18*48/60+0.12*5*12/60)*(0.12*12/60)*BerserkerParse!I5</f>
        <v>64888.27125</v>
      </c>
      <c r="AE8" s="79">
        <f>BerserkerParse!I2*9*$AE$1*1.11</f>
        <v>342224.8654</v>
      </c>
    </row>
    <row r="9">
      <c r="A9" s="9"/>
      <c r="C9" s="1"/>
      <c r="I9" s="96"/>
      <c r="L9" s="96"/>
      <c r="Q9" s="1"/>
      <c r="R9" s="1"/>
      <c r="S9" s="11"/>
      <c r="T9" s="23"/>
      <c r="U9" s="97"/>
      <c r="V9" s="1"/>
      <c r="AD9" s="5">
        <f t="shared" ref="AD9:AE9" si="5">sum(AD3:AD8)</f>
        <v>1036487.337</v>
      </c>
      <c r="AE9" s="5">
        <f t="shared" si="5"/>
        <v>2612274.766</v>
      </c>
    </row>
    <row r="10">
      <c r="A10" s="9" t="s">
        <v>541</v>
      </c>
      <c r="I10" s="96"/>
      <c r="L10" s="96"/>
      <c r="Q10" s="1" t="s">
        <v>26</v>
      </c>
      <c r="R10" s="1" t="s">
        <v>149</v>
      </c>
      <c r="S10" s="11">
        <v>540166.9492126557</v>
      </c>
      <c r="T10" s="23">
        <v>15.0</v>
      </c>
      <c r="U10" s="97">
        <f>(0.008682*$T$10-0.016)</f>
        <v>0.11423</v>
      </c>
      <c r="V10" s="1"/>
      <c r="W10" s="44" t="s">
        <v>542</v>
      </c>
    </row>
    <row r="11">
      <c r="A11" s="49" t="s">
        <v>131</v>
      </c>
      <c r="B11" s="49" t="s">
        <v>89</v>
      </c>
      <c r="C11" s="49" t="s">
        <v>132</v>
      </c>
      <c r="D11" s="49" t="s">
        <v>111</v>
      </c>
      <c r="E11" s="49" t="s">
        <v>133</v>
      </c>
      <c r="F11" s="49" t="s">
        <v>134</v>
      </c>
      <c r="G11" s="49" t="s">
        <v>135</v>
      </c>
      <c r="H11" s="49" t="s">
        <v>136</v>
      </c>
      <c r="I11" s="49" t="s">
        <v>137</v>
      </c>
      <c r="J11" s="49" t="s">
        <v>138</v>
      </c>
      <c r="K11" s="49" t="s">
        <v>28</v>
      </c>
      <c r="L11" s="49" t="s">
        <v>139</v>
      </c>
      <c r="M11" s="49" t="s">
        <v>140</v>
      </c>
      <c r="N11" s="49" t="s">
        <v>141</v>
      </c>
      <c r="O11" s="50"/>
      <c r="P11" s="50" t="s">
        <v>142</v>
      </c>
      <c r="Q11" s="51" t="s">
        <v>143</v>
      </c>
      <c r="R11" s="1" t="s">
        <v>144</v>
      </c>
      <c r="S11" s="1" t="s">
        <v>37</v>
      </c>
      <c r="T11" s="1" t="s">
        <v>44</v>
      </c>
      <c r="V11" s="1"/>
    </row>
    <row r="12">
      <c r="A12" s="1" t="s">
        <v>146</v>
      </c>
      <c r="B12" s="52">
        <v>3.5566484869E10</v>
      </c>
      <c r="C12" s="53">
        <v>5.859387952E7</v>
      </c>
      <c r="D12" s="53">
        <v>3689852.0</v>
      </c>
      <c r="E12" s="52">
        <v>1148.0</v>
      </c>
      <c r="F12" s="52">
        <v>2.29284534E8</v>
      </c>
      <c r="G12" s="52">
        <v>9639.0</v>
      </c>
      <c r="H12" s="52">
        <v>9639.0</v>
      </c>
      <c r="I12" s="1">
        <v>100.0</v>
      </c>
      <c r="J12" s="1">
        <v>1.02</v>
      </c>
      <c r="K12" s="26">
        <v>0.81</v>
      </c>
      <c r="L12" s="1" t="s">
        <v>543</v>
      </c>
      <c r="M12" s="1" t="s">
        <v>146</v>
      </c>
      <c r="N12" s="1">
        <v>100.0</v>
      </c>
      <c r="O12" s="11"/>
      <c r="P12" s="11" t="str">
        <f t="shared" ref="P12:P65" si="6">if($N12&lt;4,$C12*(($L$4+C$2+1%)/($L$4+C$2)-1),"")</f>
        <v/>
      </c>
      <c r="Q12" s="11" t="str">
        <f>if($N12=2,$C12*((1.5+D$2+1%)/(1.5+D$2)-1),"")</f>
        <v/>
      </c>
      <c r="R12" s="11" t="str">
        <f t="shared" ref="R12:R66" si="7">if($N12=1,$C12*((1+E$2+1%)/(1+E$2)-1),"")</f>
        <v/>
      </c>
      <c r="S12" s="55" t="str">
        <f>if($N12&lt;3,C12*((floor((log($B$2+500,2)*0.28-1.2)*100,0.001)/100)/(floor((log($B$2,2)*0.28-1.2)*100,0.001)/100)-1),"")</f>
        <v/>
      </c>
      <c r="T12" s="11"/>
      <c r="V12" s="83">
        <f>T12/25</f>
        <v>0</v>
      </c>
      <c r="X12" s="56"/>
      <c r="AA12" s="1" t="s">
        <v>26</v>
      </c>
      <c r="AB12" s="1" t="s">
        <v>11</v>
      </c>
      <c r="AC12" s="1"/>
      <c r="AD12" s="1"/>
      <c r="AE12" s="1"/>
    </row>
    <row r="13">
      <c r="A13" s="1" t="s">
        <v>148</v>
      </c>
      <c r="B13" s="52">
        <v>7.572647479E9</v>
      </c>
      <c r="C13" s="53">
        <v>1.247553127E7</v>
      </c>
      <c r="D13" s="53">
        <v>1.869789E7</v>
      </c>
      <c r="E13" s="52">
        <v>1504.0</v>
      </c>
      <c r="F13" s="52">
        <v>7.1673716E7</v>
      </c>
      <c r="G13" s="52">
        <v>405.0</v>
      </c>
      <c r="H13" s="52">
        <v>405.0</v>
      </c>
      <c r="I13" s="1">
        <v>100.0</v>
      </c>
      <c r="J13" s="1">
        <v>2.03</v>
      </c>
      <c r="K13" s="26">
        <v>0.0</v>
      </c>
      <c r="L13" s="1" t="s">
        <v>149</v>
      </c>
      <c r="M13" s="1" t="s">
        <v>150</v>
      </c>
      <c r="N13" s="1">
        <v>2.0</v>
      </c>
      <c r="O13" s="11"/>
      <c r="P13" s="11">
        <f t="shared" si="6"/>
        <v>5990.654156</v>
      </c>
      <c r="Q13" s="11">
        <f>if(OR($N13=2,$N13=5),$C13*((1.5+D$2+1%-(0.25*6+0.11*0.5))/(1.5+D$2-(0.25*6+0.11*0.5))-1),"")</f>
        <v>5999.559062</v>
      </c>
      <c r="R13" s="11" t="str">
        <f t="shared" si="7"/>
        <v/>
      </c>
      <c r="S13" s="55">
        <f t="shared" ref="S13:S72" si="8">if(OR($N13&lt;3,$N13=5),C13*((floor((log($B$2+500,2)*0.28-1.2)*100,0.001)/100)/(floor((log($B$2,2)*0.28-1.2)*100,0.001)/100)-1),"")</f>
        <v>38299.7494</v>
      </c>
      <c r="T13" t="str">
        <f>if(K13&gt;0,($D13/(1+0.008682*$T$10-0.016))*(1+0.008682*($T$10+25%)-0.016),)</f>
        <v/>
      </c>
      <c r="U13" s="1" t="s">
        <v>544</v>
      </c>
      <c r="V13" s="1"/>
      <c r="W13" s="1">
        <v>1.0</v>
      </c>
      <c r="X13" s="1" t="s">
        <v>26</v>
      </c>
      <c r="Y13" s="97">
        <f>(D14+D15)*3/(average(J14:J15))*0.01</f>
        <v>29116.96009</v>
      </c>
      <c r="Z13">
        <f t="shared" ref="Z13:Z15" si="9">(AB13-AA13)*Y13*W13</f>
        <v>-358138.6091</v>
      </c>
      <c r="AA13" s="1">
        <v>12.3</v>
      </c>
    </row>
    <row r="14">
      <c r="A14" s="1" t="s">
        <v>155</v>
      </c>
      <c r="B14" s="52">
        <v>4.498450221E9</v>
      </c>
      <c r="C14" s="53">
        <v>7410955.88</v>
      </c>
      <c r="D14" s="53">
        <v>3751835.0</v>
      </c>
      <c r="E14" s="52">
        <v>83692.0</v>
      </c>
      <c r="F14" s="52">
        <v>1.02664183E8</v>
      </c>
      <c r="G14" s="52">
        <v>1199.0</v>
      </c>
      <c r="H14" s="52">
        <v>1199.0</v>
      </c>
      <c r="I14" s="1">
        <v>100.0</v>
      </c>
      <c r="J14" s="1">
        <v>1.55</v>
      </c>
      <c r="K14" s="26">
        <v>0.0</v>
      </c>
      <c r="L14" s="1" t="s">
        <v>149</v>
      </c>
      <c r="M14" s="1" t="s">
        <v>156</v>
      </c>
      <c r="N14" s="1">
        <v>2.0</v>
      </c>
      <c r="O14" s="11"/>
      <c r="P14" s="11">
        <f t="shared" si="6"/>
        <v>3558.68401</v>
      </c>
      <c r="Q14" s="11">
        <f t="shared" ref="Q14:Q65" si="10">if(OR($N14=2,$N14=5),$C14*((1.5+D$2+1%)/(1.5+D$2)-1),"")</f>
        <v>3316.000386</v>
      </c>
      <c r="R14" s="11" t="str">
        <f t="shared" si="7"/>
        <v/>
      </c>
      <c r="S14" s="55">
        <f t="shared" si="8"/>
        <v>22751.55638</v>
      </c>
      <c r="T14" s="11" t="str">
        <f t="shared" ref="T14:T68" si="11">if(K14&gt;0,($C14/(1+0.008682*$T$10-0.016))*0.008682*25%,)</f>
        <v/>
      </c>
      <c r="V14" s="1"/>
      <c r="W14" s="1">
        <v>1.13</v>
      </c>
      <c r="X14" s="35" t="s">
        <v>23</v>
      </c>
      <c r="Y14">
        <v>12078.335442835927</v>
      </c>
      <c r="Z14">
        <f t="shared" si="9"/>
        <v>417644.6829</v>
      </c>
      <c r="AA14" s="1">
        <v>11.7</v>
      </c>
      <c r="AB14" s="1">
        <v>42.3</v>
      </c>
      <c r="AC14" s="1"/>
      <c r="AD14" s="1"/>
      <c r="AE14" s="1"/>
    </row>
    <row r="15">
      <c r="A15" s="1" t="s">
        <v>157</v>
      </c>
      <c r="B15" s="52">
        <v>2.213561418E9</v>
      </c>
      <c r="C15" s="53">
        <v>3646723.92</v>
      </c>
      <c r="D15" s="53">
        <v>5123985.0</v>
      </c>
      <c r="E15" s="52">
        <v>2416228.0</v>
      </c>
      <c r="F15" s="52">
        <v>2.738242E7</v>
      </c>
      <c r="G15" s="52">
        <v>432.0</v>
      </c>
      <c r="H15" s="52">
        <v>432.0</v>
      </c>
      <c r="I15" s="1">
        <v>100.0</v>
      </c>
      <c r="J15" s="1">
        <v>16.74</v>
      </c>
      <c r="K15" s="26">
        <v>1.0</v>
      </c>
      <c r="L15" s="1" t="s">
        <v>545</v>
      </c>
      <c r="M15" s="1" t="s">
        <v>156</v>
      </c>
      <c r="N15" s="1">
        <v>2.0</v>
      </c>
      <c r="O15" s="11"/>
      <c r="P15" s="11">
        <f t="shared" si="6"/>
        <v>1751.128776</v>
      </c>
      <c r="Q15" s="11">
        <f t="shared" si="10"/>
        <v>1631.710959</v>
      </c>
      <c r="R15" s="11" t="str">
        <f t="shared" si="7"/>
        <v/>
      </c>
      <c r="S15" s="55">
        <f t="shared" si="8"/>
        <v>11195.40397</v>
      </c>
      <c r="T15" s="11">
        <f t="shared" si="11"/>
        <v>7103.752608</v>
      </c>
      <c r="V15" s="1"/>
      <c r="W15" s="1">
        <f>1.08+0.05*2/3</f>
        <v>1.113333333</v>
      </c>
      <c r="X15" s="35" t="s">
        <v>12</v>
      </c>
      <c r="Y15">
        <v>8035.365226771831</v>
      </c>
      <c r="Z15">
        <f t="shared" si="9"/>
        <v>-104668.6674</v>
      </c>
      <c r="AA15" s="1">
        <v>11.7</v>
      </c>
    </row>
    <row r="16">
      <c r="A16" s="1" t="s">
        <v>150</v>
      </c>
      <c r="B16" s="52">
        <v>2.02362615E9</v>
      </c>
      <c r="C16" s="53">
        <v>3333815.73</v>
      </c>
      <c r="D16" s="53">
        <v>2023626.0</v>
      </c>
      <c r="E16" s="52">
        <v>527181.0</v>
      </c>
      <c r="F16" s="52">
        <v>9141920.0</v>
      </c>
      <c r="G16" s="52">
        <v>1000.0</v>
      </c>
      <c r="H16" s="52">
        <v>1000.0</v>
      </c>
      <c r="I16" s="1">
        <v>100.0</v>
      </c>
      <c r="J16" s="1">
        <v>2.98</v>
      </c>
      <c r="K16" s="26">
        <v>1.0</v>
      </c>
      <c r="L16" s="1" t="s">
        <v>546</v>
      </c>
      <c r="M16" s="1" t="s">
        <v>150</v>
      </c>
      <c r="N16" s="1">
        <v>1.0</v>
      </c>
      <c r="O16" s="11"/>
      <c r="P16" s="11">
        <f t="shared" si="6"/>
        <v>1600.87267</v>
      </c>
      <c r="Q16" s="11" t="str">
        <f t="shared" si="10"/>
        <v/>
      </c>
      <c r="R16" s="11">
        <f t="shared" si="7"/>
        <v>12787.39777</v>
      </c>
      <c r="S16" s="55">
        <f t="shared" si="8"/>
        <v>10234.77912</v>
      </c>
      <c r="T16" s="11">
        <f t="shared" si="11"/>
        <v>6494.213082</v>
      </c>
      <c r="W16">
        <f>1+0.09*20/80</f>
        <v>1.0225</v>
      </c>
      <c r="X16" s="35" t="s">
        <v>13</v>
      </c>
      <c r="Y16">
        <v>19364.761384777194</v>
      </c>
      <c r="Z16">
        <f>Y13*6</f>
        <v>174701.7605</v>
      </c>
    </row>
    <row r="17">
      <c r="A17" s="1" t="s">
        <v>243</v>
      </c>
      <c r="B17" s="52">
        <v>1.923071424E9</v>
      </c>
      <c r="C17" s="53">
        <v>3168157.21</v>
      </c>
      <c r="D17" s="53">
        <v>1907809.0</v>
      </c>
      <c r="E17" s="52">
        <v>578824.0</v>
      </c>
      <c r="F17" s="52">
        <v>7567387.0</v>
      </c>
      <c r="G17" s="27">
        <v>1008.0</v>
      </c>
      <c r="H17" s="27">
        <v>1008.0</v>
      </c>
      <c r="I17" s="1">
        <v>100.0</v>
      </c>
      <c r="J17" s="1">
        <v>2.95</v>
      </c>
      <c r="K17" s="26">
        <v>1.0</v>
      </c>
      <c r="L17" s="1" t="s">
        <v>547</v>
      </c>
      <c r="M17" s="1" t="s">
        <v>210</v>
      </c>
      <c r="N17" s="1">
        <v>1.0</v>
      </c>
      <c r="O17" s="11"/>
      <c r="P17" s="11">
        <f t="shared" si="6"/>
        <v>1521.324723</v>
      </c>
      <c r="Q17" s="11" t="str">
        <f t="shared" si="10"/>
        <v/>
      </c>
      <c r="R17" s="11">
        <f t="shared" si="7"/>
        <v>12151.98731</v>
      </c>
      <c r="S17" s="55">
        <f t="shared" si="8"/>
        <v>9726.209215</v>
      </c>
      <c r="T17" s="11">
        <f t="shared" si="11"/>
        <v>6171.513264</v>
      </c>
      <c r="X17" s="35" t="s">
        <v>117</v>
      </c>
      <c r="Y17">
        <v>300.4895811687955</v>
      </c>
      <c r="Z17">
        <f>Y14*32</f>
        <v>386506.7342</v>
      </c>
      <c r="AA17">
        <f>Z17-Z16</f>
        <v>211804.9736</v>
      </c>
    </row>
    <row r="18">
      <c r="A18" s="1" t="s">
        <v>159</v>
      </c>
      <c r="B18" s="52">
        <v>1.797501302E9</v>
      </c>
      <c r="C18" s="53">
        <v>2961287.15</v>
      </c>
      <c r="D18" s="53">
        <v>9.986118E7</v>
      </c>
      <c r="E18" s="52">
        <v>5.0508758E7</v>
      </c>
      <c r="F18" s="52">
        <v>2.29284534E8</v>
      </c>
      <c r="G18" s="1">
        <v>18.0</v>
      </c>
      <c r="H18" s="1">
        <v>18.0</v>
      </c>
      <c r="I18" s="1">
        <v>100.0</v>
      </c>
      <c r="J18" s="1">
        <v>34.47</v>
      </c>
      <c r="K18" s="26">
        <v>1.0</v>
      </c>
      <c r="L18" s="1" t="s">
        <v>548</v>
      </c>
      <c r="M18" s="1" t="s">
        <v>210</v>
      </c>
      <c r="N18" s="1">
        <v>2.0</v>
      </c>
      <c r="O18" s="11"/>
      <c r="P18" s="11">
        <f t="shared" si="6"/>
        <v>1421.987312</v>
      </c>
      <c r="Q18" s="11">
        <f t="shared" si="10"/>
        <v>1325.01522</v>
      </c>
      <c r="R18" s="11" t="str">
        <f t="shared" si="7"/>
        <v/>
      </c>
      <c r="S18" s="55">
        <f t="shared" si="8"/>
        <v>9091.120313</v>
      </c>
      <c r="T18" s="11">
        <f t="shared" si="11"/>
        <v>5768.534108</v>
      </c>
      <c r="Z18">
        <f>sum(Z13:Z15)</f>
        <v>-45162.59358</v>
      </c>
    </row>
    <row r="19">
      <c r="A19" s="1" t="s">
        <v>252</v>
      </c>
      <c r="B19" s="52">
        <v>1.653397154E9</v>
      </c>
      <c r="C19" s="53">
        <v>2723883.29</v>
      </c>
      <c r="D19" s="53">
        <v>5.90499E7</v>
      </c>
      <c r="E19" s="52">
        <v>2.9964113E7</v>
      </c>
      <c r="F19" s="52">
        <v>1.1659299E8</v>
      </c>
      <c r="G19" s="1">
        <v>28.0</v>
      </c>
      <c r="H19" s="1">
        <v>28.0</v>
      </c>
      <c r="I19" s="1">
        <v>100.0</v>
      </c>
      <c r="J19" s="1">
        <v>44.92</v>
      </c>
      <c r="K19" s="26">
        <v>1.0</v>
      </c>
      <c r="L19" s="1" t="s">
        <v>549</v>
      </c>
      <c r="M19" s="1" t="s">
        <v>210</v>
      </c>
      <c r="N19" s="1">
        <v>2.0</v>
      </c>
      <c r="O19" s="11"/>
      <c r="P19" s="11">
        <f t="shared" si="6"/>
        <v>1307.987804</v>
      </c>
      <c r="Q19" s="11">
        <f t="shared" si="10"/>
        <v>1218.789882</v>
      </c>
      <c r="R19" s="11" t="str">
        <f t="shared" si="7"/>
        <v/>
      </c>
      <c r="S19" s="55">
        <f t="shared" si="8"/>
        <v>8362.292967</v>
      </c>
      <c r="T19" s="11">
        <f t="shared" si="11"/>
        <v>5306.075658</v>
      </c>
      <c r="V19" s="1" t="s">
        <v>1</v>
      </c>
      <c r="W19" s="1" t="s">
        <v>550</v>
      </c>
      <c r="X19" s="1"/>
    </row>
    <row r="20">
      <c r="A20" s="1" t="s">
        <v>161</v>
      </c>
      <c r="B20" s="52">
        <v>1.26451538E9</v>
      </c>
      <c r="C20" s="53">
        <v>2083221.38</v>
      </c>
      <c r="D20" s="53">
        <v>2.039541E7</v>
      </c>
      <c r="E20" s="52">
        <v>2341959.0</v>
      </c>
      <c r="F20" s="52">
        <v>9.3483609E7</v>
      </c>
      <c r="G20" s="1">
        <v>62.0</v>
      </c>
      <c r="H20" s="1">
        <v>62.0</v>
      </c>
      <c r="I20" s="1">
        <v>100.0</v>
      </c>
      <c r="J20" s="1">
        <v>18.17</v>
      </c>
      <c r="K20" s="26">
        <v>1.0</v>
      </c>
      <c r="L20" s="1" t="s">
        <v>551</v>
      </c>
      <c r="M20" s="1" t="s">
        <v>210</v>
      </c>
      <c r="N20" s="1">
        <v>2.0</v>
      </c>
      <c r="O20" s="11"/>
      <c r="P20" s="11">
        <f t="shared" si="6"/>
        <v>1000.346883</v>
      </c>
      <c r="Q20" s="11">
        <f t="shared" si="10"/>
        <v>932.1284612</v>
      </c>
      <c r="R20" s="11" t="str">
        <f t="shared" si="7"/>
        <v/>
      </c>
      <c r="S20" s="55">
        <f t="shared" si="8"/>
        <v>6395.467661</v>
      </c>
      <c r="T20" s="11">
        <f t="shared" si="11"/>
        <v>4058.07778</v>
      </c>
      <c r="V20" s="1" t="s">
        <v>23</v>
      </c>
      <c r="W20" s="58">
        <v>12078.335442835927</v>
      </c>
      <c r="X20" s="86" t="s">
        <v>11</v>
      </c>
      <c r="Y20" s="1">
        <f t="shared" ref="Y20:Y21" si="12">21.9+7.2</f>
        <v>29.1</v>
      </c>
      <c r="Z20">
        <f>Y20*1.13*$W$20</f>
        <v>397171.9044</v>
      </c>
      <c r="AA20" s="1">
        <f t="shared" ref="AA20:AA21" si="13">19.3+4.5</f>
        <v>23.8</v>
      </c>
      <c r="AB20">
        <f>AA20*1.13*$W$20</f>
        <v>324834.7534</v>
      </c>
    </row>
    <row r="21">
      <c r="A21" s="1" t="s">
        <v>163</v>
      </c>
      <c r="B21" s="52">
        <v>8.70591517E8</v>
      </c>
      <c r="C21" s="53">
        <v>1434252.91</v>
      </c>
      <c r="D21" s="53">
        <v>4049263.0</v>
      </c>
      <c r="E21" s="52">
        <v>1123886.0</v>
      </c>
      <c r="F21" s="52">
        <v>1.3111025E7</v>
      </c>
      <c r="G21" s="1">
        <v>215.0</v>
      </c>
      <c r="H21" s="1">
        <v>215.0</v>
      </c>
      <c r="I21" s="1">
        <v>100.0</v>
      </c>
      <c r="J21" s="1">
        <v>5.0</v>
      </c>
      <c r="K21" s="26">
        <v>1.0</v>
      </c>
      <c r="L21" s="1" t="s">
        <v>552</v>
      </c>
      <c r="M21" s="1" t="s">
        <v>150</v>
      </c>
      <c r="N21" s="1">
        <v>2.0</v>
      </c>
      <c r="O21" s="11"/>
      <c r="P21" s="11">
        <f t="shared" si="6"/>
        <v>688.7172154</v>
      </c>
      <c r="Q21" s="11">
        <f t="shared" si="10"/>
        <v>641.750306</v>
      </c>
      <c r="R21" s="11" t="str">
        <f t="shared" si="7"/>
        <v/>
      </c>
      <c r="S21" s="55">
        <f t="shared" si="8"/>
        <v>4403.141304</v>
      </c>
      <c r="T21" s="11">
        <f t="shared" si="11"/>
        <v>2793.898873</v>
      </c>
      <c r="V21" s="1" t="s">
        <v>12</v>
      </c>
      <c r="W21" s="58">
        <v>8035.365226771831</v>
      </c>
      <c r="X21" s="1" t="s">
        <v>12</v>
      </c>
      <c r="Y21" s="1">
        <f t="shared" si="12"/>
        <v>29.1</v>
      </c>
      <c r="Z21">
        <f>Y21*1.08*$W$21</f>
        <v>252535.4583</v>
      </c>
      <c r="AA21" s="1">
        <f t="shared" si="13"/>
        <v>23.8</v>
      </c>
      <c r="AB21">
        <f>AA21*1.08*$W$21</f>
        <v>206541.0278</v>
      </c>
    </row>
    <row r="22">
      <c r="A22" s="1" t="s">
        <v>262</v>
      </c>
      <c r="B22" s="52">
        <v>7.22834433E8</v>
      </c>
      <c r="C22" s="53">
        <v>1190831.03</v>
      </c>
      <c r="D22" s="53">
        <v>5647144.0</v>
      </c>
      <c r="E22" s="52">
        <v>2247973.0</v>
      </c>
      <c r="F22" s="52">
        <v>2.4365201E7</v>
      </c>
      <c r="G22" s="1">
        <v>128.0</v>
      </c>
      <c r="H22" s="1">
        <v>128.0</v>
      </c>
      <c r="I22" s="1">
        <v>100.0</v>
      </c>
      <c r="J22" s="1">
        <v>4.91</v>
      </c>
      <c r="K22" s="26">
        <v>1.0</v>
      </c>
      <c r="L22" s="1" t="s">
        <v>553</v>
      </c>
      <c r="M22" s="1" t="s">
        <v>150</v>
      </c>
      <c r="N22" s="1">
        <v>2.0</v>
      </c>
      <c r="O22" s="11"/>
      <c r="P22" s="11">
        <f t="shared" si="6"/>
        <v>571.827901</v>
      </c>
      <c r="Q22" s="11">
        <f t="shared" si="10"/>
        <v>532.832231</v>
      </c>
      <c r="R22" s="11" t="str">
        <f t="shared" si="7"/>
        <v/>
      </c>
      <c r="S22" s="55">
        <f t="shared" si="8"/>
        <v>3655.8387</v>
      </c>
      <c r="T22" s="11">
        <f t="shared" si="11"/>
        <v>2319.717429</v>
      </c>
      <c r="V22" s="1" t="s">
        <v>13</v>
      </c>
      <c r="W22" s="58">
        <v>19364.761384777194</v>
      </c>
      <c r="X22" s="51" t="s">
        <v>24</v>
      </c>
      <c r="AA22" s="1">
        <v>5.5</v>
      </c>
      <c r="AB22">
        <f>AA22*W22*(1+0.09*20/80)</f>
        <v>108902.5768</v>
      </c>
    </row>
    <row r="23">
      <c r="A23" s="1" t="s">
        <v>270</v>
      </c>
      <c r="B23" s="52">
        <v>5.8917209E8</v>
      </c>
      <c r="C23" s="53">
        <v>970629.47</v>
      </c>
      <c r="D23" s="53">
        <v>8070851.0</v>
      </c>
      <c r="E23" s="52">
        <v>3819729.0</v>
      </c>
      <c r="F23" s="52">
        <v>2.1709787E7</v>
      </c>
      <c r="G23" s="1">
        <v>73.0</v>
      </c>
      <c r="H23" s="1">
        <v>73.0</v>
      </c>
      <c r="I23" s="1">
        <v>100.0</v>
      </c>
      <c r="J23" s="1">
        <v>8.35</v>
      </c>
      <c r="K23" s="26">
        <v>1.0</v>
      </c>
      <c r="L23" s="1" t="s">
        <v>554</v>
      </c>
      <c r="M23" s="1" t="s">
        <v>150</v>
      </c>
      <c r="N23" s="1">
        <v>2.0</v>
      </c>
      <c r="O23" s="11"/>
      <c r="P23" s="11">
        <f t="shared" si="6"/>
        <v>466.0888056</v>
      </c>
      <c r="Q23" s="11">
        <f t="shared" si="10"/>
        <v>434.3039885</v>
      </c>
      <c r="R23" s="11" t="str">
        <f t="shared" si="7"/>
        <v/>
      </c>
      <c r="S23" s="55">
        <f t="shared" si="8"/>
        <v>2979.822234</v>
      </c>
      <c r="T23" s="11">
        <f t="shared" si="11"/>
        <v>1890.76875</v>
      </c>
      <c r="V23" s="1" t="s">
        <v>117</v>
      </c>
      <c r="W23" s="58">
        <v>300.4895811687955</v>
      </c>
      <c r="X23" s="1" t="s">
        <v>37</v>
      </c>
      <c r="Y23" s="1">
        <f>308+101</f>
        <v>409</v>
      </c>
      <c r="Z23">
        <f>Y23*(1+0.18*3/4+0.29+0.12*6*15/60)*W$23</f>
        <v>197254.8831</v>
      </c>
      <c r="AA23" s="1">
        <f>259+92</f>
        <v>351</v>
      </c>
      <c r="AB23">
        <f>AA23*(1+0.18*3/4+0.29+0.12*6*15/60)*Y$23</f>
        <v>230412.195</v>
      </c>
    </row>
    <row r="24">
      <c r="A24" s="1" t="s">
        <v>165</v>
      </c>
      <c r="B24" s="52">
        <v>5.85244065E8</v>
      </c>
      <c r="C24" s="53">
        <v>964158.26</v>
      </c>
      <c r="D24" s="53">
        <v>5225394.0</v>
      </c>
      <c r="E24" s="52">
        <v>1986978.0</v>
      </c>
      <c r="F24" s="52">
        <v>1.565536E7</v>
      </c>
      <c r="G24" s="1">
        <v>112.0</v>
      </c>
      <c r="H24" s="1">
        <v>112.0</v>
      </c>
      <c r="I24" s="1">
        <v>100.0</v>
      </c>
      <c r="J24" s="1">
        <v>10.65</v>
      </c>
      <c r="K24" s="26">
        <v>1.0</v>
      </c>
      <c r="L24" s="1" t="s">
        <v>555</v>
      </c>
      <c r="M24" s="1" t="s">
        <v>210</v>
      </c>
      <c r="N24" s="1">
        <v>2.0</v>
      </c>
      <c r="O24" s="11"/>
      <c r="P24" s="11">
        <f t="shared" si="6"/>
        <v>462.9813803</v>
      </c>
      <c r="Q24" s="11">
        <f t="shared" si="10"/>
        <v>431.4084734</v>
      </c>
      <c r="R24" s="11" t="str">
        <f t="shared" si="7"/>
        <v/>
      </c>
      <c r="S24" s="55">
        <f t="shared" si="8"/>
        <v>2959.955688</v>
      </c>
      <c r="T24" s="11">
        <f t="shared" si="11"/>
        <v>1878.16295</v>
      </c>
      <c r="V24" s="1"/>
      <c r="W24" s="58"/>
      <c r="X24" s="58"/>
      <c r="Z24">
        <f>(1+0.18*3/4+0.29+0.12*6*15/60)</f>
        <v>1.605</v>
      </c>
      <c r="AB24">
        <f>sum(AB20:AB23)</f>
        <v>870690.553</v>
      </c>
    </row>
    <row r="25">
      <c r="A25" s="1" t="s">
        <v>295</v>
      </c>
      <c r="B25" s="52">
        <v>5.66578167E8</v>
      </c>
      <c r="C25" s="53">
        <v>933407.19</v>
      </c>
      <c r="D25" s="53">
        <v>2950928.0</v>
      </c>
      <c r="E25" s="52">
        <v>1365277.0</v>
      </c>
      <c r="F25" s="52">
        <v>1.4896225E7</v>
      </c>
      <c r="G25" s="1">
        <v>192.0</v>
      </c>
      <c r="H25" s="1">
        <v>192.0</v>
      </c>
      <c r="I25" s="1">
        <v>100.0</v>
      </c>
      <c r="J25" s="1">
        <v>17.84</v>
      </c>
      <c r="K25" s="26">
        <v>1.0</v>
      </c>
      <c r="L25" s="1" t="s">
        <v>556</v>
      </c>
      <c r="M25" s="1" t="s">
        <v>156</v>
      </c>
      <c r="N25" s="1">
        <v>2.0</v>
      </c>
      <c r="O25" s="11"/>
      <c r="P25" s="11">
        <f t="shared" si="6"/>
        <v>448.214953</v>
      </c>
      <c r="Q25" s="11">
        <f t="shared" si="10"/>
        <v>417.6490392</v>
      </c>
      <c r="R25" s="11" t="str">
        <f t="shared" si="7"/>
        <v/>
      </c>
      <c r="S25" s="55">
        <f t="shared" si="8"/>
        <v>2865.550227</v>
      </c>
      <c r="T25" s="11">
        <f t="shared" si="11"/>
        <v>1818.260418</v>
      </c>
      <c r="U25">
        <f>Q25*20</f>
        <v>8352.980783</v>
      </c>
      <c r="Z25">
        <f>sum(Z20:Z23)</f>
        <v>846962.2458</v>
      </c>
    </row>
    <row r="26">
      <c r="A26" s="1" t="s">
        <v>283</v>
      </c>
      <c r="B26" s="52">
        <v>5.5858192E8</v>
      </c>
      <c r="C26" s="53">
        <v>920233.81</v>
      </c>
      <c r="D26" s="53">
        <v>2.939905E7</v>
      </c>
      <c r="E26" s="52">
        <v>1.4699699E7</v>
      </c>
      <c r="F26" s="52">
        <v>6.8495603E7</v>
      </c>
      <c r="G26" s="1">
        <v>19.0</v>
      </c>
      <c r="H26" s="1">
        <v>19.0</v>
      </c>
      <c r="I26" s="1">
        <v>100.0</v>
      </c>
      <c r="J26" s="1">
        <v>30.94</v>
      </c>
      <c r="K26" s="26">
        <v>1.0</v>
      </c>
      <c r="L26" s="1" t="s">
        <v>557</v>
      </c>
      <c r="M26" s="1" t="s">
        <v>150</v>
      </c>
      <c r="N26" s="1">
        <v>2.0</v>
      </c>
      <c r="O26" s="11"/>
      <c r="P26" s="11">
        <f t="shared" si="6"/>
        <v>441.8891973</v>
      </c>
      <c r="Q26" s="11">
        <f t="shared" si="10"/>
        <v>411.7546669</v>
      </c>
      <c r="R26" s="11" t="str">
        <f t="shared" si="7"/>
        <v/>
      </c>
      <c r="S26" s="55">
        <f t="shared" si="8"/>
        <v>2825.108089</v>
      </c>
      <c r="T26" s="11">
        <f t="shared" si="11"/>
        <v>1792.598911</v>
      </c>
    </row>
    <row r="27">
      <c r="A27" s="1" t="s">
        <v>275</v>
      </c>
      <c r="B27" s="52">
        <v>5.21759396E8</v>
      </c>
      <c r="C27" s="53">
        <v>859570.67</v>
      </c>
      <c r="D27" s="53">
        <v>2570243.0</v>
      </c>
      <c r="E27" s="52">
        <v>1101603.0</v>
      </c>
      <c r="F27" s="52">
        <v>1.2170877E7</v>
      </c>
      <c r="G27" s="1">
        <v>203.0</v>
      </c>
      <c r="H27" s="1">
        <v>203.0</v>
      </c>
      <c r="I27" s="1">
        <v>100.0</v>
      </c>
      <c r="J27" s="1">
        <v>3.18</v>
      </c>
      <c r="K27" s="26">
        <v>1.0</v>
      </c>
      <c r="L27" s="1" t="s">
        <v>558</v>
      </c>
      <c r="M27" s="1" t="s">
        <v>156</v>
      </c>
      <c r="N27" s="1">
        <v>2.0</v>
      </c>
      <c r="O27" s="11"/>
      <c r="P27" s="11">
        <f t="shared" si="6"/>
        <v>412.7592241</v>
      </c>
      <c r="Q27" s="11">
        <f t="shared" si="10"/>
        <v>384.6112053</v>
      </c>
      <c r="R27" s="11" t="str">
        <f t="shared" si="7"/>
        <v/>
      </c>
      <c r="S27" s="55">
        <f t="shared" si="8"/>
        <v>2638.87289</v>
      </c>
      <c r="T27" s="11">
        <f t="shared" si="11"/>
        <v>1674.428205</v>
      </c>
    </row>
    <row r="28">
      <c r="A28" s="1" t="s">
        <v>299</v>
      </c>
      <c r="B28" s="52">
        <v>4.32867408E8</v>
      </c>
      <c r="C28" s="53">
        <v>713125.88</v>
      </c>
      <c r="D28" s="53">
        <v>1303818.0</v>
      </c>
      <c r="E28" s="52">
        <v>373520.0</v>
      </c>
      <c r="F28" s="52">
        <v>9842573.0</v>
      </c>
      <c r="G28" s="1">
        <v>332.0</v>
      </c>
      <c r="H28" s="1">
        <v>332.0</v>
      </c>
      <c r="I28" s="1">
        <v>100.0</v>
      </c>
      <c r="J28" s="1">
        <v>2.46</v>
      </c>
      <c r="K28" s="26">
        <v>1.0</v>
      </c>
      <c r="L28" s="1" t="s">
        <v>559</v>
      </c>
      <c r="M28" s="1" t="s">
        <v>210</v>
      </c>
      <c r="N28" s="1">
        <v>2.0</v>
      </c>
      <c r="O28" s="11"/>
      <c r="P28" s="11">
        <f t="shared" si="6"/>
        <v>342.4375623</v>
      </c>
      <c r="Q28" s="11">
        <f t="shared" si="10"/>
        <v>319.0851129</v>
      </c>
      <c r="R28" s="11" t="str">
        <f t="shared" si="7"/>
        <v/>
      </c>
      <c r="S28" s="55">
        <f t="shared" si="8"/>
        <v>2189.288929</v>
      </c>
      <c r="T28" s="11">
        <f t="shared" si="11"/>
        <v>1389.156388</v>
      </c>
    </row>
    <row r="29">
      <c r="A29" s="1" t="s">
        <v>289</v>
      </c>
      <c r="B29" s="52">
        <v>4.12090084E8</v>
      </c>
      <c r="C29" s="53">
        <v>678896.35</v>
      </c>
      <c r="D29" s="53">
        <v>1.144695E7</v>
      </c>
      <c r="E29" s="52">
        <v>5489487.0</v>
      </c>
      <c r="F29" s="52">
        <v>2.4187977E7</v>
      </c>
      <c r="G29" s="1">
        <v>36.0</v>
      </c>
      <c r="H29" s="1">
        <v>36.0</v>
      </c>
      <c r="I29" s="1">
        <v>100.0</v>
      </c>
      <c r="J29" s="1">
        <v>34.47</v>
      </c>
      <c r="K29" s="26">
        <v>1.0</v>
      </c>
      <c r="L29" s="1" t="s">
        <v>560</v>
      </c>
      <c r="M29" s="1" t="s">
        <v>210</v>
      </c>
      <c r="N29" s="1">
        <v>2.0</v>
      </c>
      <c r="O29" s="11"/>
      <c r="P29" s="11">
        <f t="shared" si="6"/>
        <v>326.0008053</v>
      </c>
      <c r="Q29" s="11">
        <f t="shared" si="10"/>
        <v>303.7692567</v>
      </c>
      <c r="R29" s="11" t="str">
        <f t="shared" si="7"/>
        <v/>
      </c>
      <c r="S29" s="55">
        <f t="shared" si="8"/>
        <v>2084.204633</v>
      </c>
      <c r="T29" s="11">
        <f t="shared" si="11"/>
        <v>1322.477879</v>
      </c>
      <c r="X29">
        <f>0.18*3/4+0.12*6*1/4+0.1+0.29*58/61</f>
        <v>0.6907377049</v>
      </c>
    </row>
    <row r="30">
      <c r="A30" s="1" t="s">
        <v>303</v>
      </c>
      <c r="B30" s="52">
        <v>4.03304445E8</v>
      </c>
      <c r="C30" s="53">
        <v>664422.48</v>
      </c>
      <c r="D30" s="53">
        <v>2552560.0</v>
      </c>
      <c r="E30" s="52">
        <v>1044971.0</v>
      </c>
      <c r="F30" s="52">
        <v>9030248.0</v>
      </c>
      <c r="G30" s="1">
        <v>158.0</v>
      </c>
      <c r="H30" s="1">
        <v>158.0</v>
      </c>
      <c r="I30" s="1">
        <v>100.0</v>
      </c>
      <c r="J30" s="1">
        <v>5.79</v>
      </c>
      <c r="K30" s="26">
        <v>1.0</v>
      </c>
      <c r="L30" s="1" t="s">
        <v>561</v>
      </c>
      <c r="M30" s="1" t="s">
        <v>150</v>
      </c>
      <c r="N30" s="1">
        <v>2.0</v>
      </c>
      <c r="O30" s="11"/>
      <c r="P30" s="11">
        <f t="shared" si="6"/>
        <v>319.0505643</v>
      </c>
      <c r="Q30" s="11">
        <f t="shared" si="10"/>
        <v>297.2929857</v>
      </c>
      <c r="R30" s="11" t="str">
        <f t="shared" si="7"/>
        <v/>
      </c>
      <c r="S30" s="55">
        <f t="shared" si="8"/>
        <v>2039.770005</v>
      </c>
      <c r="T30" s="11">
        <f t="shared" si="11"/>
        <v>1294.283041</v>
      </c>
      <c r="X30">
        <f>15086</f>
        <v>15086</v>
      </c>
      <c r="Y30">
        <f>X30/1.28</f>
        <v>11785.9375</v>
      </c>
    </row>
    <row r="31">
      <c r="A31" s="1" t="s">
        <v>332</v>
      </c>
      <c r="B31" s="52">
        <v>3.67931244E8</v>
      </c>
      <c r="C31" s="53">
        <v>606147.02</v>
      </c>
      <c r="D31" s="53">
        <v>3344830.0</v>
      </c>
      <c r="E31" s="52">
        <v>1430873.0</v>
      </c>
      <c r="F31" s="52">
        <v>1.2277145E7</v>
      </c>
      <c r="G31" s="1">
        <v>110.0</v>
      </c>
      <c r="H31" s="1">
        <v>110.0</v>
      </c>
      <c r="I31" s="1">
        <v>100.0</v>
      </c>
      <c r="J31" s="1">
        <v>5.58</v>
      </c>
      <c r="K31" s="26">
        <v>1.0</v>
      </c>
      <c r="L31" s="1" t="s">
        <v>562</v>
      </c>
      <c r="M31" s="1" t="s">
        <v>210</v>
      </c>
      <c r="N31" s="1">
        <v>2.0</v>
      </c>
      <c r="O31" s="11"/>
      <c r="P31" s="11">
        <f t="shared" si="6"/>
        <v>291.0671366</v>
      </c>
      <c r="Q31" s="11">
        <f t="shared" si="10"/>
        <v>271.2178813</v>
      </c>
      <c r="R31" s="11" t="str">
        <f t="shared" si="7"/>
        <v/>
      </c>
      <c r="S31" s="55">
        <f t="shared" si="8"/>
        <v>1860.864957</v>
      </c>
      <c r="T31" s="11">
        <f t="shared" si="11"/>
        <v>1180.763493</v>
      </c>
      <c r="Y31" s="1">
        <v>17932.0</v>
      </c>
      <c r="Z31">
        <f>Y30*0.241</f>
        <v>2840.410938</v>
      </c>
    </row>
    <row r="32">
      <c r="A32" s="1" t="s">
        <v>293</v>
      </c>
      <c r="B32" s="52">
        <v>3.58290173E8</v>
      </c>
      <c r="C32" s="53">
        <v>590263.88</v>
      </c>
      <c r="D32" s="53">
        <v>2799142.0</v>
      </c>
      <c r="E32" s="52">
        <v>1100250.0</v>
      </c>
      <c r="F32" s="52">
        <v>7075530.0</v>
      </c>
      <c r="G32" s="1">
        <v>128.0</v>
      </c>
      <c r="H32" s="1">
        <v>128.0</v>
      </c>
      <c r="I32" s="1">
        <v>100.0</v>
      </c>
      <c r="J32" s="1">
        <v>4.91</v>
      </c>
      <c r="K32" s="26">
        <v>1.0</v>
      </c>
      <c r="L32" s="1" t="s">
        <v>563</v>
      </c>
      <c r="M32" s="1" t="s">
        <v>150</v>
      </c>
      <c r="N32" s="1">
        <v>2.0</v>
      </c>
      <c r="O32" s="11"/>
      <c r="P32" s="11">
        <f t="shared" si="6"/>
        <v>283.440175</v>
      </c>
      <c r="Q32" s="11">
        <f t="shared" si="10"/>
        <v>264.1110385</v>
      </c>
      <c r="R32" s="11" t="str">
        <f t="shared" si="7"/>
        <v/>
      </c>
      <c r="S32" s="55">
        <f t="shared" si="8"/>
        <v>1812.103885</v>
      </c>
      <c r="T32" s="11">
        <f t="shared" si="11"/>
        <v>1149.823422</v>
      </c>
      <c r="Y32">
        <f>Y31/Y30</f>
        <v>1.521474215</v>
      </c>
      <c r="Z32">
        <f>Y30*0.29</f>
        <v>3417.921875</v>
      </c>
      <c r="AA32">
        <f>Z32*Y17</f>
        <v>1027049.913</v>
      </c>
    </row>
    <row r="33">
      <c r="A33" s="1" t="s">
        <v>174</v>
      </c>
      <c r="B33" s="52">
        <v>3.57731139E8</v>
      </c>
      <c r="C33" s="53">
        <v>589342.9</v>
      </c>
      <c r="D33" s="53">
        <v>1679489.0</v>
      </c>
      <c r="E33" s="52">
        <v>816080.0</v>
      </c>
      <c r="F33" s="52">
        <v>6558124.0</v>
      </c>
      <c r="G33" s="1">
        <v>213.0</v>
      </c>
      <c r="H33" s="1">
        <v>213.0</v>
      </c>
      <c r="I33" s="1">
        <v>100.0</v>
      </c>
      <c r="J33" s="1">
        <v>2.95</v>
      </c>
      <c r="K33" s="26">
        <v>1.0</v>
      </c>
      <c r="L33" s="1" t="s">
        <v>564</v>
      </c>
      <c r="M33" s="1" t="s">
        <v>150</v>
      </c>
      <c r="N33" s="1">
        <v>3.0</v>
      </c>
      <c r="O33" s="11"/>
      <c r="P33" s="11">
        <f t="shared" si="6"/>
        <v>282.9979275</v>
      </c>
      <c r="Q33" s="11" t="str">
        <f t="shared" si="10"/>
        <v/>
      </c>
      <c r="R33" s="11" t="str">
        <f t="shared" si="7"/>
        <v/>
      </c>
      <c r="S33" s="55" t="str">
        <f t="shared" si="8"/>
        <v/>
      </c>
      <c r="T33" s="11">
        <f t="shared" si="11"/>
        <v>1148.02937</v>
      </c>
      <c r="Y33">
        <f>Y30*0.241</f>
        <v>2840.410938</v>
      </c>
      <c r="Z33">
        <f>Z32-Z31</f>
        <v>577.5109375</v>
      </c>
    </row>
    <row r="34">
      <c r="A34" s="1" t="s">
        <v>328</v>
      </c>
      <c r="B34" s="52">
        <v>3.53429592E8</v>
      </c>
      <c r="C34" s="53">
        <v>582256.33</v>
      </c>
      <c r="D34" s="53">
        <v>2.945247E7</v>
      </c>
      <c r="E34" s="52">
        <v>1.0895963E7</v>
      </c>
      <c r="F34" s="52">
        <v>7.0891921E7</v>
      </c>
      <c r="G34" s="1">
        <v>12.0</v>
      </c>
      <c r="H34" s="1">
        <v>12.0</v>
      </c>
      <c r="I34" s="1">
        <v>100.0</v>
      </c>
      <c r="J34" s="1">
        <v>53.27</v>
      </c>
      <c r="K34" s="26">
        <v>1.0</v>
      </c>
      <c r="L34" s="1" t="s">
        <v>565</v>
      </c>
      <c r="M34" s="1" t="s">
        <v>210</v>
      </c>
      <c r="N34" s="1">
        <v>2.0</v>
      </c>
      <c r="O34" s="11"/>
      <c r="P34" s="11">
        <f t="shared" si="6"/>
        <v>279.5950111</v>
      </c>
      <c r="Q34" s="11">
        <f t="shared" si="10"/>
        <v>260.5280947</v>
      </c>
      <c r="R34" s="11" t="str">
        <f t="shared" si="7"/>
        <v/>
      </c>
      <c r="S34" s="55">
        <f t="shared" si="8"/>
        <v>1787.520791</v>
      </c>
      <c r="T34" s="11">
        <f t="shared" si="11"/>
        <v>1134.224859</v>
      </c>
      <c r="Y34">
        <f>Y33+X30</f>
        <v>17926.41094</v>
      </c>
      <c r="Z34">
        <f>Z33*Y17</f>
        <v>173536.0197</v>
      </c>
    </row>
    <row r="35">
      <c r="A35" s="1" t="s">
        <v>314</v>
      </c>
      <c r="B35" s="52">
        <v>3.47010419E8</v>
      </c>
      <c r="C35" s="53">
        <v>571681.09</v>
      </c>
      <c r="D35" s="53">
        <v>9639179.0</v>
      </c>
      <c r="E35" s="52">
        <v>4054648.0</v>
      </c>
      <c r="F35" s="52">
        <v>2.6137348E7</v>
      </c>
      <c r="G35" s="1">
        <v>36.0</v>
      </c>
      <c r="H35" s="1">
        <v>36.0</v>
      </c>
      <c r="I35" s="1">
        <v>100.0</v>
      </c>
      <c r="J35" s="1">
        <v>34.47</v>
      </c>
      <c r="K35" s="26">
        <v>1.0</v>
      </c>
      <c r="L35" s="1" t="s">
        <v>566</v>
      </c>
      <c r="M35" s="1" t="s">
        <v>210</v>
      </c>
      <c r="N35" s="1">
        <v>2.0</v>
      </c>
      <c r="O35" s="11"/>
      <c r="P35" s="11">
        <f t="shared" si="6"/>
        <v>274.5168622</v>
      </c>
      <c r="Q35" s="11">
        <f t="shared" si="10"/>
        <v>255.796249</v>
      </c>
      <c r="R35" s="11" t="str">
        <f t="shared" si="7"/>
        <v/>
      </c>
      <c r="S35" s="55">
        <f t="shared" si="8"/>
        <v>1755.054916</v>
      </c>
      <c r="T35" s="11">
        <f t="shared" si="11"/>
        <v>1113.624481</v>
      </c>
    </row>
    <row r="36">
      <c r="A36" s="1" t="s">
        <v>301</v>
      </c>
      <c r="B36" s="52">
        <v>3.44041847E8</v>
      </c>
      <c r="C36" s="53">
        <v>566790.52</v>
      </c>
      <c r="D36" s="53">
        <v>2123715.0</v>
      </c>
      <c r="E36" s="52">
        <v>1177674.0</v>
      </c>
      <c r="F36" s="52">
        <v>6583172.0</v>
      </c>
      <c r="G36" s="1">
        <v>162.0</v>
      </c>
      <c r="H36" s="1">
        <v>162.0</v>
      </c>
      <c r="I36" s="1">
        <v>100.0</v>
      </c>
      <c r="J36" s="1">
        <v>4.2</v>
      </c>
      <c r="K36" s="26">
        <v>1.0</v>
      </c>
      <c r="L36" s="1" t="s">
        <v>567</v>
      </c>
      <c r="M36" s="1" t="s">
        <v>247</v>
      </c>
      <c r="N36" s="1">
        <v>3.0</v>
      </c>
      <c r="O36" s="11"/>
      <c r="P36" s="11">
        <f t="shared" si="6"/>
        <v>272.1684481</v>
      </c>
      <c r="Q36" s="11" t="str">
        <f t="shared" si="10"/>
        <v/>
      </c>
      <c r="R36" s="11" t="str">
        <f t="shared" si="7"/>
        <v/>
      </c>
      <c r="S36" s="55" t="str">
        <f t="shared" si="8"/>
        <v/>
      </c>
      <c r="T36" s="11">
        <f t="shared" si="11"/>
        <v>1104.097739</v>
      </c>
      <c r="U36">
        <f>Q36*20</f>
        <v>0</v>
      </c>
    </row>
    <row r="37">
      <c r="A37" s="1" t="s">
        <v>180</v>
      </c>
      <c r="B37" s="52">
        <v>3.37978712E8</v>
      </c>
      <c r="C37" s="53">
        <v>556801.83</v>
      </c>
      <c r="D37" s="53">
        <v>1069553.0</v>
      </c>
      <c r="E37" s="52">
        <v>605570.0</v>
      </c>
      <c r="F37" s="52">
        <v>3352823.0</v>
      </c>
      <c r="G37" s="1">
        <v>316.0</v>
      </c>
      <c r="H37" s="1">
        <v>316.0</v>
      </c>
      <c r="I37" s="1">
        <v>100.0</v>
      </c>
      <c r="J37" s="1">
        <v>2.8</v>
      </c>
      <c r="K37" s="26">
        <v>1.0</v>
      </c>
      <c r="L37" s="1" t="s">
        <v>568</v>
      </c>
      <c r="M37" s="1" t="s">
        <v>182</v>
      </c>
      <c r="N37" s="1">
        <v>3.0</v>
      </c>
      <c r="O37" s="11"/>
      <c r="P37" s="11">
        <f t="shared" si="6"/>
        <v>267.371956</v>
      </c>
      <c r="Q37" s="11" t="str">
        <f t="shared" si="10"/>
        <v/>
      </c>
      <c r="R37" s="11" t="str">
        <f t="shared" si="7"/>
        <v/>
      </c>
      <c r="S37" s="55" t="str">
        <f t="shared" si="8"/>
        <v/>
      </c>
      <c r="T37" s="11">
        <f t="shared" si="11"/>
        <v>1084.63995</v>
      </c>
    </row>
    <row r="38">
      <c r="A38" s="1" t="s">
        <v>308</v>
      </c>
      <c r="B38" s="52">
        <v>3.15256102E8</v>
      </c>
      <c r="C38" s="53">
        <v>519367.55</v>
      </c>
      <c r="D38" s="53">
        <v>1.751423E7</v>
      </c>
      <c r="E38" s="52">
        <v>5409603.0</v>
      </c>
      <c r="F38" s="52">
        <v>5.2014083E7</v>
      </c>
      <c r="G38" s="1">
        <v>18.0</v>
      </c>
      <c r="H38" s="1">
        <v>18.0</v>
      </c>
      <c r="I38" s="1">
        <v>100.0</v>
      </c>
      <c r="J38" s="1">
        <v>32.88</v>
      </c>
      <c r="K38" s="26">
        <v>1.0</v>
      </c>
      <c r="L38" s="1" t="s">
        <v>569</v>
      </c>
      <c r="M38" s="1" t="s">
        <v>210</v>
      </c>
      <c r="N38" s="1">
        <v>2.0</v>
      </c>
      <c r="O38" s="11"/>
      <c r="P38" s="11">
        <f t="shared" si="6"/>
        <v>249.3963026</v>
      </c>
      <c r="Q38" s="11">
        <f t="shared" si="10"/>
        <v>232.3887801</v>
      </c>
      <c r="R38" s="11" t="str">
        <f t="shared" si="7"/>
        <v/>
      </c>
      <c r="S38" s="55">
        <f t="shared" si="8"/>
        <v>1594.4529</v>
      </c>
      <c r="T38" s="11">
        <f t="shared" si="11"/>
        <v>1011.718646</v>
      </c>
    </row>
    <row r="39">
      <c r="A39" s="1" t="s">
        <v>310</v>
      </c>
      <c r="B39" s="52">
        <v>2.96833746E8</v>
      </c>
      <c r="C39" s="53">
        <v>489017.7</v>
      </c>
      <c r="D39" s="53">
        <v>3373111.0</v>
      </c>
      <c r="E39" s="52">
        <v>1280324.0</v>
      </c>
      <c r="F39" s="52">
        <v>1.4225572E7</v>
      </c>
      <c r="G39" s="1">
        <v>88.0</v>
      </c>
      <c r="H39" s="1">
        <v>88.0</v>
      </c>
      <c r="I39" s="1">
        <v>100.0</v>
      </c>
      <c r="J39" s="1">
        <v>13.09</v>
      </c>
      <c r="K39" s="26">
        <v>1.0</v>
      </c>
      <c r="L39" s="1" t="s">
        <v>570</v>
      </c>
      <c r="M39" s="1" t="s">
        <v>210</v>
      </c>
      <c r="N39" s="1">
        <v>2.0</v>
      </c>
      <c r="O39" s="11"/>
      <c r="P39" s="11">
        <f t="shared" si="6"/>
        <v>234.8225381</v>
      </c>
      <c r="Q39" s="11">
        <f t="shared" si="10"/>
        <v>218.8088701</v>
      </c>
      <c r="R39" s="11" t="str">
        <f t="shared" si="7"/>
        <v/>
      </c>
      <c r="S39" s="55">
        <f t="shared" si="8"/>
        <v>1501.27918</v>
      </c>
      <c r="T39" s="11">
        <f t="shared" si="11"/>
        <v>952.5976844</v>
      </c>
    </row>
    <row r="40">
      <c r="A40" s="1" t="s">
        <v>326</v>
      </c>
      <c r="B40" s="52">
        <v>2.92312753E8</v>
      </c>
      <c r="C40" s="53">
        <v>481569.61</v>
      </c>
      <c r="D40" s="53">
        <v>2073140.0</v>
      </c>
      <c r="E40" s="52">
        <v>800311.0</v>
      </c>
      <c r="F40" s="52">
        <v>6899669.0</v>
      </c>
      <c r="G40" s="1">
        <v>141.0</v>
      </c>
      <c r="H40" s="1">
        <v>141.0</v>
      </c>
      <c r="I40" s="1">
        <v>100.0</v>
      </c>
      <c r="J40" s="1">
        <v>5.06</v>
      </c>
      <c r="K40" s="26">
        <v>1.0</v>
      </c>
      <c r="L40" s="1" t="s">
        <v>571</v>
      </c>
      <c r="M40" s="1" t="s">
        <v>156</v>
      </c>
      <c r="N40" s="1">
        <v>2.0</v>
      </c>
      <c r="O40" s="11"/>
      <c r="P40" s="11">
        <f t="shared" si="6"/>
        <v>231.2460226</v>
      </c>
      <c r="Q40" s="11">
        <f t="shared" si="10"/>
        <v>215.4762542</v>
      </c>
      <c r="R40" s="11" t="str">
        <f t="shared" si="7"/>
        <v/>
      </c>
      <c r="S40" s="55">
        <f t="shared" si="8"/>
        <v>1478.413623</v>
      </c>
      <c r="T40" s="11">
        <f t="shared" si="11"/>
        <v>938.088939</v>
      </c>
    </row>
    <row r="41">
      <c r="A41" s="1" t="s">
        <v>228</v>
      </c>
      <c r="B41" s="52">
        <v>2.78549946E8</v>
      </c>
      <c r="C41" s="53">
        <v>458896.12</v>
      </c>
      <c r="D41" s="53">
        <v>4721186.0</v>
      </c>
      <c r="E41" s="52">
        <v>2895533.0</v>
      </c>
      <c r="F41" s="52">
        <v>7163908.0</v>
      </c>
      <c r="G41" s="1">
        <v>59.0</v>
      </c>
      <c r="H41" s="1">
        <v>59.0</v>
      </c>
      <c r="I41" s="1">
        <v>100.0</v>
      </c>
      <c r="J41" s="1">
        <v>12.0</v>
      </c>
      <c r="K41" s="26">
        <v>0.0</v>
      </c>
      <c r="L41" s="1" t="s">
        <v>149</v>
      </c>
      <c r="M41" s="1" t="s">
        <v>193</v>
      </c>
      <c r="N41" s="1">
        <v>4.0</v>
      </c>
      <c r="O41" s="11"/>
      <c r="P41" s="11" t="str">
        <f t="shared" si="6"/>
        <v/>
      </c>
      <c r="Q41" s="11" t="str">
        <f t="shared" si="10"/>
        <v/>
      </c>
      <c r="R41" s="11" t="str">
        <f t="shared" si="7"/>
        <v/>
      </c>
      <c r="S41" s="55" t="str">
        <f t="shared" si="8"/>
        <v/>
      </c>
      <c r="T41" s="11" t="str">
        <f t="shared" si="11"/>
        <v/>
      </c>
    </row>
    <row r="42">
      <c r="A42" s="1" t="s">
        <v>338</v>
      </c>
      <c r="B42" s="52">
        <v>2.45562186E8</v>
      </c>
      <c r="C42" s="53">
        <v>404550.55</v>
      </c>
      <c r="D42" s="53">
        <v>1.754016E7</v>
      </c>
      <c r="E42" s="52">
        <v>7262255.0</v>
      </c>
      <c r="F42" s="52">
        <v>3.4832749E7</v>
      </c>
      <c r="G42" s="1">
        <v>14.0</v>
      </c>
      <c r="H42" s="1">
        <v>14.0</v>
      </c>
      <c r="I42" s="1">
        <v>100.0</v>
      </c>
      <c r="J42" s="1">
        <v>46.17</v>
      </c>
      <c r="K42" s="26">
        <v>1.0</v>
      </c>
      <c r="L42" s="1" t="s">
        <v>572</v>
      </c>
      <c r="M42" s="1" t="s">
        <v>150</v>
      </c>
      <c r="N42" s="1">
        <v>2.0</v>
      </c>
      <c r="O42" s="11"/>
      <c r="P42" s="11">
        <f t="shared" si="6"/>
        <v>194.2620624</v>
      </c>
      <c r="Q42" s="11">
        <f t="shared" si="10"/>
        <v>181.0144065</v>
      </c>
      <c r="R42" s="11" t="str">
        <f t="shared" si="7"/>
        <v/>
      </c>
      <c r="S42" s="55">
        <f t="shared" si="8"/>
        <v>1241.965921</v>
      </c>
      <c r="T42" s="11">
        <f t="shared" si="11"/>
        <v>788.0571954</v>
      </c>
    </row>
    <row r="43">
      <c r="A43" s="1" t="s">
        <v>176</v>
      </c>
      <c r="B43" s="52">
        <v>2.45333807E8</v>
      </c>
      <c r="C43" s="53">
        <v>404174.31</v>
      </c>
      <c r="D43" s="53">
        <v>1271160.0</v>
      </c>
      <c r="E43" s="52">
        <v>562605.0</v>
      </c>
      <c r="F43" s="52">
        <v>3892965.0</v>
      </c>
      <c r="G43" s="1">
        <v>193.0</v>
      </c>
      <c r="H43" s="1">
        <v>193.0</v>
      </c>
      <c r="I43" s="1">
        <v>100.0</v>
      </c>
      <c r="J43" s="1">
        <v>3.33</v>
      </c>
      <c r="K43" s="26">
        <v>1.0</v>
      </c>
      <c r="L43" s="1" t="s">
        <v>573</v>
      </c>
      <c r="M43" s="1" t="s">
        <v>156</v>
      </c>
      <c r="N43" s="1">
        <v>3.0</v>
      </c>
      <c r="O43" s="11"/>
      <c r="P43" s="11">
        <f t="shared" si="6"/>
        <v>194.0813948</v>
      </c>
      <c r="Q43" s="11" t="str">
        <f t="shared" si="10"/>
        <v/>
      </c>
      <c r="R43" s="11" t="str">
        <f t="shared" si="7"/>
        <v/>
      </c>
      <c r="S43" s="55" t="str">
        <f t="shared" si="8"/>
        <v/>
      </c>
      <c r="T43" s="11">
        <f t="shared" si="11"/>
        <v>787.3242866</v>
      </c>
      <c r="U43">
        <f>Q43*20</f>
        <v>0</v>
      </c>
    </row>
    <row r="44">
      <c r="A44" s="1" t="s">
        <v>196</v>
      </c>
      <c r="B44" s="52">
        <v>2.37940161E8</v>
      </c>
      <c r="C44" s="53">
        <v>391993.68</v>
      </c>
      <c r="D44" s="53">
        <v>1034522.0</v>
      </c>
      <c r="E44" s="52">
        <v>637904.0</v>
      </c>
      <c r="F44" s="52">
        <v>3204855.0</v>
      </c>
      <c r="G44" s="1">
        <v>230.0</v>
      </c>
      <c r="H44" s="1">
        <v>230.0</v>
      </c>
      <c r="I44" s="1">
        <v>100.0</v>
      </c>
      <c r="J44" s="1">
        <v>2.78</v>
      </c>
      <c r="K44" s="26">
        <v>1.0</v>
      </c>
      <c r="L44" s="1" t="s">
        <v>574</v>
      </c>
      <c r="M44" s="1" t="s">
        <v>182</v>
      </c>
      <c r="N44" s="1">
        <v>3.0</v>
      </c>
      <c r="O44" s="11"/>
      <c r="P44" s="11">
        <f t="shared" si="6"/>
        <v>188.23235</v>
      </c>
      <c r="Q44" s="11" t="str">
        <f t="shared" si="10"/>
        <v/>
      </c>
      <c r="R44" s="11" t="str">
        <f t="shared" si="7"/>
        <v/>
      </c>
      <c r="S44" s="55" t="str">
        <f t="shared" si="8"/>
        <v/>
      </c>
      <c r="T44" s="11">
        <f t="shared" si="11"/>
        <v>763.5966384</v>
      </c>
      <c r="U44">
        <f>sum(U25:U43)</f>
        <v>8352.980783</v>
      </c>
    </row>
    <row r="45">
      <c r="A45" s="1" t="s">
        <v>344</v>
      </c>
      <c r="B45" s="52">
        <v>2.18153066E8</v>
      </c>
      <c r="C45" s="53">
        <v>359395.5</v>
      </c>
      <c r="D45" s="53">
        <v>1048813.0</v>
      </c>
      <c r="E45" s="52">
        <v>260235.0</v>
      </c>
      <c r="F45" s="52">
        <v>4765384.0</v>
      </c>
      <c r="G45" s="1">
        <v>208.0</v>
      </c>
      <c r="H45" s="1">
        <v>208.0</v>
      </c>
      <c r="I45" s="1">
        <v>100.0</v>
      </c>
      <c r="J45" s="1">
        <v>4.87</v>
      </c>
      <c r="K45" s="26">
        <v>1.0</v>
      </c>
      <c r="L45" s="1" t="s">
        <v>575</v>
      </c>
      <c r="M45" s="1" t="s">
        <v>210</v>
      </c>
      <c r="N45" s="1">
        <v>2.0</v>
      </c>
      <c r="O45" s="11"/>
      <c r="P45" s="11">
        <f t="shared" si="6"/>
        <v>172.5789547</v>
      </c>
      <c r="Q45" s="11">
        <f t="shared" si="10"/>
        <v>160.8099733</v>
      </c>
      <c r="R45" s="11" t="str">
        <f t="shared" si="7"/>
        <v/>
      </c>
      <c r="S45" s="55">
        <f t="shared" si="8"/>
        <v>1103.340394</v>
      </c>
      <c r="T45" s="11">
        <f t="shared" si="11"/>
        <v>700.0959701</v>
      </c>
    </row>
    <row r="46">
      <c r="A46" s="1" t="s">
        <v>188</v>
      </c>
      <c r="B46" s="52">
        <v>2.00306198E8</v>
      </c>
      <c r="C46" s="53">
        <v>329993.74</v>
      </c>
      <c r="D46" s="53">
        <v>1772621.0</v>
      </c>
      <c r="E46" s="52">
        <v>1092749.0</v>
      </c>
      <c r="F46" s="52">
        <v>3460493.0</v>
      </c>
      <c r="G46" s="1">
        <v>113.0</v>
      </c>
      <c r="H46" s="1">
        <v>113.0</v>
      </c>
      <c r="I46" s="1">
        <v>100.0</v>
      </c>
      <c r="J46" s="1">
        <v>6.79</v>
      </c>
      <c r="K46" s="26">
        <v>1.0</v>
      </c>
      <c r="L46" s="1" t="s">
        <v>576</v>
      </c>
      <c r="M46" s="1" t="s">
        <v>190</v>
      </c>
      <c r="N46" s="1">
        <v>3.0</v>
      </c>
      <c r="O46" s="11"/>
      <c r="P46" s="11">
        <f t="shared" si="6"/>
        <v>158.4604557</v>
      </c>
      <c r="Q46" s="11" t="str">
        <f t="shared" si="10"/>
        <v/>
      </c>
      <c r="R46" s="11" t="str">
        <f t="shared" si="7"/>
        <v/>
      </c>
      <c r="S46" s="55" t="str">
        <f t="shared" si="8"/>
        <v/>
      </c>
      <c r="T46" s="11">
        <f t="shared" si="11"/>
        <v>642.8218704</v>
      </c>
    </row>
    <row r="47">
      <c r="A47" s="1" t="s">
        <v>229</v>
      </c>
      <c r="B47" s="52">
        <v>1.92475609E8</v>
      </c>
      <c r="C47" s="53">
        <v>317093.26</v>
      </c>
      <c r="D47" s="53">
        <v>2710924.0</v>
      </c>
      <c r="E47" s="52">
        <v>1112943.0</v>
      </c>
      <c r="F47" s="52">
        <v>1.0929453E7</v>
      </c>
      <c r="G47" s="1">
        <v>71.0</v>
      </c>
      <c r="H47" s="1">
        <v>71.0</v>
      </c>
      <c r="I47" s="1">
        <v>100.0</v>
      </c>
      <c r="J47" s="1">
        <v>8.48</v>
      </c>
      <c r="K47" s="26">
        <v>1.0</v>
      </c>
      <c r="L47" s="1" t="s">
        <v>577</v>
      </c>
      <c r="M47" s="1" t="s">
        <v>187</v>
      </c>
      <c r="N47" s="1">
        <v>3.0</v>
      </c>
      <c r="O47" s="11"/>
      <c r="P47" s="11">
        <f t="shared" si="6"/>
        <v>152.2657444</v>
      </c>
      <c r="Q47" s="11" t="str">
        <f t="shared" si="10"/>
        <v/>
      </c>
      <c r="R47" s="11" t="str">
        <f t="shared" si="7"/>
        <v/>
      </c>
      <c r="S47" s="55" t="str">
        <f t="shared" si="8"/>
        <v/>
      </c>
      <c r="T47" s="11">
        <f t="shared" si="11"/>
        <v>617.6919674</v>
      </c>
    </row>
    <row r="48">
      <c r="A48" s="1" t="s">
        <v>183</v>
      </c>
      <c r="B48" s="52">
        <v>1.89314755E8</v>
      </c>
      <c r="C48" s="53">
        <v>311885.92</v>
      </c>
      <c r="D48" s="53">
        <v>6528095.0</v>
      </c>
      <c r="E48" s="52">
        <v>3676950.0</v>
      </c>
      <c r="F48" s="52">
        <v>1.1920992E7</v>
      </c>
      <c r="G48" s="1">
        <v>29.0</v>
      </c>
      <c r="H48" s="1">
        <v>29.0</v>
      </c>
      <c r="I48" s="1">
        <v>100.0</v>
      </c>
      <c r="J48" s="1">
        <v>28.84</v>
      </c>
      <c r="K48" s="26">
        <v>1.0</v>
      </c>
      <c r="L48" s="1" t="s">
        <v>414</v>
      </c>
      <c r="M48" s="1" t="s">
        <v>156</v>
      </c>
      <c r="N48" s="1">
        <v>2.0</v>
      </c>
      <c r="O48" s="11"/>
      <c r="P48" s="11">
        <f t="shared" si="6"/>
        <v>149.7652198</v>
      </c>
      <c r="Q48" s="11">
        <f t="shared" si="10"/>
        <v>139.5520157</v>
      </c>
      <c r="R48" s="11" t="str">
        <f t="shared" si="7"/>
        <v/>
      </c>
      <c r="S48" s="55">
        <f t="shared" si="8"/>
        <v>957.4864844</v>
      </c>
      <c r="T48" s="11">
        <f t="shared" si="11"/>
        <v>607.5481627</v>
      </c>
    </row>
    <row r="49">
      <c r="A49" s="1" t="s">
        <v>352</v>
      </c>
      <c r="B49" s="52">
        <v>1.83488308E8</v>
      </c>
      <c r="C49" s="53">
        <v>302287.16</v>
      </c>
      <c r="D49" s="53">
        <v>970837.6</v>
      </c>
      <c r="E49" s="52">
        <v>507853.0</v>
      </c>
      <c r="F49" s="52">
        <v>2490229.0</v>
      </c>
      <c r="G49" s="1">
        <v>189.0</v>
      </c>
      <c r="H49" s="1">
        <v>189.0</v>
      </c>
      <c r="I49" s="1">
        <v>100.0</v>
      </c>
      <c r="J49" s="1">
        <v>3.33</v>
      </c>
      <c r="K49" s="26">
        <v>1.0</v>
      </c>
      <c r="L49" s="1" t="s">
        <v>578</v>
      </c>
      <c r="M49" s="1" t="s">
        <v>210</v>
      </c>
      <c r="N49" s="1">
        <v>3.0</v>
      </c>
      <c r="O49" s="11"/>
      <c r="P49" s="11">
        <f t="shared" si="6"/>
        <v>145.1559691</v>
      </c>
      <c r="Q49" s="11" t="str">
        <f t="shared" si="10"/>
        <v/>
      </c>
      <c r="R49" s="11" t="str">
        <f t="shared" si="7"/>
        <v/>
      </c>
      <c r="S49" s="55" t="str">
        <f t="shared" si="8"/>
        <v/>
      </c>
      <c r="T49" s="11">
        <f t="shared" si="11"/>
        <v>588.8499509</v>
      </c>
    </row>
    <row r="50">
      <c r="A50" s="1" t="s">
        <v>202</v>
      </c>
      <c r="B50" s="52">
        <v>1.66824619E8</v>
      </c>
      <c r="C50" s="53">
        <v>274834.63</v>
      </c>
      <c r="D50" s="53">
        <v>1011058.0</v>
      </c>
      <c r="E50" s="52">
        <v>447964.0</v>
      </c>
      <c r="F50" s="52">
        <v>3513832.0</v>
      </c>
      <c r="G50" s="1">
        <v>165.0</v>
      </c>
      <c r="H50" s="1">
        <v>165.0</v>
      </c>
      <c r="I50" s="1">
        <v>100.0</v>
      </c>
      <c r="J50" s="1">
        <v>3.89</v>
      </c>
      <c r="K50" s="26">
        <v>1.0</v>
      </c>
      <c r="L50" s="1" t="s">
        <v>579</v>
      </c>
      <c r="M50" s="1" t="s">
        <v>190</v>
      </c>
      <c r="N50" s="1">
        <v>3.0</v>
      </c>
      <c r="O50" s="11"/>
      <c r="P50" s="11">
        <f t="shared" si="6"/>
        <v>131.9734753</v>
      </c>
      <c r="Q50" s="11" t="str">
        <f t="shared" si="10"/>
        <v/>
      </c>
      <c r="R50" s="11" t="str">
        <f t="shared" si="7"/>
        <v/>
      </c>
      <c r="S50" s="55" t="str">
        <f t="shared" si="8"/>
        <v/>
      </c>
      <c r="T50" s="11">
        <f t="shared" si="11"/>
        <v>535.3729162</v>
      </c>
    </row>
    <row r="51">
      <c r="A51" s="1" t="s">
        <v>376</v>
      </c>
      <c r="B51" s="52">
        <v>1.66631722E8</v>
      </c>
      <c r="C51" s="53">
        <v>274516.84</v>
      </c>
      <c r="D51" s="53">
        <v>9257318.0</v>
      </c>
      <c r="E51" s="52">
        <v>4745230.0</v>
      </c>
      <c r="F51" s="52">
        <v>2.0316409E7</v>
      </c>
      <c r="G51" s="1">
        <v>18.0</v>
      </c>
      <c r="H51" s="1">
        <v>18.0</v>
      </c>
      <c r="I51" s="1">
        <v>100.0</v>
      </c>
      <c r="J51" s="1">
        <v>34.47</v>
      </c>
      <c r="K51" s="26">
        <v>1.0</v>
      </c>
      <c r="L51" s="1" t="s">
        <v>580</v>
      </c>
      <c r="M51" s="1" t="s">
        <v>210</v>
      </c>
      <c r="N51" s="1">
        <v>2.0</v>
      </c>
      <c r="O51" s="11"/>
      <c r="P51" s="11">
        <f t="shared" si="6"/>
        <v>131.820875</v>
      </c>
      <c r="Q51" s="11">
        <f t="shared" si="10"/>
        <v>122.8313813</v>
      </c>
      <c r="R51" s="11" t="str">
        <f t="shared" si="7"/>
        <v/>
      </c>
      <c r="S51" s="55">
        <f t="shared" si="8"/>
        <v>842.763803</v>
      </c>
      <c r="T51" s="11">
        <f t="shared" si="11"/>
        <v>534.753867</v>
      </c>
    </row>
    <row r="52">
      <c r="A52" s="1" t="s">
        <v>218</v>
      </c>
      <c r="B52" s="52">
        <v>1.57421722E8</v>
      </c>
      <c r="C52" s="53">
        <v>259343.86</v>
      </c>
      <c r="D52" s="53">
        <v>2315026.0</v>
      </c>
      <c r="E52" s="52">
        <v>1189059.0</v>
      </c>
      <c r="F52" s="52">
        <v>6344667.0</v>
      </c>
      <c r="G52" s="1">
        <v>68.0</v>
      </c>
      <c r="H52" s="1">
        <v>68.0</v>
      </c>
      <c r="I52" s="1">
        <v>100.0</v>
      </c>
      <c r="J52" s="1">
        <v>11.67</v>
      </c>
      <c r="K52" s="26">
        <v>1.0</v>
      </c>
      <c r="L52" s="1" t="s">
        <v>581</v>
      </c>
      <c r="M52" s="1" t="s">
        <v>193</v>
      </c>
      <c r="N52" s="1">
        <v>3.0</v>
      </c>
      <c r="O52" s="11"/>
      <c r="P52" s="11">
        <f t="shared" si="6"/>
        <v>124.5349267</v>
      </c>
      <c r="Q52" s="11" t="str">
        <f t="shared" si="10"/>
        <v/>
      </c>
      <c r="R52" s="11" t="str">
        <f t="shared" si="7"/>
        <v/>
      </c>
      <c r="S52" s="55" t="str">
        <f t="shared" si="8"/>
        <v/>
      </c>
      <c r="T52" s="11">
        <f t="shared" si="11"/>
        <v>505.1971748</v>
      </c>
    </row>
    <row r="53">
      <c r="A53" s="1" t="s">
        <v>231</v>
      </c>
      <c r="B53" s="52">
        <v>1.45119929E8</v>
      </c>
      <c r="C53" s="53">
        <v>239077.31</v>
      </c>
      <c r="D53" s="53">
        <v>389061.5</v>
      </c>
      <c r="E53" s="52">
        <v>193080.0</v>
      </c>
      <c r="F53" s="52">
        <v>1424264.0</v>
      </c>
      <c r="G53" s="1">
        <v>373.0</v>
      </c>
      <c r="H53" s="1">
        <v>373.0</v>
      </c>
      <c r="I53" s="1">
        <v>100.0</v>
      </c>
      <c r="J53" s="1">
        <v>2.32</v>
      </c>
      <c r="K53" s="26">
        <v>1.0</v>
      </c>
      <c r="L53" s="1" t="s">
        <v>582</v>
      </c>
      <c r="M53" s="1" t="s">
        <v>187</v>
      </c>
      <c r="N53" s="1">
        <v>3.0</v>
      </c>
      <c r="O53" s="11"/>
      <c r="P53" s="11">
        <f t="shared" si="6"/>
        <v>114.8030853</v>
      </c>
      <c r="Q53" s="11" t="str">
        <f t="shared" si="10"/>
        <v/>
      </c>
      <c r="R53" s="11" t="str">
        <f t="shared" si="7"/>
        <v/>
      </c>
      <c r="S53" s="55" t="str">
        <f t="shared" si="8"/>
        <v/>
      </c>
      <c r="T53" s="11">
        <f t="shared" si="11"/>
        <v>465.7183</v>
      </c>
    </row>
    <row r="54">
      <c r="A54" s="1" t="s">
        <v>402</v>
      </c>
      <c r="B54" s="52">
        <v>1.31582938E8</v>
      </c>
      <c r="C54" s="53">
        <v>216775.85</v>
      </c>
      <c r="D54" s="53">
        <v>1.462033E7</v>
      </c>
      <c r="E54" s="52">
        <v>5614263.0</v>
      </c>
      <c r="F54" s="52">
        <v>3.2354205E7</v>
      </c>
      <c r="G54" s="1">
        <v>9.0</v>
      </c>
      <c r="H54" s="1">
        <v>9.0</v>
      </c>
      <c r="I54" s="1">
        <v>100.0</v>
      </c>
      <c r="J54" s="1">
        <v>68.5</v>
      </c>
      <c r="K54" s="26">
        <v>1.0</v>
      </c>
      <c r="L54" s="1" t="s">
        <v>583</v>
      </c>
      <c r="M54" s="1" t="s">
        <v>156</v>
      </c>
      <c r="N54" s="1">
        <v>4.0</v>
      </c>
      <c r="O54" s="11"/>
      <c r="P54" s="11" t="str">
        <f t="shared" si="6"/>
        <v/>
      </c>
      <c r="Q54" s="11" t="str">
        <f t="shared" si="10"/>
        <v/>
      </c>
      <c r="R54" s="11" t="str">
        <f t="shared" si="7"/>
        <v/>
      </c>
      <c r="S54" s="55" t="str">
        <f t="shared" si="8"/>
        <v/>
      </c>
      <c r="T54" s="11">
        <f t="shared" si="11"/>
        <v>422.275457</v>
      </c>
    </row>
    <row r="55">
      <c r="A55" s="1" t="s">
        <v>366</v>
      </c>
      <c r="B55" s="52">
        <v>1.31142795E8</v>
      </c>
      <c r="C55" s="53">
        <v>216050.73</v>
      </c>
      <c r="D55" s="53">
        <v>630494.2</v>
      </c>
      <c r="E55" s="52">
        <v>167028.0</v>
      </c>
      <c r="F55" s="52">
        <v>5961470.0</v>
      </c>
      <c r="G55" s="1">
        <v>208.0</v>
      </c>
      <c r="H55" s="1">
        <v>208.0</v>
      </c>
      <c r="I55" s="1">
        <v>100.0</v>
      </c>
      <c r="J55" s="1">
        <v>4.82</v>
      </c>
      <c r="K55" s="26">
        <v>1.0</v>
      </c>
      <c r="L55" s="1" t="s">
        <v>584</v>
      </c>
      <c r="M55" s="1" t="s">
        <v>156</v>
      </c>
      <c r="N55" s="1">
        <v>2.0</v>
      </c>
      <c r="O55" s="11"/>
      <c r="P55" s="11">
        <f t="shared" si="6"/>
        <v>103.7458987</v>
      </c>
      <c r="Q55" s="11">
        <f t="shared" si="10"/>
        <v>96.67097143</v>
      </c>
      <c r="R55" s="11" t="str">
        <f t="shared" si="7"/>
        <v/>
      </c>
      <c r="S55" s="55">
        <f t="shared" si="8"/>
        <v>663.273462</v>
      </c>
      <c r="T55" s="11">
        <f t="shared" si="11"/>
        <v>420.8629363</v>
      </c>
    </row>
    <row r="56">
      <c r="A56" s="1" t="s">
        <v>390</v>
      </c>
      <c r="B56" s="52">
        <v>1.22351834E8</v>
      </c>
      <c r="C56" s="53">
        <v>201568.1</v>
      </c>
      <c r="D56" s="53">
        <v>8739417.0</v>
      </c>
      <c r="E56" s="52">
        <v>3981550.0</v>
      </c>
      <c r="F56" s="52">
        <v>2.0301737E7</v>
      </c>
      <c r="G56" s="1">
        <v>14.0</v>
      </c>
      <c r="H56" s="1">
        <v>14.0</v>
      </c>
      <c r="I56" s="1">
        <v>100.0</v>
      </c>
      <c r="J56" s="1">
        <v>43.92</v>
      </c>
      <c r="K56" s="26">
        <v>1.0</v>
      </c>
      <c r="L56" s="1" t="s">
        <v>585</v>
      </c>
      <c r="M56" s="1" t="s">
        <v>210</v>
      </c>
      <c r="N56" s="1">
        <v>2.0</v>
      </c>
      <c r="O56" s="11"/>
      <c r="P56" s="11">
        <f t="shared" si="6"/>
        <v>96.7914512</v>
      </c>
      <c r="Q56" s="11">
        <f t="shared" si="10"/>
        <v>90.19078082</v>
      </c>
      <c r="R56" s="11" t="str">
        <f t="shared" si="7"/>
        <v/>
      </c>
      <c r="S56" s="55">
        <f t="shared" si="8"/>
        <v>618.8119407</v>
      </c>
      <c r="T56" s="11">
        <f t="shared" si="11"/>
        <v>392.6510335</v>
      </c>
    </row>
    <row r="57">
      <c r="A57" s="1" t="s">
        <v>235</v>
      </c>
      <c r="B57" s="52">
        <v>1.18047075E8</v>
      </c>
      <c r="C57" s="53">
        <v>194476.24</v>
      </c>
      <c r="D57" s="53">
        <v>908054.4</v>
      </c>
      <c r="E57" s="52">
        <v>528393.0</v>
      </c>
      <c r="F57" s="52">
        <v>2482165.0</v>
      </c>
      <c r="G57" s="1">
        <v>130.0</v>
      </c>
      <c r="H57" s="1">
        <v>130.0</v>
      </c>
      <c r="I57" s="1">
        <v>100.0</v>
      </c>
      <c r="J57" s="1">
        <v>4.78</v>
      </c>
      <c r="K57" s="26">
        <v>1.0</v>
      </c>
      <c r="L57" s="1" t="s">
        <v>586</v>
      </c>
      <c r="M57" s="1" t="s">
        <v>187</v>
      </c>
      <c r="N57" s="1">
        <v>3.0</v>
      </c>
      <c r="O57" s="11"/>
      <c r="P57" s="11">
        <f t="shared" si="6"/>
        <v>93.38599457</v>
      </c>
      <c r="Q57" s="11" t="str">
        <f t="shared" si="10"/>
        <v/>
      </c>
      <c r="R57" s="11" t="str">
        <f t="shared" si="7"/>
        <v/>
      </c>
      <c r="S57" s="55" t="str">
        <f t="shared" si="8"/>
        <v/>
      </c>
      <c r="T57" s="11">
        <f t="shared" si="11"/>
        <v>378.8362178</v>
      </c>
    </row>
    <row r="58">
      <c r="A58" s="1" t="s">
        <v>396</v>
      </c>
      <c r="B58" s="52">
        <v>9.3167467E7</v>
      </c>
      <c r="C58" s="53">
        <v>153488.41</v>
      </c>
      <c r="D58" s="53">
        <v>1179335.0</v>
      </c>
      <c r="E58" s="52">
        <v>534970.0</v>
      </c>
      <c r="F58" s="52">
        <v>4848885.0</v>
      </c>
      <c r="G58" s="1">
        <v>79.0</v>
      </c>
      <c r="H58" s="1">
        <v>79.0</v>
      </c>
      <c r="I58" s="1">
        <v>100.0</v>
      </c>
      <c r="J58" s="1">
        <v>10.15</v>
      </c>
      <c r="K58" s="26">
        <v>1.0</v>
      </c>
      <c r="L58" s="1" t="s">
        <v>587</v>
      </c>
      <c r="M58" s="1" t="s">
        <v>156</v>
      </c>
      <c r="N58" s="1">
        <v>3.0</v>
      </c>
      <c r="O58" s="11"/>
      <c r="P58" s="11">
        <f t="shared" si="6"/>
        <v>73.70395388</v>
      </c>
      <c r="Q58" s="11" t="str">
        <f t="shared" si="10"/>
        <v/>
      </c>
      <c r="R58" s="11" t="str">
        <f t="shared" si="7"/>
        <v/>
      </c>
      <c r="S58" s="55" t="str">
        <f t="shared" si="8"/>
        <v/>
      </c>
      <c r="T58" s="11">
        <f t="shared" si="11"/>
        <v>298.9926621</v>
      </c>
    </row>
    <row r="59">
      <c r="A59" s="1" t="s">
        <v>394</v>
      </c>
      <c r="B59" s="52">
        <v>8.760379E7</v>
      </c>
      <c r="C59" s="53">
        <v>144322.55</v>
      </c>
      <c r="D59" s="53">
        <v>782176.7</v>
      </c>
      <c r="E59" s="52">
        <v>142649.0</v>
      </c>
      <c r="F59" s="52">
        <v>5471270.0</v>
      </c>
      <c r="G59" s="1">
        <v>112.0</v>
      </c>
      <c r="H59" s="1">
        <v>112.0</v>
      </c>
      <c r="I59" s="1">
        <v>100.0</v>
      </c>
      <c r="J59" s="1">
        <v>7.31</v>
      </c>
      <c r="K59" s="26">
        <v>1.0</v>
      </c>
      <c r="L59" s="1" t="s">
        <v>588</v>
      </c>
      <c r="M59" s="1" t="s">
        <v>210</v>
      </c>
      <c r="N59" s="1">
        <v>2.0</v>
      </c>
      <c r="O59" s="11"/>
      <c r="P59" s="11">
        <f t="shared" si="6"/>
        <v>69.30257841</v>
      </c>
      <c r="Q59" s="11">
        <f t="shared" si="10"/>
        <v>64.57650528</v>
      </c>
      <c r="R59" s="11" t="str">
        <f t="shared" si="7"/>
        <v/>
      </c>
      <c r="S59" s="55">
        <f t="shared" si="8"/>
        <v>443.0687061</v>
      </c>
      <c r="T59" s="11">
        <f t="shared" si="11"/>
        <v>281.1377317</v>
      </c>
    </row>
    <row r="60">
      <c r="A60" s="1" t="s">
        <v>406</v>
      </c>
      <c r="B60" s="52">
        <v>7.6342288E7</v>
      </c>
      <c r="C60" s="53">
        <v>125769.83</v>
      </c>
      <c r="D60" s="53">
        <v>8482476.0</v>
      </c>
      <c r="E60" s="52">
        <v>5337353.0</v>
      </c>
      <c r="F60" s="52">
        <v>1.4042753E7</v>
      </c>
      <c r="G60" s="1">
        <v>9.0</v>
      </c>
      <c r="H60" s="1">
        <v>9.0</v>
      </c>
      <c r="I60" s="1">
        <v>100.0</v>
      </c>
      <c r="J60" s="1">
        <v>64.63</v>
      </c>
      <c r="K60" s="26">
        <v>1.0</v>
      </c>
      <c r="L60" s="1" t="s">
        <v>589</v>
      </c>
      <c r="M60" s="1" t="s">
        <v>154</v>
      </c>
      <c r="N60" s="1">
        <v>2.0</v>
      </c>
      <c r="O60" s="11"/>
      <c r="P60" s="11">
        <f t="shared" si="6"/>
        <v>60.39370497</v>
      </c>
      <c r="Q60" s="11">
        <f t="shared" si="10"/>
        <v>56.27517038</v>
      </c>
      <c r="R60" s="11" t="str">
        <f t="shared" si="7"/>
        <v/>
      </c>
      <c r="S60" s="55">
        <f t="shared" si="8"/>
        <v>386.1120514</v>
      </c>
      <c r="T60" s="11">
        <f t="shared" si="11"/>
        <v>244.9973668</v>
      </c>
    </row>
    <row r="61">
      <c r="A61" s="1" t="s">
        <v>208</v>
      </c>
      <c r="B61" s="52">
        <v>6.9253671E7</v>
      </c>
      <c r="C61" s="53">
        <v>114091.71</v>
      </c>
      <c r="D61" s="53">
        <v>778131.1</v>
      </c>
      <c r="E61" s="52">
        <v>440313.0</v>
      </c>
      <c r="F61" s="52">
        <v>1830269.0</v>
      </c>
      <c r="G61" s="1">
        <v>89.0</v>
      </c>
      <c r="H61" s="1">
        <v>89.0</v>
      </c>
      <c r="I61" s="1">
        <v>100.0</v>
      </c>
      <c r="J61" s="1">
        <v>7.32</v>
      </c>
      <c r="K61" s="26">
        <v>1.0</v>
      </c>
      <c r="L61" s="1" t="s">
        <v>590</v>
      </c>
      <c r="M61" s="1" t="s">
        <v>210</v>
      </c>
      <c r="N61" s="1">
        <v>3.0</v>
      </c>
      <c r="O61" s="11"/>
      <c r="P61" s="11">
        <f t="shared" si="6"/>
        <v>54.78596157</v>
      </c>
      <c r="Q61" s="11" t="str">
        <f t="shared" si="10"/>
        <v/>
      </c>
      <c r="R61" s="11" t="str">
        <f t="shared" si="7"/>
        <v/>
      </c>
      <c r="S61" s="55" t="str">
        <f t="shared" si="8"/>
        <v/>
      </c>
      <c r="T61" s="11">
        <f t="shared" si="11"/>
        <v>222.2485991</v>
      </c>
    </row>
    <row r="62">
      <c r="A62" s="1" t="s">
        <v>411</v>
      </c>
      <c r="B62" s="52">
        <v>5.2612557E7</v>
      </c>
      <c r="C62" s="53">
        <v>86676.37</v>
      </c>
      <c r="D62" s="53">
        <v>3094856.0</v>
      </c>
      <c r="E62" s="52">
        <v>1162682.0</v>
      </c>
      <c r="F62" s="52">
        <v>1.0382259E7</v>
      </c>
      <c r="G62" s="1">
        <v>17.0</v>
      </c>
      <c r="H62" s="1">
        <v>17.0</v>
      </c>
      <c r="I62" s="1">
        <v>100.0</v>
      </c>
      <c r="J62" s="1">
        <v>35.0</v>
      </c>
      <c r="K62" s="26">
        <v>1.0</v>
      </c>
      <c r="L62" s="1" t="s">
        <v>591</v>
      </c>
      <c r="M62" s="1" t="s">
        <v>156</v>
      </c>
      <c r="N62" s="1">
        <v>2.0</v>
      </c>
      <c r="O62" s="11"/>
      <c r="P62" s="11">
        <f t="shared" si="6"/>
        <v>41.62132618</v>
      </c>
      <c r="Q62" s="11">
        <f t="shared" si="10"/>
        <v>38.78296957</v>
      </c>
      <c r="R62" s="11" t="str">
        <f t="shared" si="7"/>
        <v/>
      </c>
      <c r="S62" s="55">
        <f t="shared" si="8"/>
        <v>266.0955416</v>
      </c>
      <c r="T62" s="11">
        <f t="shared" si="11"/>
        <v>168.8440098</v>
      </c>
    </row>
    <row r="63">
      <c r="A63" s="1" t="s">
        <v>451</v>
      </c>
      <c r="B63" s="52">
        <v>3.1505226E7</v>
      </c>
      <c r="C63" s="53">
        <v>51903.17</v>
      </c>
      <c r="D63" s="53">
        <v>6301045.0</v>
      </c>
      <c r="E63" s="52">
        <v>5359441.0</v>
      </c>
      <c r="F63" s="52">
        <v>6821435.0</v>
      </c>
      <c r="G63" s="1">
        <v>5.0</v>
      </c>
      <c r="H63" s="1">
        <v>5.0</v>
      </c>
      <c r="I63" s="1">
        <v>100.0</v>
      </c>
      <c r="J63" s="1">
        <v>131.25</v>
      </c>
      <c r="K63" s="26">
        <v>1.0</v>
      </c>
      <c r="L63" s="1" t="s">
        <v>446</v>
      </c>
      <c r="M63" s="1" t="s">
        <v>150</v>
      </c>
      <c r="N63" s="1">
        <v>2.0</v>
      </c>
      <c r="O63" s="11"/>
      <c r="P63" s="11">
        <f t="shared" si="6"/>
        <v>24.923503</v>
      </c>
      <c r="Q63" s="11">
        <f t="shared" si="10"/>
        <v>23.22385055</v>
      </c>
      <c r="R63" s="11" t="str">
        <f t="shared" si="7"/>
        <v/>
      </c>
      <c r="S63" s="55">
        <f t="shared" si="8"/>
        <v>159.3421844</v>
      </c>
      <c r="T63" s="11">
        <f t="shared" si="11"/>
        <v>101.1064417</v>
      </c>
    </row>
    <row r="64">
      <c r="A64" s="1" t="s">
        <v>449</v>
      </c>
      <c r="B64" s="52">
        <v>2.9284279E7</v>
      </c>
      <c r="C64" s="53">
        <v>48244.28</v>
      </c>
      <c r="D64" s="53">
        <v>1626905.0</v>
      </c>
      <c r="E64" s="52">
        <v>659520.0</v>
      </c>
      <c r="F64" s="52">
        <v>3059771.0</v>
      </c>
      <c r="G64" s="1">
        <v>18.0</v>
      </c>
      <c r="H64" s="1">
        <v>18.0</v>
      </c>
      <c r="I64" s="1">
        <v>100.0</v>
      </c>
      <c r="J64" s="1">
        <v>32.53</v>
      </c>
      <c r="K64" s="26">
        <v>1.0</v>
      </c>
      <c r="L64" s="1" t="s">
        <v>592</v>
      </c>
      <c r="M64" s="1" t="s">
        <v>210</v>
      </c>
      <c r="N64" s="1">
        <v>2.0</v>
      </c>
      <c r="O64" s="11"/>
      <c r="P64" s="11">
        <f t="shared" si="6"/>
        <v>23.16653217</v>
      </c>
      <c r="Q64" s="11">
        <f t="shared" si="10"/>
        <v>21.58669593</v>
      </c>
      <c r="R64" s="11" t="str">
        <f t="shared" si="7"/>
        <v/>
      </c>
      <c r="S64" s="55">
        <f t="shared" si="8"/>
        <v>148.1094307</v>
      </c>
      <c r="T64" s="11">
        <f t="shared" si="11"/>
        <v>93.97898974</v>
      </c>
    </row>
    <row r="65">
      <c r="A65" s="1" t="s">
        <v>463</v>
      </c>
      <c r="B65" s="52">
        <v>4989940.0</v>
      </c>
      <c r="C65" s="53">
        <v>8220.66</v>
      </c>
      <c r="D65" s="53">
        <v>27876.76</v>
      </c>
      <c r="E65" s="52">
        <v>15808.0</v>
      </c>
      <c r="F65" s="52">
        <v>54057.0</v>
      </c>
      <c r="G65" s="1">
        <v>179.0</v>
      </c>
      <c r="H65" s="1">
        <v>179.0</v>
      </c>
      <c r="I65" s="1">
        <v>100.0</v>
      </c>
      <c r="J65" s="1">
        <v>3.39</v>
      </c>
      <c r="K65" s="26">
        <v>1.0</v>
      </c>
      <c r="L65" s="1" t="s">
        <v>593</v>
      </c>
      <c r="M65" s="1" t="s">
        <v>190</v>
      </c>
      <c r="N65" s="1">
        <v>3.0</v>
      </c>
      <c r="O65" s="11"/>
      <c r="P65" s="11">
        <f t="shared" si="6"/>
        <v>3.9474977</v>
      </c>
      <c r="Q65" s="11" t="str">
        <f t="shared" si="10"/>
        <v/>
      </c>
      <c r="R65" s="11" t="str">
        <f t="shared" si="7"/>
        <v/>
      </c>
      <c r="S65" s="55" t="str">
        <f t="shared" si="8"/>
        <v/>
      </c>
      <c r="T65" s="11">
        <f t="shared" si="11"/>
        <v>16.01369783</v>
      </c>
    </row>
    <row r="66">
      <c r="A66" s="1" t="s">
        <v>594</v>
      </c>
      <c r="B66" s="52">
        <v>4384689.0</v>
      </c>
      <c r="C66" s="53">
        <v>7223.54</v>
      </c>
      <c r="D66" s="53">
        <v>4384689.0</v>
      </c>
      <c r="E66" s="52">
        <v>4384689.0</v>
      </c>
      <c r="F66" s="52">
        <v>4384689.0</v>
      </c>
      <c r="G66" s="1">
        <v>1.0</v>
      </c>
      <c r="H66" s="1">
        <v>1.0</v>
      </c>
      <c r="I66" s="1">
        <v>100.0</v>
      </c>
      <c r="J66" s="1" t="s">
        <v>223</v>
      </c>
      <c r="K66" s="26">
        <v>1.0</v>
      </c>
      <c r="L66" s="1" t="s">
        <v>226</v>
      </c>
      <c r="M66" s="1" t="s">
        <v>210</v>
      </c>
      <c r="N66" s="1">
        <v>2.0</v>
      </c>
      <c r="O66" s="11"/>
      <c r="P66" s="11"/>
      <c r="Q66" s="11"/>
      <c r="R66" s="11" t="str">
        <f t="shared" si="7"/>
        <v/>
      </c>
      <c r="S66" s="55">
        <f t="shared" si="8"/>
        <v>22.1761916</v>
      </c>
      <c r="T66" s="11">
        <f t="shared" si="11"/>
        <v>14.071326</v>
      </c>
    </row>
    <row r="67">
      <c r="A67" s="1" t="s">
        <v>233</v>
      </c>
      <c r="B67" s="52">
        <v>3024650.0</v>
      </c>
      <c r="C67" s="53">
        <v>4982.95</v>
      </c>
      <c r="D67" s="53">
        <v>3024650.0</v>
      </c>
      <c r="E67" s="52">
        <v>3024650.0</v>
      </c>
      <c r="F67" s="52">
        <v>3024650.0</v>
      </c>
      <c r="G67" s="1">
        <v>1.0</v>
      </c>
      <c r="H67" s="1">
        <v>1.0</v>
      </c>
      <c r="I67" s="1">
        <v>100.0</v>
      </c>
      <c r="J67" s="1" t="s">
        <v>223</v>
      </c>
      <c r="K67" s="26">
        <v>1.0</v>
      </c>
      <c r="L67" s="1" t="s">
        <v>473</v>
      </c>
      <c r="M67" s="1" t="s">
        <v>187</v>
      </c>
      <c r="N67" s="1">
        <v>3.0</v>
      </c>
      <c r="O67" s="11"/>
      <c r="P67" s="11"/>
      <c r="Q67" s="11" t="str">
        <f t="shared" ref="Q67:Q72" si="14">if(OR($N67=2,$N67=5),$C67*((1.5+D$2+1%)/(1.5+D$2)-1),"")</f>
        <v/>
      </c>
      <c r="R67" s="11"/>
      <c r="S67" s="55" t="str">
        <f t="shared" si="8"/>
        <v/>
      </c>
      <c r="T67" s="11">
        <f t="shared" si="11"/>
        <v>9.706696979</v>
      </c>
    </row>
    <row r="68">
      <c r="A68" s="1" t="s">
        <v>467</v>
      </c>
      <c r="B68" s="27">
        <v>2395330.0</v>
      </c>
      <c r="C68" s="61">
        <v>3946.18</v>
      </c>
      <c r="D68" s="61">
        <v>32812.74</v>
      </c>
      <c r="E68" s="27">
        <v>24237.0</v>
      </c>
      <c r="F68" s="27">
        <v>46637.0</v>
      </c>
      <c r="G68" s="1">
        <v>73.0</v>
      </c>
      <c r="H68" s="1">
        <v>73.0</v>
      </c>
      <c r="I68" s="1">
        <v>100.0</v>
      </c>
      <c r="J68" s="1">
        <v>8.58</v>
      </c>
      <c r="K68" s="26">
        <v>1.0</v>
      </c>
      <c r="L68" s="1" t="s">
        <v>595</v>
      </c>
      <c r="M68" s="1" t="s">
        <v>150</v>
      </c>
      <c r="N68" s="1">
        <v>3.0</v>
      </c>
      <c r="O68" s="11"/>
      <c r="P68" s="11">
        <f t="shared" ref="P68:P70" si="15">if($N68&lt;4,$C68*(($L$4+C$2+1%)/($L$4+C$2)-1),"")</f>
        <v>1.894925283</v>
      </c>
      <c r="Q68" s="11" t="str">
        <f t="shared" si="14"/>
        <v/>
      </c>
      <c r="R68" s="11" t="str">
        <f t="shared" ref="R68:R71" si="16">if($N68=1,$C68*((1+E$2+1%)/(1+E$2)-1),"")</f>
        <v/>
      </c>
      <c r="S68" s="55" t="str">
        <f t="shared" si="8"/>
        <v/>
      </c>
      <c r="T68" s="11">
        <f t="shared" si="11"/>
        <v>7.687087666</v>
      </c>
    </row>
    <row r="69" ht="15.0" customHeight="1">
      <c r="A69" s="1" t="s">
        <v>476</v>
      </c>
      <c r="B69" s="52">
        <v>825580.0</v>
      </c>
      <c r="C69" s="53">
        <v>1360.1</v>
      </c>
      <c r="D69" s="53">
        <v>13992.88</v>
      </c>
      <c r="E69" s="52">
        <v>12208.0</v>
      </c>
      <c r="F69" s="52">
        <v>14076.0</v>
      </c>
      <c r="G69" s="27">
        <v>59.0</v>
      </c>
      <c r="H69" s="27">
        <v>59.0</v>
      </c>
      <c r="I69" s="1">
        <v>100.0</v>
      </c>
      <c r="J69" s="1">
        <v>1.37</v>
      </c>
      <c r="K69" s="26">
        <v>0.0</v>
      </c>
      <c r="L69" s="1" t="s">
        <v>149</v>
      </c>
      <c r="M69" s="1" t="s">
        <v>156</v>
      </c>
      <c r="N69" s="1">
        <v>4.0</v>
      </c>
      <c r="O69" s="11"/>
      <c r="P69" s="11" t="str">
        <f t="shared" si="15"/>
        <v/>
      </c>
      <c r="Q69" s="11" t="str">
        <f t="shared" si="14"/>
        <v/>
      </c>
      <c r="R69" s="11" t="str">
        <f t="shared" si="16"/>
        <v/>
      </c>
      <c r="S69" s="55" t="str">
        <f t="shared" si="8"/>
        <v/>
      </c>
    </row>
    <row r="70">
      <c r="A70" s="1" t="s">
        <v>479</v>
      </c>
      <c r="B70" s="52">
        <v>141528.0</v>
      </c>
      <c r="C70" s="53">
        <v>233.16</v>
      </c>
      <c r="D70" s="53">
        <v>3931.33</v>
      </c>
      <c r="E70" s="52">
        <v>1148.0</v>
      </c>
      <c r="F70" s="52">
        <v>5911.0</v>
      </c>
      <c r="G70" s="27">
        <v>36.0</v>
      </c>
      <c r="H70" s="27">
        <v>36.0</v>
      </c>
      <c r="I70" s="1">
        <v>100.0</v>
      </c>
      <c r="J70" s="1">
        <v>16.7</v>
      </c>
      <c r="K70" s="26">
        <v>0.0</v>
      </c>
      <c r="L70" s="1" t="s">
        <v>149</v>
      </c>
      <c r="M70" s="1" t="s">
        <v>150</v>
      </c>
      <c r="N70" s="1">
        <v>4.0</v>
      </c>
      <c r="O70" s="11"/>
      <c r="P70" s="11" t="str">
        <f t="shared" si="15"/>
        <v/>
      </c>
      <c r="Q70" s="11" t="str">
        <f t="shared" si="14"/>
        <v/>
      </c>
      <c r="R70" s="11" t="str">
        <f t="shared" si="16"/>
        <v/>
      </c>
      <c r="S70" s="55" t="str">
        <f t="shared" si="8"/>
        <v/>
      </c>
    </row>
    <row r="71">
      <c r="A71" s="1" t="s">
        <v>480</v>
      </c>
      <c r="B71" s="52">
        <v>97424.0</v>
      </c>
      <c r="C71" s="53">
        <v>160.5</v>
      </c>
      <c r="D71" s="53">
        <v>3747.08</v>
      </c>
      <c r="E71" s="52">
        <v>1161.0</v>
      </c>
      <c r="F71" s="52">
        <v>5769.0</v>
      </c>
      <c r="G71" s="52">
        <v>26.0</v>
      </c>
      <c r="H71" s="52">
        <v>26.0</v>
      </c>
      <c r="I71" s="1">
        <v>100.0</v>
      </c>
      <c r="J71" s="1">
        <v>25.0</v>
      </c>
      <c r="K71" s="26">
        <v>0.0</v>
      </c>
      <c r="L71" s="1" t="s">
        <v>149</v>
      </c>
      <c r="M71" s="1" t="s">
        <v>150</v>
      </c>
      <c r="N71" s="1">
        <v>4.0</v>
      </c>
      <c r="O71" s="11"/>
      <c r="P71" s="11"/>
      <c r="Q71" s="11" t="str">
        <f t="shared" si="14"/>
        <v/>
      </c>
      <c r="R71" s="11" t="str">
        <f t="shared" si="16"/>
        <v/>
      </c>
      <c r="S71" s="55" t="str">
        <f t="shared" si="8"/>
        <v/>
      </c>
    </row>
    <row r="72">
      <c r="A72" s="1" t="s">
        <v>174</v>
      </c>
      <c r="B72" s="27">
        <v>1.665722352E9</v>
      </c>
      <c r="C72" s="61">
        <v>2744188.39</v>
      </c>
      <c r="D72" s="61">
        <v>1348763.0</v>
      </c>
      <c r="E72" s="27">
        <v>390974.0</v>
      </c>
      <c r="F72" s="27">
        <v>7233806.0</v>
      </c>
      <c r="G72" s="27">
        <v>1235.0</v>
      </c>
      <c r="H72" s="27">
        <v>1235.0</v>
      </c>
      <c r="I72" s="1">
        <v>100.0</v>
      </c>
      <c r="J72" s="1">
        <v>1.09</v>
      </c>
      <c r="K72" s="26">
        <v>1.0</v>
      </c>
      <c r="L72" s="1" t="s">
        <v>596</v>
      </c>
      <c r="M72" s="1" t="s">
        <v>150</v>
      </c>
      <c r="N72" s="1">
        <v>5.0</v>
      </c>
      <c r="O72" s="11"/>
      <c r="P72" s="11"/>
      <c r="Q72" s="11">
        <f t="shared" si="14"/>
        <v>1227.875312</v>
      </c>
      <c r="R72" s="11" t="str">
        <f>if($N72=1,$A72*((1+E$2+1%)/(1+E$2)-1),"")</f>
        <v/>
      </c>
      <c r="S72" s="55">
        <f t="shared" si="8"/>
        <v>8424.62941</v>
      </c>
    </row>
    <row r="73">
      <c r="B73" s="21" t="s">
        <v>1</v>
      </c>
      <c r="C73" s="21" t="s">
        <v>550</v>
      </c>
      <c r="D73" s="21" t="s">
        <v>597</v>
      </c>
      <c r="F73" s="1" t="s">
        <v>598</v>
      </c>
      <c r="G73" s="1" t="s">
        <v>599</v>
      </c>
      <c r="H73" s="1" t="s">
        <v>600</v>
      </c>
      <c r="J73" s="1"/>
      <c r="K73" s="26"/>
      <c r="L73" s="1"/>
      <c r="M73" s="1"/>
      <c r="N73" s="1"/>
      <c r="O73" s="11"/>
      <c r="P73" s="11"/>
      <c r="Q73" s="11"/>
      <c r="R73" s="11"/>
      <c r="S73" s="55"/>
    </row>
    <row r="74">
      <c r="B74" s="21" t="s">
        <v>23</v>
      </c>
      <c r="C74" s="47">
        <v>13154.455167238528</v>
      </c>
      <c r="D74" s="47">
        <v>34830.64377457995</v>
      </c>
      <c r="F74">
        <f>C74*150*1.13</f>
        <v>2229680.151</v>
      </c>
      <c r="G74">
        <f>C74*70*1.13*3/4</f>
        <v>780388.0528</v>
      </c>
      <c r="H74">
        <f>D74*60*1/4*1.07</f>
        <v>559031.8326</v>
      </c>
      <c r="J74" s="1"/>
      <c r="K74" s="1"/>
      <c r="L74" s="1"/>
      <c r="M74" s="1"/>
      <c r="N74" s="1"/>
      <c r="O74" s="11"/>
      <c r="P74" s="11"/>
      <c r="Q74" s="11"/>
      <c r="R74" s="11"/>
      <c r="S74" s="55"/>
    </row>
    <row r="75">
      <c r="B75" s="21" t="s">
        <v>12</v>
      </c>
      <c r="C75" s="47">
        <v>8980.013547953016</v>
      </c>
      <c r="D75" s="47">
        <v>18704.47729488093</v>
      </c>
      <c r="F75">
        <f>C75*150*(1.08+0.05*2/3)</f>
        <v>1499662.263</v>
      </c>
    </row>
    <row r="76">
      <c r="B76" s="21" t="s">
        <v>13</v>
      </c>
      <c r="C76" s="47">
        <v>19364.761384777194</v>
      </c>
      <c r="D76" s="47">
        <v>65648.35106766866</v>
      </c>
      <c r="F76">
        <f>sum(F74:F75)</f>
        <v>3729342.413</v>
      </c>
      <c r="G76">
        <f>sum(G74:H74)</f>
        <v>1339419.885</v>
      </c>
    </row>
    <row r="77">
      <c r="B77" s="21" t="s">
        <v>117</v>
      </c>
      <c r="C77" s="47">
        <v>300.4895811687955</v>
      </c>
      <c r="D77" s="47">
        <v>794.5700219918211</v>
      </c>
      <c r="F77">
        <f>F76*1/3</f>
        <v>1243114.138</v>
      </c>
      <c r="J77" s="35"/>
    </row>
    <row r="78">
      <c r="B78" s="1" t="s">
        <v>56</v>
      </c>
      <c r="C78" s="1" t="s">
        <v>601</v>
      </c>
      <c r="D78" s="1" t="s">
        <v>602</v>
      </c>
      <c r="F78" s="1" t="s">
        <v>603</v>
      </c>
      <c r="G78" s="1" t="s">
        <v>604</v>
      </c>
      <c r="H78" s="1" t="s">
        <v>605</v>
      </c>
      <c r="J78" s="35"/>
    </row>
    <row r="79">
      <c r="A79" s="1" t="s">
        <v>606</v>
      </c>
      <c r="B79" s="1">
        <v>145427.0</v>
      </c>
      <c r="C79" s="1">
        <v>5.0</v>
      </c>
      <c r="D79" s="83">
        <f t="shared" ref="D79:D84" si="17">B79/C79</f>
        <v>29085.4</v>
      </c>
      <c r="E79" s="1" t="s">
        <v>366</v>
      </c>
      <c r="F79" s="1">
        <v>0.0</v>
      </c>
      <c r="G79">
        <f t="shared" ref="G79:G91" si="18">(29388+40720+3484+5806)/2+(3560+5933)*($F79/$B$87-MOD($F79,$B$87)/$B$87)</f>
        <v>39699</v>
      </c>
      <c r="H79">
        <f t="shared" ref="H79:H85" si="19">(29388+40720+3484+5806)/2+(3560+5933)*($F79/$D$87-MOD($F79,$D$87)/$D$87)</f>
        <v>39699</v>
      </c>
      <c r="I79" s="64">
        <f t="shared" ref="I79:I94" si="20">(H79-G79)/G79</f>
        <v>0</v>
      </c>
      <c r="O79" s="1"/>
      <c r="P79" s="1"/>
    </row>
    <row r="80">
      <c r="A80" s="1" t="s">
        <v>37</v>
      </c>
      <c r="B80" s="35">
        <v>241420.23780977307</v>
      </c>
      <c r="C80" s="1">
        <v>10.0</v>
      </c>
      <c r="D80" s="83">
        <f t="shared" si="17"/>
        <v>24142.02378</v>
      </c>
      <c r="F80">
        <f>F79+2.33</f>
        <v>2.33</v>
      </c>
      <c r="G80">
        <f t="shared" si="18"/>
        <v>39699</v>
      </c>
      <c r="H80">
        <f t="shared" si="19"/>
        <v>49192</v>
      </c>
      <c r="I80" s="64">
        <f t="shared" si="20"/>
        <v>0.2391244112</v>
      </c>
    </row>
    <row r="81">
      <c r="A81" s="1" t="s">
        <v>607</v>
      </c>
      <c r="B81">
        <v>556080.6218684771</v>
      </c>
      <c r="C81" s="1">
        <v>20.0</v>
      </c>
      <c r="D81" s="83">
        <f t="shared" si="17"/>
        <v>27804.03109</v>
      </c>
      <c r="F81" s="1">
        <f>F80+1.67</f>
        <v>4</v>
      </c>
      <c r="G81">
        <f t="shared" si="18"/>
        <v>49192</v>
      </c>
      <c r="H81">
        <f t="shared" si="19"/>
        <v>49192</v>
      </c>
      <c r="I81" s="64">
        <f t="shared" si="20"/>
        <v>0</v>
      </c>
    </row>
    <row r="82">
      <c r="A82" s="1" t="s">
        <v>366</v>
      </c>
      <c r="B82">
        <f>C53*I95</f>
        <v>95984.18033</v>
      </c>
      <c r="C82" s="1">
        <v>5.0</v>
      </c>
      <c r="D82" s="83">
        <f t="shared" si="17"/>
        <v>19196.83607</v>
      </c>
      <c r="F82">
        <f>F81+2.33</f>
        <v>6.33</v>
      </c>
      <c r="G82">
        <f t="shared" si="18"/>
        <v>49192</v>
      </c>
      <c r="H82">
        <f t="shared" si="19"/>
        <v>58685</v>
      </c>
      <c r="I82" s="64">
        <f t="shared" si="20"/>
        <v>0.1929785331</v>
      </c>
    </row>
    <row r="83">
      <c r="A83" s="1" t="s">
        <v>608</v>
      </c>
      <c r="B83">
        <v>13596.496514511477</v>
      </c>
      <c r="C83" s="1">
        <v>2.0</v>
      </c>
      <c r="D83" s="83">
        <f t="shared" si="17"/>
        <v>6798.248257</v>
      </c>
      <c r="F83" s="1">
        <f>F82+1.67</f>
        <v>8</v>
      </c>
      <c r="G83">
        <f t="shared" si="18"/>
        <v>58685</v>
      </c>
      <c r="H83">
        <f t="shared" si="19"/>
        <v>68178</v>
      </c>
      <c r="I83" s="64">
        <f t="shared" si="20"/>
        <v>0.1617619494</v>
      </c>
    </row>
    <row r="84">
      <c r="A84" s="1" t="s">
        <v>69</v>
      </c>
      <c r="B84">
        <f>I3*1.08</f>
        <v>24342.52871</v>
      </c>
      <c r="C84" s="1">
        <v>1.0</v>
      </c>
      <c r="D84" s="83">
        <f t="shared" si="17"/>
        <v>24342.52871</v>
      </c>
      <c r="F84">
        <f>F83+2.33</f>
        <v>10.33</v>
      </c>
      <c r="G84">
        <f t="shared" si="18"/>
        <v>58685</v>
      </c>
      <c r="H84">
        <f t="shared" si="19"/>
        <v>77671</v>
      </c>
      <c r="I84" s="64">
        <f t="shared" si="20"/>
        <v>0.3235238988</v>
      </c>
    </row>
    <row r="85">
      <c r="A85" s="1" t="s">
        <v>609</v>
      </c>
      <c r="F85" s="1">
        <f>F84+1.67</f>
        <v>12</v>
      </c>
      <c r="G85">
        <f t="shared" si="18"/>
        <v>68178</v>
      </c>
      <c r="H85">
        <f t="shared" si="19"/>
        <v>87164</v>
      </c>
      <c r="I85" s="64">
        <f t="shared" si="20"/>
        <v>0.278476928</v>
      </c>
    </row>
    <row r="86">
      <c r="F86" s="1">
        <v>14.0</v>
      </c>
      <c r="G86">
        <f t="shared" si="18"/>
        <v>68178</v>
      </c>
      <c r="H86">
        <f t="shared" ref="H86:H94" si="21">$H$85+(29388+40720+3484+5806)/2+(3560+5933)*(($F86-14)/$D$87-MOD(($F86-14),$D$87)/$D$87)</f>
        <v>126863</v>
      </c>
      <c r="I86" s="64">
        <f t="shared" si="20"/>
        <v>0.860761536</v>
      </c>
    </row>
    <row r="87">
      <c r="B87" s="1">
        <v>4.0</v>
      </c>
      <c r="D87" s="1">
        <v>2.33</v>
      </c>
      <c r="F87" s="1">
        <f>F86+2.33</f>
        <v>16.33</v>
      </c>
      <c r="G87">
        <f t="shared" si="18"/>
        <v>77671</v>
      </c>
      <c r="H87">
        <f t="shared" si="21"/>
        <v>126863</v>
      </c>
      <c r="I87" s="64">
        <f t="shared" si="20"/>
        <v>0.6333380541</v>
      </c>
    </row>
    <row r="88">
      <c r="F88">
        <f>F87+1.67</f>
        <v>18</v>
      </c>
      <c r="G88">
        <f t="shared" si="18"/>
        <v>77671</v>
      </c>
      <c r="H88">
        <f t="shared" si="21"/>
        <v>136356</v>
      </c>
      <c r="I88" s="64">
        <f t="shared" si="20"/>
        <v>0.7555587027</v>
      </c>
    </row>
    <row r="89">
      <c r="F89" s="1">
        <f>F88+2.33</f>
        <v>20.33</v>
      </c>
      <c r="G89">
        <f t="shared" si="18"/>
        <v>87164</v>
      </c>
      <c r="H89">
        <f t="shared" si="21"/>
        <v>145849</v>
      </c>
      <c r="I89" s="64">
        <f t="shared" si="20"/>
        <v>0.6732710752</v>
      </c>
    </row>
    <row r="90">
      <c r="F90">
        <f>F89+1.67</f>
        <v>22</v>
      </c>
      <c r="G90">
        <f t="shared" si="18"/>
        <v>87164</v>
      </c>
      <c r="H90">
        <f t="shared" si="21"/>
        <v>155342</v>
      </c>
      <c r="I90" s="64">
        <f t="shared" si="20"/>
        <v>0.7821807168</v>
      </c>
    </row>
    <row r="91">
      <c r="F91" s="1">
        <f>F90+2.33</f>
        <v>24.33</v>
      </c>
      <c r="G91">
        <f t="shared" si="18"/>
        <v>96657</v>
      </c>
      <c r="H91">
        <f t="shared" si="21"/>
        <v>164835</v>
      </c>
      <c r="I91" s="64">
        <f t="shared" si="20"/>
        <v>0.7053601912</v>
      </c>
    </row>
    <row r="92">
      <c r="F92">
        <f t="shared" ref="F92:F94" si="22">F91+1.67</f>
        <v>26</v>
      </c>
      <c r="G92">
        <f t="shared" ref="G92:G94" si="23">$G$91+(29388+40720+3484+5806)/2+(3560+5933)*(($F92-24)/$B$87-MOD(($F92-24),$B$87)/$B$87)</f>
        <v>136356</v>
      </c>
      <c r="H92">
        <f t="shared" si="21"/>
        <v>174328</v>
      </c>
      <c r="I92" s="64">
        <f t="shared" si="20"/>
        <v>0.278476928</v>
      </c>
    </row>
    <row r="93">
      <c r="F93">
        <f t="shared" si="22"/>
        <v>27.67</v>
      </c>
      <c r="G93">
        <f t="shared" si="23"/>
        <v>136356</v>
      </c>
      <c r="H93">
        <f t="shared" si="21"/>
        <v>174328</v>
      </c>
      <c r="I93" s="64">
        <f t="shared" si="20"/>
        <v>0.278476928</v>
      </c>
      <c r="J93" s="11"/>
    </row>
    <row r="94">
      <c r="F94">
        <f t="shared" si="22"/>
        <v>29.34</v>
      </c>
      <c r="G94">
        <f t="shared" si="23"/>
        <v>145849</v>
      </c>
      <c r="H94">
        <f t="shared" si="21"/>
        <v>183821</v>
      </c>
      <c r="I94" s="64">
        <f t="shared" si="20"/>
        <v>0.2603514594</v>
      </c>
      <c r="J94" s="11"/>
    </row>
    <row r="95">
      <c r="I95" s="64">
        <f>average(I79:I94)</f>
        <v>0.401477582</v>
      </c>
      <c r="J95" s="11"/>
    </row>
    <row r="96">
      <c r="A96" s="98"/>
      <c r="B96" s="11"/>
      <c r="F96" s="35"/>
      <c r="I96" s="35"/>
      <c r="J96" s="83"/>
    </row>
    <row r="97">
      <c r="A97" s="98"/>
      <c r="B97" s="11"/>
    </row>
    <row r="98">
      <c r="A98" s="98"/>
      <c r="B98" s="11"/>
    </row>
    <row r="99">
      <c r="A99" s="1" t="s">
        <v>610</v>
      </c>
      <c r="B99" s="83" t="s">
        <v>611</v>
      </c>
      <c r="C99" s="1" t="s">
        <v>612</v>
      </c>
      <c r="D99" s="1" t="s">
        <v>613</v>
      </c>
    </row>
    <row r="100">
      <c r="A100" s="1" t="s">
        <v>157</v>
      </c>
      <c r="B100" s="1">
        <v>4904138.0</v>
      </c>
      <c r="C100" s="1">
        <v>19.13</v>
      </c>
      <c r="D100" s="11">
        <v>3076301.934134867</v>
      </c>
      <c r="E100" s="1">
        <f t="shared" ref="E100:E122" si="24">(D100*C100)*(1-(C100/30))</f>
        <v>21323192.02</v>
      </c>
      <c r="F100" s="1">
        <f>average(E100:E122)</f>
        <v>-15471797.14</v>
      </c>
      <c r="G100" s="1"/>
      <c r="H100" s="1"/>
    </row>
    <row r="101">
      <c r="A101" s="1" t="s">
        <v>161</v>
      </c>
      <c r="B101" s="1">
        <v>1.778523E7</v>
      </c>
      <c r="C101" s="1">
        <v>13.6</v>
      </c>
      <c r="D101" s="11">
        <v>2615475.0</v>
      </c>
      <c r="E101" s="1">
        <f t="shared" si="24"/>
        <v>19445184.8</v>
      </c>
      <c r="G101" s="1"/>
      <c r="H101" s="5"/>
    </row>
    <row r="102">
      <c r="A102" s="1" t="s">
        <v>159</v>
      </c>
      <c r="B102" s="1">
        <v>9.124103E7</v>
      </c>
      <c r="C102" s="1">
        <v>36.0</v>
      </c>
      <c r="D102" s="83">
        <f>B102/C102</f>
        <v>2534473.056</v>
      </c>
      <c r="E102" s="1">
        <f t="shared" si="24"/>
        <v>-18248206</v>
      </c>
      <c r="H102" s="5"/>
    </row>
    <row r="103">
      <c r="A103" s="1" t="s">
        <v>252</v>
      </c>
      <c r="B103" s="1">
        <v>7.687822E7</v>
      </c>
      <c r="C103" s="1">
        <v>72.5</v>
      </c>
      <c r="D103" s="11">
        <v>2120778.4827586208</v>
      </c>
      <c r="E103" s="1">
        <f t="shared" si="24"/>
        <v>-217821623.3</v>
      </c>
      <c r="G103" s="1"/>
      <c r="H103" s="5"/>
    </row>
    <row r="104">
      <c r="A104" s="1" t="s">
        <v>270</v>
      </c>
      <c r="B104" s="1">
        <v>7165082.0</v>
      </c>
      <c r="C104" s="1">
        <v>8.23</v>
      </c>
      <c r="D104" s="83">
        <f>B104/C104</f>
        <v>870605.3463</v>
      </c>
      <c r="E104" s="1">
        <f t="shared" si="24"/>
        <v>5199461.171</v>
      </c>
      <c r="H104" s="5"/>
    </row>
    <row r="105">
      <c r="A105" s="1" t="s">
        <v>165</v>
      </c>
      <c r="B105" s="1">
        <v>4941421.0</v>
      </c>
      <c r="C105" s="1">
        <v>12.52</v>
      </c>
      <c r="D105" s="11">
        <v>789364.3769968052</v>
      </c>
      <c r="E105" s="1">
        <f t="shared" si="24"/>
        <v>5758402.605</v>
      </c>
      <c r="G105" s="1"/>
      <c r="H105" s="5"/>
    </row>
    <row r="106">
      <c r="A106" s="1" t="s">
        <v>289</v>
      </c>
      <c r="B106" s="1">
        <v>1.27548E7</v>
      </c>
      <c r="C106" s="1">
        <v>36.13</v>
      </c>
      <c r="D106" s="11">
        <v>706050.3736507058</v>
      </c>
      <c r="E106" s="1">
        <f t="shared" si="24"/>
        <v>-5212461.6</v>
      </c>
      <c r="F106" s="1"/>
      <c r="H106" s="5"/>
    </row>
    <row r="107">
      <c r="A107" s="1" t="s">
        <v>314</v>
      </c>
      <c r="B107" s="1">
        <v>9972800.0</v>
      </c>
      <c r="C107" s="1">
        <v>35.88</v>
      </c>
      <c r="D107" s="11">
        <v>555897.4358974359</v>
      </c>
      <c r="E107" s="1">
        <f t="shared" si="24"/>
        <v>-3909337.6</v>
      </c>
      <c r="G107" s="1"/>
      <c r="H107" s="5"/>
    </row>
    <row r="108">
      <c r="A108" s="1" t="s">
        <v>283</v>
      </c>
      <c r="B108" s="1">
        <v>1.873912E7</v>
      </c>
      <c r="C108" s="1">
        <v>35.86</v>
      </c>
      <c r="D108" s="83">
        <f t="shared" ref="D108:D109" si="25">B108/C108</f>
        <v>522563.3017</v>
      </c>
      <c r="E108" s="1">
        <f t="shared" si="24"/>
        <v>-3660374.773</v>
      </c>
      <c r="H108" s="5"/>
    </row>
    <row r="109">
      <c r="A109" s="1" t="s">
        <v>299</v>
      </c>
      <c r="B109" s="1">
        <v>1213046.0</v>
      </c>
      <c r="C109" s="1">
        <v>2.54</v>
      </c>
      <c r="D109" s="83">
        <f t="shared" si="25"/>
        <v>477577.1654</v>
      </c>
      <c r="E109" s="1">
        <f t="shared" si="24"/>
        <v>1110341.439</v>
      </c>
    </row>
    <row r="110">
      <c r="A110" s="1" t="s">
        <v>310</v>
      </c>
      <c r="B110" s="1">
        <v>3568979.0</v>
      </c>
      <c r="C110" s="1">
        <v>16.35</v>
      </c>
      <c r="D110" s="11">
        <v>436572.3547400611</v>
      </c>
      <c r="E110" s="1">
        <f t="shared" si="24"/>
        <v>3247770.89</v>
      </c>
    </row>
    <row r="111">
      <c r="A111" s="1" t="s">
        <v>308</v>
      </c>
      <c r="B111" s="1">
        <v>1.385451E7</v>
      </c>
      <c r="C111" s="1">
        <v>39.33</v>
      </c>
      <c r="D111" s="83">
        <f t="shared" ref="D111:D122" si="26">B111/C111</f>
        <v>352263.1579</v>
      </c>
      <c r="E111" s="1">
        <f t="shared" si="24"/>
        <v>-4308752.61</v>
      </c>
    </row>
    <row r="112">
      <c r="A112" s="1" t="s">
        <v>303</v>
      </c>
      <c r="B112" s="1">
        <v>2015341.0</v>
      </c>
      <c r="C112" s="1">
        <v>6.07</v>
      </c>
      <c r="D112" s="83">
        <f t="shared" si="26"/>
        <v>332016.6392</v>
      </c>
      <c r="E112" s="1">
        <f t="shared" si="24"/>
        <v>1607570.338</v>
      </c>
    </row>
    <row r="113">
      <c r="A113" s="1" t="s">
        <v>376</v>
      </c>
      <c r="B113" s="1">
        <v>8837436.0</v>
      </c>
      <c r="C113" s="1">
        <v>36.0</v>
      </c>
      <c r="D113" s="83">
        <f t="shared" si="26"/>
        <v>245484.3333</v>
      </c>
      <c r="E113" s="1">
        <f t="shared" si="24"/>
        <v>-1767487.2</v>
      </c>
    </row>
    <row r="114">
      <c r="A114" s="1" t="s">
        <v>328</v>
      </c>
      <c r="B114" s="1">
        <v>2.056596E7</v>
      </c>
      <c r="C114" s="1">
        <v>124.5</v>
      </c>
      <c r="D114" s="83">
        <f t="shared" si="26"/>
        <v>165188.4337</v>
      </c>
      <c r="E114" s="1">
        <f t="shared" si="24"/>
        <v>-64782774</v>
      </c>
    </row>
    <row r="115">
      <c r="A115" s="1" t="s">
        <v>183</v>
      </c>
      <c r="B115" s="1">
        <v>8048949.0</v>
      </c>
      <c r="C115" s="1">
        <v>49.8</v>
      </c>
      <c r="D115" s="83">
        <f t="shared" si="26"/>
        <v>161625.4819</v>
      </c>
      <c r="E115" s="1">
        <f t="shared" si="24"/>
        <v>-5312306.34</v>
      </c>
    </row>
    <row r="116">
      <c r="A116" s="1" t="s">
        <v>344</v>
      </c>
      <c r="B116" s="1">
        <v>780551.3</v>
      </c>
      <c r="C116" s="1">
        <v>4.95</v>
      </c>
      <c r="D116" s="83">
        <f t="shared" si="26"/>
        <v>157687.1313</v>
      </c>
      <c r="E116" s="1">
        <f t="shared" si="24"/>
        <v>651760.3355</v>
      </c>
    </row>
    <row r="117">
      <c r="A117" s="1" t="s">
        <v>366</v>
      </c>
      <c r="B117" s="1">
        <v>681002.9</v>
      </c>
      <c r="C117" s="1">
        <v>5.66</v>
      </c>
      <c r="D117" s="83">
        <f t="shared" si="26"/>
        <v>120318.5336</v>
      </c>
      <c r="E117" s="1">
        <f t="shared" si="24"/>
        <v>552520.3529</v>
      </c>
    </row>
    <row r="118">
      <c r="A118" s="1" t="s">
        <v>390</v>
      </c>
      <c r="B118" s="1">
        <v>7804697.0</v>
      </c>
      <c r="C118" s="1">
        <v>66.5</v>
      </c>
      <c r="D118" s="83">
        <f t="shared" si="26"/>
        <v>117363.8647</v>
      </c>
      <c r="E118" s="1">
        <f t="shared" si="24"/>
        <v>-9495714.683</v>
      </c>
    </row>
    <row r="119">
      <c r="A119" s="1" t="s">
        <v>338</v>
      </c>
      <c r="B119" s="1">
        <v>6526686.0</v>
      </c>
      <c r="C119" s="1">
        <v>105.0</v>
      </c>
      <c r="D119" s="83">
        <f t="shared" si="26"/>
        <v>62158.91429</v>
      </c>
      <c r="E119" s="1">
        <f t="shared" si="24"/>
        <v>-16316715</v>
      </c>
    </row>
    <row r="120">
      <c r="A120" s="1" t="s">
        <v>394</v>
      </c>
      <c r="B120" s="1">
        <v>704861.3</v>
      </c>
      <c r="C120" s="1">
        <v>12.37</v>
      </c>
      <c r="D120" s="83">
        <f t="shared" si="26"/>
        <v>56981.51172</v>
      </c>
      <c r="E120" s="1">
        <f t="shared" si="24"/>
        <v>414223.4906</v>
      </c>
    </row>
    <row r="121">
      <c r="A121" s="1" t="s">
        <v>449</v>
      </c>
      <c r="B121" s="1">
        <v>1096238.0</v>
      </c>
      <c r="C121" s="1">
        <v>34.86</v>
      </c>
      <c r="D121" s="83">
        <f t="shared" si="26"/>
        <v>31446.87321</v>
      </c>
      <c r="E121" s="1">
        <f t="shared" si="24"/>
        <v>-177590.556</v>
      </c>
    </row>
    <row r="122">
      <c r="A122" s="1" t="s">
        <v>406</v>
      </c>
      <c r="B122" s="1">
        <v>7127602.0</v>
      </c>
      <c r="C122" s="1">
        <v>300.0</v>
      </c>
      <c r="D122" s="83">
        <f t="shared" si="26"/>
        <v>23758.67333</v>
      </c>
      <c r="E122" s="1">
        <f t="shared" si="24"/>
        <v>-64148418</v>
      </c>
    </row>
    <row r="123">
      <c r="A123" s="1"/>
      <c r="B123" s="1"/>
      <c r="C123" s="1"/>
      <c r="D123" s="83"/>
    </row>
    <row r="124">
      <c r="A124" s="1"/>
      <c r="B124" s="1"/>
      <c r="C124" s="1"/>
      <c r="D124" s="83"/>
    </row>
    <row r="125">
      <c r="A125" s="1"/>
      <c r="B125" s="1"/>
      <c r="C125" s="1"/>
      <c r="D125" s="83"/>
    </row>
    <row r="126">
      <c r="A126" s="1"/>
      <c r="B126" s="1"/>
      <c r="C126" s="1"/>
      <c r="D126" s="83"/>
    </row>
    <row r="127">
      <c r="A127" s="1"/>
      <c r="B127" s="1"/>
      <c r="C127" s="1"/>
      <c r="D127" s="83"/>
    </row>
    <row r="128">
      <c r="A128" s="1"/>
      <c r="B128" s="1"/>
      <c r="C128" s="1"/>
      <c r="D128" s="83"/>
    </row>
    <row r="129">
      <c r="A129" s="1"/>
      <c r="B129" s="1"/>
      <c r="C129" s="1"/>
      <c r="D129" s="83"/>
    </row>
    <row r="130">
      <c r="A130" s="1"/>
      <c r="B130" s="1"/>
      <c r="C130" s="1"/>
      <c r="D130" s="83"/>
    </row>
    <row r="131">
      <c r="A131" s="1"/>
      <c r="B131" s="1"/>
      <c r="C131" s="1"/>
      <c r="D131" s="83"/>
    </row>
    <row r="132">
      <c r="A132" s="1"/>
      <c r="B132" s="1"/>
      <c r="C132" s="1"/>
      <c r="D132" s="83"/>
    </row>
    <row r="133">
      <c r="A133" s="1"/>
      <c r="B133" s="1"/>
      <c r="C133" s="1"/>
      <c r="D133" s="83"/>
    </row>
    <row r="134">
      <c r="A134" s="1"/>
      <c r="B134" s="1"/>
      <c r="C134" s="1"/>
      <c r="D134" s="83"/>
    </row>
    <row r="135">
      <c r="A135" s="1"/>
      <c r="B135" s="1"/>
      <c r="C135" s="1"/>
      <c r="D135" s="83"/>
    </row>
    <row r="153">
      <c r="A153" s="1" t="str">
        <f t="shared" ref="A153:A163" si="27">if($N66=2,A66," ")</f>
        <v>Paralyzing Strike</v>
      </c>
      <c r="B153" s="53">
        <f t="shared" ref="B153:B163" si="28">if($N66=2,$D66," ")</f>
        <v>4384689</v>
      </c>
      <c r="C153" s="1" t="str">
        <f t="shared" ref="C153:C163" si="29">if($N66=2,$J66," ")</f>
        <v>NaN</v>
      </c>
    </row>
    <row r="154">
      <c r="A154" s="1" t="str">
        <f t="shared" si="27"/>
        <v> </v>
      </c>
      <c r="B154" s="1" t="str">
        <f t="shared" si="28"/>
        <v> </v>
      </c>
      <c r="C154" s="1" t="str">
        <f t="shared" si="29"/>
        <v> </v>
      </c>
    </row>
    <row r="155">
      <c r="A155" s="1" t="str">
        <f t="shared" si="27"/>
        <v> </v>
      </c>
      <c r="B155" s="1" t="str">
        <f t="shared" si="28"/>
        <v> </v>
      </c>
      <c r="C155" s="1" t="str">
        <f t="shared" si="29"/>
        <v> </v>
      </c>
    </row>
    <row r="156">
      <c r="A156" s="1" t="str">
        <f t="shared" si="27"/>
        <v> </v>
      </c>
      <c r="B156" s="1" t="str">
        <f t="shared" si="28"/>
        <v> </v>
      </c>
      <c r="C156" s="1" t="str">
        <f t="shared" si="29"/>
        <v> </v>
      </c>
    </row>
    <row r="157">
      <c r="A157" s="1" t="str">
        <f t="shared" si="27"/>
        <v> </v>
      </c>
      <c r="B157" s="1" t="str">
        <f t="shared" si="28"/>
        <v> </v>
      </c>
      <c r="C157" s="1" t="str">
        <f t="shared" si="29"/>
        <v> </v>
      </c>
    </row>
    <row r="158">
      <c r="A158" s="1" t="str">
        <f t="shared" si="27"/>
        <v> </v>
      </c>
      <c r="B158" s="1" t="str">
        <f t="shared" si="28"/>
        <v> </v>
      </c>
      <c r="C158" s="1" t="str">
        <f t="shared" si="29"/>
        <v> </v>
      </c>
    </row>
    <row r="159">
      <c r="A159" s="1" t="str">
        <f t="shared" si="27"/>
        <v> </v>
      </c>
      <c r="B159" s="1" t="str">
        <f t="shared" si="28"/>
        <v> </v>
      </c>
      <c r="C159" s="1" t="str">
        <f t="shared" si="29"/>
        <v> </v>
      </c>
    </row>
    <row r="160">
      <c r="A160" s="1" t="str">
        <f t="shared" si="27"/>
        <v> </v>
      </c>
      <c r="B160" s="1" t="str">
        <f t="shared" si="28"/>
        <v> </v>
      </c>
      <c r="C160" s="1" t="str">
        <f t="shared" si="29"/>
        <v> </v>
      </c>
    </row>
    <row r="161">
      <c r="A161" s="1" t="str">
        <f t="shared" si="27"/>
        <v> </v>
      </c>
      <c r="B161" s="1" t="str">
        <f t="shared" si="28"/>
        <v> </v>
      </c>
      <c r="C161" s="1" t="str">
        <f t="shared" si="29"/>
        <v> </v>
      </c>
    </row>
    <row r="162">
      <c r="A162" s="1" t="str">
        <f t="shared" si="27"/>
        <v> </v>
      </c>
      <c r="B162" s="1" t="str">
        <f t="shared" si="28"/>
        <v> </v>
      </c>
      <c r="C162" s="1" t="str">
        <f t="shared" si="29"/>
        <v> </v>
      </c>
    </row>
    <row r="163">
      <c r="A163" s="1" t="str">
        <f t="shared" si="27"/>
        <v> </v>
      </c>
      <c r="B163" s="1" t="str">
        <f t="shared" si="28"/>
        <v> </v>
      </c>
      <c r="C163" s="1" t="str">
        <f t="shared" si="29"/>
        <v> </v>
      </c>
    </row>
  </sheetData>
  <mergeCells count="1">
    <mergeCell ref="W10:AB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117</v>
      </c>
      <c r="C1" s="1" t="s">
        <v>23</v>
      </c>
      <c r="D1" s="1" t="s">
        <v>12</v>
      </c>
      <c r="E1" s="1" t="s">
        <v>24</v>
      </c>
      <c r="F1" s="1" t="s">
        <v>25</v>
      </c>
      <c r="G1" s="1" t="s">
        <v>26</v>
      </c>
      <c r="H1" s="21" t="s">
        <v>1</v>
      </c>
      <c r="I1" s="21" t="s">
        <v>550</v>
      </c>
      <c r="J1" s="1" t="s">
        <v>534</v>
      </c>
      <c r="K1" s="1"/>
    </row>
    <row r="2">
      <c r="A2" s="1" t="s">
        <v>111</v>
      </c>
      <c r="B2" s="11">
        <f>Dirge!B2</f>
        <v>21234.58389</v>
      </c>
      <c r="C2" s="64">
        <f>Dirge!C2</f>
        <v>15.31583557</v>
      </c>
      <c r="D2" s="64">
        <f>Dirge!D2</f>
        <v>13.20464765</v>
      </c>
      <c r="E2" s="64">
        <f>Dirge!E2</f>
        <v>3.390060403</v>
      </c>
      <c r="F2" s="11">
        <f>Dirge!F2</f>
        <v>1092.151342</v>
      </c>
      <c r="G2" s="64">
        <f>Dirge!G2</f>
        <v>0.9739966443</v>
      </c>
      <c r="H2" s="21" t="s">
        <v>23</v>
      </c>
      <c r="I2" s="47">
        <f>SUM(P10:P999)</f>
        <v>8217.448513</v>
      </c>
      <c r="J2" s="26">
        <v>1.3</v>
      </c>
      <c r="K2" s="1">
        <f>I4/I2</f>
        <v>2.427644476</v>
      </c>
      <c r="L2" s="1">
        <v>29.0</v>
      </c>
      <c r="M2">
        <f t="shared" ref="M2:M3" si="1">(K2-L2)*1.08*I2</f>
        <v>-235825.5205</v>
      </c>
      <c r="Q2" s="1"/>
      <c r="R2" s="1" t="s">
        <v>530</v>
      </c>
      <c r="S2" s="1" t="s">
        <v>531</v>
      </c>
    </row>
    <row r="3">
      <c r="A3" s="1" t="s">
        <v>112</v>
      </c>
      <c r="B3" s="11">
        <f>Dirge!B3</f>
        <v>17077</v>
      </c>
      <c r="C3" s="64">
        <f>Dirge!C3</f>
        <v>12.701</v>
      </c>
      <c r="D3" s="64">
        <f>Dirge!D3</f>
        <v>10.653</v>
      </c>
      <c r="E3" s="64">
        <f>Dirge!E3</f>
        <v>2.279</v>
      </c>
      <c r="F3" s="11">
        <f>Dirge!F3</f>
        <v>1046.8</v>
      </c>
      <c r="G3" s="64">
        <f>Dirge!G3</f>
        <v>0.765</v>
      </c>
      <c r="H3" s="21" t="s">
        <v>12</v>
      </c>
      <c r="I3" s="47">
        <f>sum(Q10:Q999)</f>
        <v>4078.802582</v>
      </c>
      <c r="J3" s="45"/>
      <c r="K3" s="1">
        <f>I4/I3</f>
        <v>4.890906851</v>
      </c>
      <c r="M3">
        <f t="shared" si="1"/>
        <v>21544.96697</v>
      </c>
      <c r="N3" s="46" t="s">
        <v>124</v>
      </c>
      <c r="P3">
        <f>(20*1.08*I3+20*1.13*I2+15*I4)-(110*1.08*I3)</f>
        <v>88490.37782</v>
      </c>
      <c r="Q3" s="1" t="s">
        <v>69</v>
      </c>
      <c r="R3" s="5">
        <f>I3*152.8*1.08</f>
        <v>673100.3172</v>
      </c>
      <c r="S3" s="5">
        <f>4.8*1.08*20*I3</f>
        <v>422890.2517</v>
      </c>
    </row>
    <row r="4">
      <c r="A4" s="1" t="s">
        <v>113</v>
      </c>
      <c r="B4" s="11">
        <f>Dirge!B4</f>
        <v>19847</v>
      </c>
      <c r="C4" s="64">
        <f>Dirge!C4</f>
        <v>15.111</v>
      </c>
      <c r="D4" s="64">
        <f>Dirge!D4</f>
        <v>12.82</v>
      </c>
      <c r="E4" s="64">
        <f>Dirge!E4</f>
        <v>3.408</v>
      </c>
      <c r="F4" s="11">
        <f>Dirge!F4</f>
        <v>1101.1</v>
      </c>
      <c r="G4" s="64">
        <f>Dirge!G4</f>
        <v>1.05</v>
      </c>
      <c r="H4" s="21" t="s">
        <v>13</v>
      </c>
      <c r="I4" s="47">
        <f>sum(R10:R999)</f>
        <v>19949.04349</v>
      </c>
      <c r="K4" s="1">
        <v>1.0</v>
      </c>
      <c r="L4" s="1">
        <v>9.2</v>
      </c>
      <c r="M4">
        <f>(K4-L4)*I4</f>
        <v>-163582.1566</v>
      </c>
      <c r="N4" s="46" t="s">
        <v>125</v>
      </c>
      <c r="O4">
        <f>(I4*15+I3*20*1.05+I2*1.13*20)-48*(I2*1.13+I3*1.03)</f>
        <v>-76765.56401</v>
      </c>
      <c r="P4">
        <f>10542*(I3*0.0075*1.03)</f>
        <v>332165.2419</v>
      </c>
      <c r="Q4" s="1" t="s">
        <v>614</v>
      </c>
      <c r="R4" s="5">
        <f>I2*152.8*1.13</f>
        <v>1418857.53</v>
      </c>
      <c r="S4" s="5">
        <f>4.8*1.13*20*I2</f>
        <v>891428.8147</v>
      </c>
      <c r="V4" s="1"/>
      <c r="W4" s="1"/>
      <c r="X4" s="1"/>
    </row>
    <row r="5">
      <c r="A5" s="1" t="s">
        <v>114</v>
      </c>
      <c r="B5" s="11">
        <f>Dirge!B5</f>
        <v>27231</v>
      </c>
      <c r="C5" s="64">
        <f>Dirge!C5</f>
        <v>17.163</v>
      </c>
      <c r="D5" s="64">
        <f>Dirge!D5</f>
        <v>18.697</v>
      </c>
      <c r="E5" s="64">
        <f>Dirge!E5</f>
        <v>4.474</v>
      </c>
      <c r="F5" s="11">
        <f>Dirge!F5</f>
        <v>1101.1</v>
      </c>
      <c r="G5" s="64">
        <f>Dirge!G5</f>
        <v>1.163</v>
      </c>
      <c r="H5" s="21" t="str">
        <f>B1</f>
        <v>Agility</v>
      </c>
      <c r="I5" s="47">
        <f>(SUM(S10:S999)/500+0.008*I$2)</f>
        <v>163.9440799</v>
      </c>
      <c r="K5" s="1">
        <v>375.0</v>
      </c>
      <c r="L5" s="1">
        <v>338.0</v>
      </c>
      <c r="M5">
        <f>(K5-L5)*1.28*I5</f>
        <v>7764.391623</v>
      </c>
      <c r="N5" s="46" t="s">
        <v>126</v>
      </c>
      <c r="P5">
        <f>I4*(28+4.5*4)</f>
        <v>917656.0006</v>
      </c>
      <c r="Q5" s="1" t="s">
        <v>537</v>
      </c>
      <c r="R5" s="5">
        <f>(I3+I2)*1.08*92</f>
        <v>1221755.509</v>
      </c>
      <c r="S5" s="27">
        <f>2.4*(1.08*I3+1.13*I2)*20</f>
        <v>657159.5332</v>
      </c>
      <c r="V5" s="1"/>
      <c r="X5" s="48"/>
    </row>
    <row r="6">
      <c r="A6" s="9"/>
      <c r="B6">
        <f>12.3*B7+11.7*(I3*1.03+I2*1.13)</f>
        <v>797022.2071</v>
      </c>
      <c r="G6" s="1" t="s">
        <v>615</v>
      </c>
      <c r="H6" s="1" t="s">
        <v>128</v>
      </c>
      <c r="I6" s="47">
        <f>SUM(S10:S999)/500+0.008*I$2+(0.008+0.0075)*I$3</f>
        <v>227.1655199</v>
      </c>
      <c r="M6">
        <f>sum(M2:M5)</f>
        <v>-370098.3185</v>
      </c>
      <c r="N6" s="46" t="s">
        <v>127</v>
      </c>
      <c r="O6" s="1"/>
      <c r="P6" s="1">
        <f>P5*18/60</f>
        <v>275296.8002</v>
      </c>
      <c r="Q6" s="1" t="s">
        <v>24</v>
      </c>
      <c r="R6" s="5">
        <f>I4*76</f>
        <v>1516127.305</v>
      </c>
      <c r="S6" s="5">
        <f>3.7*I4*20</f>
        <v>1476229.218</v>
      </c>
      <c r="V6" s="1"/>
    </row>
    <row r="7">
      <c r="A7" s="49">
        <f>B7*15.5</f>
        <v>805528.2839</v>
      </c>
      <c r="B7" s="49">
        <f>(D12+D13)*2.93/G2*1/(100*average(J12:J13))</f>
        <v>51969.5667</v>
      </c>
      <c r="C7" s="49">
        <f>14+13/60</f>
        <v>14.21666667</v>
      </c>
      <c r="D7" s="49">
        <f>C7/2</f>
        <v>7.108333333</v>
      </c>
      <c r="E7" s="49">
        <f>64/7</f>
        <v>9.142857143</v>
      </c>
      <c r="F7" s="49">
        <f>10*4*1000000</f>
        <v>40000000</v>
      </c>
      <c r="G7" s="49">
        <f>F7+2.4*10*1000000*2</f>
        <v>88000000</v>
      </c>
      <c r="H7" s="49">
        <f>G7/10000000</f>
        <v>8.8</v>
      </c>
      <c r="I7" s="49">
        <f>I6*1.28*(35.2*6)</f>
        <v>61411.01798</v>
      </c>
      <c r="J7" s="49">
        <f>(807/684)^-1</f>
        <v>0.8475836431</v>
      </c>
      <c r="K7" s="49">
        <f>1-J7</f>
        <v>0.1524163569</v>
      </c>
      <c r="L7" s="49">
        <f>105*I4*18/120</f>
        <v>314197.435</v>
      </c>
      <c r="M7" s="49"/>
      <c r="N7" s="49"/>
      <c r="O7" s="50"/>
      <c r="P7" s="50"/>
      <c r="Q7" s="1" t="s">
        <v>616</v>
      </c>
      <c r="R7" s="5">
        <f>76*(C13+C12+($D$13+$D$12)*2.95/$G$2*1/100*22/(AVERAGE($J$12:$J$13)))*((1+E$2+1%)/(1+E$2)-1)</f>
        <v>1715409.854</v>
      </c>
      <c r="S7" s="5">
        <f>3.7*20*(C13+C12+($D$13+$D$12)*2.95/$G$2*1/100*22/(AVERAGE($J$12:$J$13)))*((1+E$2+1%)/(1+E$2)-1)</f>
        <v>1670267.489</v>
      </c>
      <c r="V7" s="1"/>
    </row>
    <row r="8">
      <c r="A8" s="9"/>
      <c r="C8">
        <f>(C12+C13)*(1-213.7/219.2)</f>
        <v>219742.8296</v>
      </c>
      <c r="Q8" s="1"/>
      <c r="R8" s="1"/>
      <c r="S8" s="11"/>
      <c r="V8" s="1"/>
    </row>
    <row r="9">
      <c r="A9" s="9" t="s">
        <v>617</v>
      </c>
      <c r="Q9" s="1" t="s">
        <v>26</v>
      </c>
      <c r="R9" s="1" t="s">
        <v>149</v>
      </c>
      <c r="S9" s="11">
        <f>($D$13+$D$12)*2.95/$G$2*1/100*15.78/(AVERAGE($J$12:$J$13))</f>
        <v>825677.5766</v>
      </c>
      <c r="T9" s="11">
        <f>S9-S5</f>
        <v>168518.0435</v>
      </c>
      <c r="V9" s="1"/>
    </row>
    <row r="10">
      <c r="A10" s="49" t="s">
        <v>131</v>
      </c>
      <c r="B10" s="49" t="s">
        <v>89</v>
      </c>
      <c r="C10" s="49" t="s">
        <v>132</v>
      </c>
      <c r="D10" s="49" t="s">
        <v>111</v>
      </c>
      <c r="E10" s="49" t="s">
        <v>133</v>
      </c>
      <c r="F10" s="49" t="s">
        <v>134</v>
      </c>
      <c r="G10" s="49" t="s">
        <v>135</v>
      </c>
      <c r="H10" s="49" t="s">
        <v>136</v>
      </c>
      <c r="I10" s="49" t="s">
        <v>137</v>
      </c>
      <c r="J10" s="49" t="s">
        <v>138</v>
      </c>
      <c r="K10" s="49" t="s">
        <v>28</v>
      </c>
      <c r="L10" s="49" t="s">
        <v>139</v>
      </c>
      <c r="M10" s="49" t="s">
        <v>140</v>
      </c>
      <c r="N10" s="49" t="s">
        <v>141</v>
      </c>
      <c r="O10" s="50"/>
      <c r="P10" s="50" t="s">
        <v>142</v>
      </c>
      <c r="Q10" s="51" t="s">
        <v>143</v>
      </c>
      <c r="R10" s="1" t="s">
        <v>144</v>
      </c>
      <c r="S10" s="1" t="s">
        <v>37</v>
      </c>
      <c r="V10" s="1"/>
    </row>
    <row r="11">
      <c r="A11" s="1" t="s">
        <v>146</v>
      </c>
      <c r="B11" s="52">
        <v>8.530123755E9</v>
      </c>
      <c r="C11" s="53">
        <v>1.405292217E7</v>
      </c>
      <c r="D11" s="53">
        <v>1581996.0</v>
      </c>
      <c r="E11" s="52">
        <v>136486.0</v>
      </c>
      <c r="F11" s="52">
        <v>1.2169504E7</v>
      </c>
      <c r="G11" s="52">
        <v>5392.0</v>
      </c>
      <c r="H11" s="52">
        <v>5392.0</v>
      </c>
      <c r="I11" s="1">
        <v>100.0</v>
      </c>
      <c r="J11" s="1">
        <v>1.1</v>
      </c>
      <c r="K11" s="26">
        <v>0.98</v>
      </c>
      <c r="L11" s="1" t="s">
        <v>618</v>
      </c>
      <c r="M11" s="1" t="s">
        <v>146</v>
      </c>
      <c r="N11" s="1">
        <v>100.0</v>
      </c>
      <c r="O11" s="11"/>
      <c r="P11" s="11" t="str">
        <f t="shared" ref="P11:P46" si="2">if($N11&lt;4,$C11*(($J$2+C$2+1%)/($J$2+C$2)-1),"")</f>
        <v/>
      </c>
      <c r="Q11" s="11" t="str">
        <f>if($N11=2,$C11*((1.5+D$2+1%)/(1.5+D$2)-1),"")</f>
        <v/>
      </c>
      <c r="R11" s="11" t="str">
        <f t="shared" ref="R11:R46" si="3">if($N11=1,$C11*((1+E$2+1%)/(1+E$2)-1),"")</f>
        <v/>
      </c>
      <c r="S11" s="55" t="str">
        <f>if($N11&lt;3,C11*((floor((log($B$2+500,2)*0.28-1.2)*100,0.001)/100)/(floor((log($B$2,2)*0.28-1.2)*100,0.001)/100)-1),"")</f>
        <v/>
      </c>
      <c r="V11" s="1"/>
      <c r="X11" s="56"/>
    </row>
    <row r="12">
      <c r="A12" s="1" t="s">
        <v>170</v>
      </c>
      <c r="B12" s="52">
        <v>2.668556189E9</v>
      </c>
      <c r="C12" s="53">
        <v>4396303.44</v>
      </c>
      <c r="D12" s="53">
        <v>2324527.0</v>
      </c>
      <c r="E12" s="52">
        <v>685830.0</v>
      </c>
      <c r="F12" s="52">
        <v>9988222.0</v>
      </c>
      <c r="G12" s="52">
        <v>1148.0</v>
      </c>
      <c r="H12" s="52">
        <v>1148.0</v>
      </c>
      <c r="I12" s="1">
        <v>100.0</v>
      </c>
      <c r="J12" s="1">
        <v>2.75</v>
      </c>
      <c r="K12" s="26">
        <v>1.0</v>
      </c>
      <c r="L12" s="1" t="s">
        <v>619</v>
      </c>
      <c r="M12" s="1" t="s">
        <v>172</v>
      </c>
      <c r="N12" s="1">
        <v>1.0</v>
      </c>
      <c r="O12" s="11"/>
      <c r="P12" s="11">
        <f t="shared" si="2"/>
        <v>2645.851556</v>
      </c>
      <c r="Q12" s="11" t="str">
        <f t="shared" ref="Q12:Q46" si="4">if(OR($N12=2,$N12=5),$C12*((1.5+D$2+1%)/(1.5+D$2)-1),"")</f>
        <v/>
      </c>
      <c r="R12" s="11">
        <f t="shared" si="3"/>
        <v>10014.22085</v>
      </c>
      <c r="S12" s="55">
        <f t="shared" ref="S12:S46" si="5">if(OR($N12&lt;3,$N12=5),C12*((floor((log($B$2+500,2)*0.28-1.2)*100,0.001)/100)/(floor((log($B$2,2)*0.28-1.2)*100,0.001)/100)-1),"")</f>
        <v>14629.70257</v>
      </c>
      <c r="T12">
        <f t="shared" ref="T12:T13" si="6">(R12*100*18/120+C12)*(784/807)</f>
        <v>4416938.208</v>
      </c>
      <c r="U12" s="62">
        <f t="shared" ref="U12:U13" si="7">T12-C12</f>
        <v>20634.76831</v>
      </c>
      <c r="V12" s="1"/>
    </row>
    <row r="13">
      <c r="A13" s="1" t="s">
        <v>150</v>
      </c>
      <c r="B13" s="52">
        <v>2.64739842E9</v>
      </c>
      <c r="C13" s="53">
        <v>4361447.15</v>
      </c>
      <c r="D13" s="53">
        <v>2365861.0</v>
      </c>
      <c r="E13" s="52">
        <v>898014.0</v>
      </c>
      <c r="F13" s="52">
        <v>9365242.0</v>
      </c>
      <c r="G13" s="52">
        <v>1119.0</v>
      </c>
      <c r="H13" s="52">
        <v>1119.0</v>
      </c>
      <c r="I13" s="1">
        <v>100.0</v>
      </c>
      <c r="J13" s="1">
        <v>2.68</v>
      </c>
      <c r="K13" s="26">
        <v>1.0</v>
      </c>
      <c r="L13" s="1" t="s">
        <v>620</v>
      </c>
      <c r="M13" s="1" t="s">
        <v>150</v>
      </c>
      <c r="N13" s="1">
        <v>1.0</v>
      </c>
      <c r="O13" s="11"/>
      <c r="P13" s="11">
        <f t="shared" si="2"/>
        <v>2624.873803</v>
      </c>
      <c r="Q13" s="11" t="str">
        <f t="shared" si="4"/>
        <v/>
      </c>
      <c r="R13" s="11">
        <f t="shared" si="3"/>
        <v>9934.822645</v>
      </c>
      <c r="S13" s="55">
        <f t="shared" si="5"/>
        <v>14513.71031</v>
      </c>
      <c r="T13">
        <f t="shared" si="6"/>
        <v>4381918.315</v>
      </c>
      <c r="U13" s="62">
        <f t="shared" si="7"/>
        <v>20471.16462</v>
      </c>
      <c r="V13" s="1"/>
    </row>
    <row r="14">
      <c r="A14" s="1" t="s">
        <v>157</v>
      </c>
      <c r="B14" s="52">
        <v>7.56344314E8</v>
      </c>
      <c r="C14" s="53">
        <v>1246036.76</v>
      </c>
      <c r="D14" s="53">
        <v>1853785.0</v>
      </c>
      <c r="E14" s="52">
        <v>1165482.0</v>
      </c>
      <c r="F14" s="52">
        <v>5984150.0</v>
      </c>
      <c r="G14" s="52">
        <v>408.0</v>
      </c>
      <c r="H14" s="52">
        <v>408.0</v>
      </c>
      <c r="I14" s="1">
        <v>100.0</v>
      </c>
      <c r="J14" s="1">
        <v>17.58</v>
      </c>
      <c r="K14" s="26">
        <v>1.0</v>
      </c>
      <c r="L14" s="1" t="s">
        <v>621</v>
      </c>
      <c r="M14" s="1" t="s">
        <v>156</v>
      </c>
      <c r="N14" s="1">
        <v>2.0</v>
      </c>
      <c r="O14" s="11"/>
      <c r="P14" s="11">
        <f t="shared" si="2"/>
        <v>749.9091783</v>
      </c>
      <c r="Q14" s="11">
        <f t="shared" si="4"/>
        <v>847.3761423</v>
      </c>
      <c r="R14" s="11" t="str">
        <f t="shared" si="3"/>
        <v/>
      </c>
      <c r="S14" s="55">
        <f t="shared" si="5"/>
        <v>4146.471562</v>
      </c>
      <c r="V14" s="1"/>
    </row>
    <row r="15">
      <c r="A15" s="1" t="s">
        <v>174</v>
      </c>
      <c r="B15" s="52">
        <v>2.41105158E8</v>
      </c>
      <c r="C15" s="53">
        <v>397207.84</v>
      </c>
      <c r="D15" s="53">
        <v>1170413.0</v>
      </c>
      <c r="E15" s="52">
        <v>432129.0</v>
      </c>
      <c r="F15" s="52">
        <v>5856064.0</v>
      </c>
      <c r="G15" s="52">
        <v>206.0</v>
      </c>
      <c r="H15" s="52">
        <v>206.0</v>
      </c>
      <c r="I15" s="1">
        <v>100.0</v>
      </c>
      <c r="J15" s="1">
        <v>3.07</v>
      </c>
      <c r="K15" s="26">
        <v>1.0</v>
      </c>
      <c r="L15" s="1" t="s">
        <v>622</v>
      </c>
      <c r="M15" s="1" t="s">
        <v>150</v>
      </c>
      <c r="N15" s="1">
        <v>3.0</v>
      </c>
      <c r="O15" s="11"/>
      <c r="P15" s="11">
        <f t="shared" si="2"/>
        <v>239.053786</v>
      </c>
      <c r="Q15" s="11" t="str">
        <f t="shared" si="4"/>
        <v/>
      </c>
      <c r="R15" s="11" t="str">
        <f t="shared" si="3"/>
        <v/>
      </c>
      <c r="S15" s="55" t="str">
        <f t="shared" si="5"/>
        <v/>
      </c>
    </row>
    <row r="16">
      <c r="A16" s="1" t="s">
        <v>228</v>
      </c>
      <c r="B16" s="52">
        <v>2.11259567E8</v>
      </c>
      <c r="C16" s="53">
        <v>348038.83</v>
      </c>
      <c r="D16" s="53">
        <v>4694657.0</v>
      </c>
      <c r="E16" s="52">
        <v>2895533.0</v>
      </c>
      <c r="F16" s="52">
        <v>7163908.0</v>
      </c>
      <c r="G16" s="1">
        <v>45.0</v>
      </c>
      <c r="H16" s="1">
        <v>45.0</v>
      </c>
      <c r="I16" s="1">
        <v>100.0</v>
      </c>
      <c r="J16" s="1">
        <v>12.92</v>
      </c>
      <c r="K16" s="26">
        <v>0.0</v>
      </c>
      <c r="L16" s="1" t="s">
        <v>149</v>
      </c>
      <c r="M16" s="1" t="s">
        <v>193</v>
      </c>
      <c r="N16" s="1">
        <v>4.0</v>
      </c>
      <c r="O16" s="11"/>
      <c r="P16" s="11" t="str">
        <f t="shared" si="2"/>
        <v/>
      </c>
      <c r="Q16" s="11" t="str">
        <f t="shared" si="4"/>
        <v/>
      </c>
      <c r="R16" s="11" t="str">
        <f t="shared" si="3"/>
        <v/>
      </c>
      <c r="S16" s="55" t="str">
        <f t="shared" si="5"/>
        <v/>
      </c>
    </row>
    <row r="17">
      <c r="A17" s="1" t="s">
        <v>180</v>
      </c>
      <c r="B17" s="52">
        <v>1.79622818E8</v>
      </c>
      <c r="C17" s="53">
        <v>295918.98</v>
      </c>
      <c r="D17" s="53">
        <v>835454.9</v>
      </c>
      <c r="E17" s="52">
        <v>493465.0</v>
      </c>
      <c r="F17" s="52">
        <v>1875822.0</v>
      </c>
      <c r="G17" s="1">
        <v>215.0</v>
      </c>
      <c r="H17" s="1">
        <v>215.0</v>
      </c>
      <c r="I17" s="1">
        <v>100.0</v>
      </c>
      <c r="J17" s="1">
        <v>3.54</v>
      </c>
      <c r="K17" s="26">
        <v>1.0</v>
      </c>
      <c r="L17" s="1" t="s">
        <v>623</v>
      </c>
      <c r="M17" s="1" t="s">
        <v>182</v>
      </c>
      <c r="N17" s="1">
        <v>3.0</v>
      </c>
      <c r="O17" s="11"/>
      <c r="P17" s="11">
        <f t="shared" si="2"/>
        <v>178.0945525</v>
      </c>
      <c r="Q17" s="11" t="str">
        <f t="shared" si="4"/>
        <v/>
      </c>
      <c r="R17" s="11" t="str">
        <f t="shared" si="3"/>
        <v/>
      </c>
      <c r="S17" s="55" t="str">
        <f t="shared" si="5"/>
        <v/>
      </c>
    </row>
    <row r="18">
      <c r="A18" s="1" t="s">
        <v>176</v>
      </c>
      <c r="B18" s="52">
        <v>1.59676848E8</v>
      </c>
      <c r="C18" s="53">
        <v>263059.06</v>
      </c>
      <c r="D18" s="53">
        <v>997980.3</v>
      </c>
      <c r="E18" s="52">
        <v>412123.0</v>
      </c>
      <c r="F18" s="52">
        <v>2938184.0</v>
      </c>
      <c r="G18" s="1">
        <v>160.0</v>
      </c>
      <c r="H18" s="1">
        <v>160.0</v>
      </c>
      <c r="I18" s="1">
        <v>100.0</v>
      </c>
      <c r="J18" s="1">
        <v>3.86</v>
      </c>
      <c r="K18" s="26">
        <v>1.0</v>
      </c>
      <c r="L18" s="1" t="s">
        <v>624</v>
      </c>
      <c r="M18" s="1" t="s">
        <v>156</v>
      </c>
      <c r="N18" s="1">
        <v>3.0</v>
      </c>
      <c r="O18" s="11"/>
      <c r="P18" s="11">
        <f t="shared" si="2"/>
        <v>158.3182855</v>
      </c>
      <c r="Q18" s="11" t="str">
        <f t="shared" si="4"/>
        <v/>
      </c>
      <c r="R18" s="11" t="str">
        <f t="shared" si="3"/>
        <v/>
      </c>
      <c r="S18" s="55" t="str">
        <f t="shared" si="5"/>
        <v/>
      </c>
      <c r="V18" s="1"/>
      <c r="W18" s="1"/>
      <c r="X18" s="1"/>
    </row>
    <row r="19">
      <c r="A19" s="1" t="s">
        <v>178</v>
      </c>
      <c r="B19" s="52">
        <v>1.59291322E8</v>
      </c>
      <c r="C19" s="53">
        <v>262423.92</v>
      </c>
      <c r="D19" s="53">
        <v>525713.9</v>
      </c>
      <c r="E19" s="52">
        <v>148925.0</v>
      </c>
      <c r="F19" s="52">
        <v>5786340.0</v>
      </c>
      <c r="G19" s="1">
        <v>303.0</v>
      </c>
      <c r="H19" s="1">
        <v>303.0</v>
      </c>
      <c r="I19" s="1">
        <v>100.0</v>
      </c>
      <c r="J19" s="1">
        <v>2.18</v>
      </c>
      <c r="K19" s="26">
        <v>1.0</v>
      </c>
      <c r="L19" s="1" t="s">
        <v>625</v>
      </c>
      <c r="M19" s="1" t="s">
        <v>150</v>
      </c>
      <c r="N19" s="1">
        <v>2.0</v>
      </c>
      <c r="O19" s="11"/>
      <c r="P19" s="11">
        <f t="shared" si="2"/>
        <v>157.9360357</v>
      </c>
      <c r="Q19" s="11">
        <f t="shared" si="4"/>
        <v>178.4632493</v>
      </c>
      <c r="R19" s="11" t="str">
        <f t="shared" si="3"/>
        <v/>
      </c>
      <c r="S19" s="55">
        <f t="shared" si="5"/>
        <v>873.2754573</v>
      </c>
      <c r="V19" s="1"/>
      <c r="W19" s="58"/>
      <c r="X19" s="58"/>
    </row>
    <row r="20">
      <c r="A20" s="1" t="s">
        <v>183</v>
      </c>
      <c r="B20" s="52">
        <v>1.53317061E8</v>
      </c>
      <c r="C20" s="53">
        <v>252581.65</v>
      </c>
      <c r="D20" s="53">
        <v>2892775.0</v>
      </c>
      <c r="E20" s="52">
        <v>1979989.0</v>
      </c>
      <c r="F20" s="52">
        <v>9555759.0</v>
      </c>
      <c r="G20" s="1">
        <v>53.0</v>
      </c>
      <c r="H20" s="1">
        <v>53.0</v>
      </c>
      <c r="I20" s="1">
        <v>100.0</v>
      </c>
      <c r="J20" s="1">
        <v>15.39</v>
      </c>
      <c r="K20" s="26">
        <v>1.0</v>
      </c>
      <c r="L20" s="1" t="s">
        <v>626</v>
      </c>
      <c r="M20" s="1" t="s">
        <v>156</v>
      </c>
      <c r="N20" s="1">
        <v>2.0</v>
      </c>
      <c r="O20" s="11"/>
      <c r="P20" s="11">
        <f t="shared" si="2"/>
        <v>152.0126081</v>
      </c>
      <c r="Q20" s="11">
        <f t="shared" si="4"/>
        <v>171.7699438</v>
      </c>
      <c r="R20" s="11" t="str">
        <f t="shared" si="3"/>
        <v/>
      </c>
      <c r="S20" s="55">
        <f t="shared" si="5"/>
        <v>840.5230587</v>
      </c>
      <c r="V20" s="1"/>
      <c r="W20" s="58"/>
      <c r="X20" s="58"/>
    </row>
    <row r="21">
      <c r="A21" s="1" t="s">
        <v>204</v>
      </c>
      <c r="B21" s="52">
        <v>1.23189929E8</v>
      </c>
      <c r="C21" s="53">
        <v>202948.81</v>
      </c>
      <c r="D21" s="53">
        <v>2239817.0</v>
      </c>
      <c r="E21" s="52">
        <v>1413888.0</v>
      </c>
      <c r="F21" s="52">
        <v>4621753.0</v>
      </c>
      <c r="G21" s="1">
        <v>55.0</v>
      </c>
      <c r="H21" s="1">
        <v>55.0</v>
      </c>
      <c r="I21" s="1">
        <v>100.0</v>
      </c>
      <c r="J21" s="1">
        <v>11.84</v>
      </c>
      <c r="K21" s="26">
        <v>1.0</v>
      </c>
      <c r="L21" s="1" t="s">
        <v>627</v>
      </c>
      <c r="M21" s="1" t="s">
        <v>187</v>
      </c>
      <c r="N21" s="1">
        <v>2.0</v>
      </c>
      <c r="O21" s="11"/>
      <c r="P21" s="11">
        <f t="shared" si="2"/>
        <v>122.1418021</v>
      </c>
      <c r="Q21" s="11">
        <f t="shared" si="4"/>
        <v>138.0167787</v>
      </c>
      <c r="R21" s="11" t="str">
        <f t="shared" si="3"/>
        <v/>
      </c>
      <c r="S21" s="55">
        <f t="shared" si="5"/>
        <v>675.3584615</v>
      </c>
      <c r="V21" s="1"/>
      <c r="W21" s="58"/>
      <c r="X21" s="58"/>
    </row>
    <row r="22">
      <c r="A22" s="1" t="s">
        <v>198</v>
      </c>
      <c r="B22" s="52">
        <v>1.06052554E8</v>
      </c>
      <c r="C22" s="53">
        <v>174715.9</v>
      </c>
      <c r="D22" s="53">
        <v>389899.1</v>
      </c>
      <c r="E22" s="52">
        <v>175408.0</v>
      </c>
      <c r="F22" s="52">
        <v>1697255.0</v>
      </c>
      <c r="G22" s="1">
        <v>272.0</v>
      </c>
      <c r="H22" s="1">
        <v>272.0</v>
      </c>
      <c r="I22" s="1">
        <v>100.0</v>
      </c>
      <c r="J22" s="1">
        <v>4.63</v>
      </c>
      <c r="K22" s="26">
        <v>1.0</v>
      </c>
      <c r="L22" s="1" t="s">
        <v>628</v>
      </c>
      <c r="M22" s="1" t="s">
        <v>187</v>
      </c>
      <c r="N22" s="1">
        <v>2.0</v>
      </c>
      <c r="O22" s="11"/>
      <c r="P22" s="11">
        <f t="shared" si="2"/>
        <v>105.1502341</v>
      </c>
      <c r="Q22" s="11">
        <f t="shared" si="4"/>
        <v>118.8167878</v>
      </c>
      <c r="R22" s="11" t="str">
        <f t="shared" si="3"/>
        <v/>
      </c>
      <c r="S22" s="55">
        <f t="shared" si="5"/>
        <v>581.407013</v>
      </c>
      <c r="V22" s="1"/>
      <c r="W22" s="58"/>
      <c r="X22" s="58"/>
    </row>
    <row r="23">
      <c r="A23" s="1" t="s">
        <v>191</v>
      </c>
      <c r="B23" s="52">
        <v>9.4895904E7</v>
      </c>
      <c r="C23" s="53">
        <v>156335.92</v>
      </c>
      <c r="D23" s="53">
        <v>3514663.0</v>
      </c>
      <c r="E23" s="52">
        <v>1906159.0</v>
      </c>
      <c r="F23" s="52">
        <v>1.2169504E7</v>
      </c>
      <c r="G23" s="1">
        <v>27.0</v>
      </c>
      <c r="H23" s="1">
        <v>27.0</v>
      </c>
      <c r="I23" s="1">
        <v>100.0</v>
      </c>
      <c r="J23" s="1">
        <v>24.29</v>
      </c>
      <c r="K23" s="26">
        <v>1.0</v>
      </c>
      <c r="L23" s="1" t="s">
        <v>629</v>
      </c>
      <c r="M23" s="1" t="s">
        <v>193</v>
      </c>
      <c r="N23" s="1">
        <v>2.0</v>
      </c>
      <c r="O23" s="11"/>
      <c r="P23" s="11">
        <f t="shared" si="2"/>
        <v>94.08850932</v>
      </c>
      <c r="Q23" s="11">
        <f t="shared" si="4"/>
        <v>106.317352</v>
      </c>
      <c r="R23" s="11" t="str">
        <f t="shared" si="3"/>
        <v/>
      </c>
      <c r="S23" s="55">
        <f t="shared" si="5"/>
        <v>520.2434368</v>
      </c>
      <c r="V23" s="1"/>
      <c r="W23" s="58"/>
      <c r="X23" s="58"/>
    </row>
    <row r="24">
      <c r="A24" s="1" t="s">
        <v>188</v>
      </c>
      <c r="B24" s="52">
        <v>9.359483E7</v>
      </c>
      <c r="C24" s="53">
        <v>154192.47</v>
      </c>
      <c r="D24" s="53">
        <v>1337069.0</v>
      </c>
      <c r="E24" s="52">
        <v>922275.0</v>
      </c>
      <c r="F24" s="52">
        <v>2826890.0</v>
      </c>
      <c r="G24" s="1">
        <v>70.0</v>
      </c>
      <c r="H24" s="1">
        <v>70.0</v>
      </c>
      <c r="I24" s="1">
        <v>100.0</v>
      </c>
      <c r="J24" s="1">
        <v>9.31</v>
      </c>
      <c r="K24" s="26">
        <v>1.0</v>
      </c>
      <c r="L24" s="1" t="s">
        <v>630</v>
      </c>
      <c r="M24" s="1" t="s">
        <v>190</v>
      </c>
      <c r="N24" s="1">
        <v>3.0</v>
      </c>
      <c r="O24" s="11"/>
      <c r="P24" s="11">
        <f t="shared" si="2"/>
        <v>92.79850498</v>
      </c>
      <c r="Q24" s="11" t="str">
        <f t="shared" si="4"/>
        <v/>
      </c>
      <c r="R24" s="11" t="str">
        <f t="shared" si="3"/>
        <v/>
      </c>
      <c r="S24" s="55" t="str">
        <f t="shared" si="5"/>
        <v/>
      </c>
    </row>
    <row r="25">
      <c r="A25" s="1" t="s">
        <v>196</v>
      </c>
      <c r="B25" s="52">
        <v>9.3014599E7</v>
      </c>
      <c r="C25" s="53">
        <v>153236.57</v>
      </c>
      <c r="D25" s="53">
        <v>837969.4</v>
      </c>
      <c r="E25" s="52">
        <v>518905.0</v>
      </c>
      <c r="F25" s="52">
        <v>2259438.0</v>
      </c>
      <c r="G25" s="1">
        <v>111.0</v>
      </c>
      <c r="H25" s="1">
        <v>111.0</v>
      </c>
      <c r="I25" s="1">
        <v>100.0</v>
      </c>
      <c r="J25" s="1">
        <v>5.58</v>
      </c>
      <c r="K25" s="26">
        <v>1.0</v>
      </c>
      <c r="L25" s="1" t="s">
        <v>631</v>
      </c>
      <c r="M25" s="1" t="s">
        <v>182</v>
      </c>
      <c r="N25" s="1">
        <v>3.0</v>
      </c>
      <c r="O25" s="11"/>
      <c r="P25" s="11">
        <f t="shared" si="2"/>
        <v>92.22321041</v>
      </c>
      <c r="Q25" s="11" t="str">
        <f t="shared" si="4"/>
        <v/>
      </c>
      <c r="R25" s="11" t="str">
        <f t="shared" si="3"/>
        <v/>
      </c>
      <c r="S25" s="55" t="str">
        <f t="shared" si="5"/>
        <v/>
      </c>
    </row>
    <row r="26">
      <c r="A26" s="1" t="s">
        <v>211</v>
      </c>
      <c r="B26" s="52">
        <v>8.6021584E7</v>
      </c>
      <c r="C26" s="53">
        <v>141715.95</v>
      </c>
      <c r="D26" s="53">
        <v>2150540.0</v>
      </c>
      <c r="E26" s="52">
        <v>1330995.0</v>
      </c>
      <c r="F26" s="52">
        <v>3054646.0</v>
      </c>
      <c r="G26" s="1">
        <v>40.0</v>
      </c>
      <c r="H26" s="1">
        <v>40.0</v>
      </c>
      <c r="I26" s="1">
        <v>100.0</v>
      </c>
      <c r="J26" s="1">
        <v>23.29</v>
      </c>
      <c r="K26" s="26">
        <v>1.0</v>
      </c>
      <c r="L26" s="1" t="s">
        <v>632</v>
      </c>
      <c r="M26" s="1" t="s">
        <v>187</v>
      </c>
      <c r="N26" s="1">
        <v>2.0</v>
      </c>
      <c r="O26" s="11"/>
      <c r="P26" s="11">
        <f t="shared" si="2"/>
        <v>85.28969211</v>
      </c>
      <c r="Q26" s="11">
        <f t="shared" si="4"/>
        <v>96.37493761</v>
      </c>
      <c r="R26" s="11" t="str">
        <f t="shared" si="3"/>
        <v/>
      </c>
      <c r="S26" s="55">
        <f t="shared" si="5"/>
        <v>471.5921515</v>
      </c>
    </row>
    <row r="27">
      <c r="A27" s="1" t="s">
        <v>200</v>
      </c>
      <c r="B27" s="52">
        <v>8.4205472E7</v>
      </c>
      <c r="C27" s="53">
        <v>138724.01</v>
      </c>
      <c r="D27" s="53">
        <v>1791606.0</v>
      </c>
      <c r="E27" s="52">
        <v>1113650.0</v>
      </c>
      <c r="F27" s="52">
        <v>6555569.0</v>
      </c>
      <c r="G27" s="1">
        <v>47.0</v>
      </c>
      <c r="H27" s="1">
        <v>47.0</v>
      </c>
      <c r="I27" s="1">
        <v>100.0</v>
      </c>
      <c r="J27" s="1">
        <v>12.59</v>
      </c>
      <c r="K27" s="26">
        <v>1.0</v>
      </c>
      <c r="L27" s="1" t="s">
        <v>633</v>
      </c>
      <c r="M27" s="1" t="s">
        <v>150</v>
      </c>
      <c r="N27" s="1">
        <v>2.0</v>
      </c>
      <c r="O27" s="11"/>
      <c r="P27" s="11">
        <f t="shared" si="2"/>
        <v>83.48903635</v>
      </c>
      <c r="Q27" s="11">
        <f t="shared" si="4"/>
        <v>94.34024758</v>
      </c>
      <c r="R27" s="11" t="str">
        <f t="shared" si="3"/>
        <v/>
      </c>
      <c r="S27" s="55">
        <f t="shared" si="5"/>
        <v>461.6357887</v>
      </c>
    </row>
    <row r="28">
      <c r="A28" s="1" t="s">
        <v>185</v>
      </c>
      <c r="B28" s="52">
        <v>7.697198E7</v>
      </c>
      <c r="C28" s="53">
        <v>126807.22</v>
      </c>
      <c r="D28" s="53">
        <v>712703.6</v>
      </c>
      <c r="E28" s="52">
        <v>381015.0</v>
      </c>
      <c r="F28" s="52">
        <v>2202457.0</v>
      </c>
      <c r="G28" s="1">
        <v>108.0</v>
      </c>
      <c r="H28" s="1">
        <v>108.0</v>
      </c>
      <c r="I28" s="1">
        <v>100.0</v>
      </c>
      <c r="J28" s="1">
        <v>5.72</v>
      </c>
      <c r="K28" s="26">
        <v>1.0</v>
      </c>
      <c r="L28" s="1" t="s">
        <v>634</v>
      </c>
      <c r="M28" s="1" t="s">
        <v>187</v>
      </c>
      <c r="N28" s="1">
        <v>2.0</v>
      </c>
      <c r="O28" s="11"/>
      <c r="P28" s="11">
        <f t="shared" si="2"/>
        <v>76.31708888</v>
      </c>
      <c r="Q28" s="11">
        <f t="shared" si="4"/>
        <v>86.23614996</v>
      </c>
      <c r="R28" s="11" t="str">
        <f t="shared" si="3"/>
        <v/>
      </c>
      <c r="S28" s="55">
        <f t="shared" si="5"/>
        <v>421.9799515</v>
      </c>
    </row>
    <row r="29">
      <c r="A29" s="1" t="s">
        <v>194</v>
      </c>
      <c r="B29" s="52">
        <v>7.6396131E7</v>
      </c>
      <c r="C29" s="53">
        <v>125858.54</v>
      </c>
      <c r="D29" s="53">
        <v>658587.3</v>
      </c>
      <c r="E29" s="52">
        <v>254986.0</v>
      </c>
      <c r="F29" s="52">
        <v>2214410.0</v>
      </c>
      <c r="G29" s="1">
        <v>116.0</v>
      </c>
      <c r="H29" s="1">
        <v>116.0</v>
      </c>
      <c r="I29" s="1">
        <v>100.0</v>
      </c>
      <c r="J29" s="1">
        <v>13.51</v>
      </c>
      <c r="K29" s="26">
        <v>1.0</v>
      </c>
      <c r="L29" s="1" t="s">
        <v>635</v>
      </c>
      <c r="M29" s="1" t="s">
        <v>187</v>
      </c>
      <c r="N29" s="1">
        <v>2.0</v>
      </c>
      <c r="O29" s="11"/>
      <c r="P29" s="11">
        <f t="shared" si="2"/>
        <v>75.74613956</v>
      </c>
      <c r="Q29" s="11">
        <f t="shared" si="4"/>
        <v>85.5909934</v>
      </c>
      <c r="R29" s="11" t="str">
        <f t="shared" si="3"/>
        <v/>
      </c>
      <c r="S29" s="55">
        <f t="shared" si="5"/>
        <v>418.8230024</v>
      </c>
    </row>
    <row r="30">
      <c r="A30" s="1" t="s">
        <v>235</v>
      </c>
      <c r="B30" s="52">
        <v>6.875602E7</v>
      </c>
      <c r="C30" s="53">
        <v>113271.86</v>
      </c>
      <c r="D30" s="53">
        <v>674078.6</v>
      </c>
      <c r="E30" s="52">
        <v>402662.0</v>
      </c>
      <c r="F30" s="52">
        <v>1660599.0</v>
      </c>
      <c r="G30" s="1">
        <v>102.0</v>
      </c>
      <c r="H30" s="1">
        <v>102.0</v>
      </c>
      <c r="I30" s="1">
        <v>100.0</v>
      </c>
      <c r="J30" s="1">
        <v>6.07</v>
      </c>
      <c r="K30" s="26">
        <v>1.0</v>
      </c>
      <c r="L30" s="1" t="s">
        <v>636</v>
      </c>
      <c r="M30" s="1" t="s">
        <v>187</v>
      </c>
      <c r="N30" s="1">
        <v>3.0</v>
      </c>
      <c r="O30" s="11"/>
      <c r="P30" s="11">
        <f t="shared" si="2"/>
        <v>68.17102849</v>
      </c>
      <c r="Q30" s="11" t="str">
        <f t="shared" si="4"/>
        <v/>
      </c>
      <c r="R30" s="11" t="str">
        <f t="shared" si="3"/>
        <v/>
      </c>
      <c r="S30" s="55" t="str">
        <f t="shared" si="5"/>
        <v/>
      </c>
    </row>
    <row r="31">
      <c r="A31" s="1" t="s">
        <v>231</v>
      </c>
      <c r="B31" s="52">
        <v>6.5498283E7</v>
      </c>
      <c r="C31" s="53">
        <v>107904.91</v>
      </c>
      <c r="D31" s="53">
        <v>297719.5</v>
      </c>
      <c r="E31" s="52">
        <v>136486.0</v>
      </c>
      <c r="F31" s="52">
        <v>991804.0</v>
      </c>
      <c r="G31" s="1">
        <v>220.0</v>
      </c>
      <c r="H31" s="1">
        <v>220.0</v>
      </c>
      <c r="I31" s="1">
        <v>100.0</v>
      </c>
      <c r="J31" s="1">
        <v>3.25</v>
      </c>
      <c r="K31" s="26">
        <v>1.0</v>
      </c>
      <c r="L31" s="1" t="s">
        <v>637</v>
      </c>
      <c r="M31" s="1" t="s">
        <v>187</v>
      </c>
      <c r="N31" s="1">
        <v>3.0</v>
      </c>
      <c r="O31" s="11"/>
      <c r="P31" s="11">
        <f t="shared" si="2"/>
        <v>64.94100736</v>
      </c>
      <c r="Q31" s="11" t="str">
        <f t="shared" si="4"/>
        <v/>
      </c>
      <c r="R31" s="11" t="str">
        <f t="shared" si="3"/>
        <v/>
      </c>
      <c r="S31" s="55" t="str">
        <f t="shared" si="5"/>
        <v/>
      </c>
    </row>
    <row r="32">
      <c r="A32" s="1" t="s">
        <v>229</v>
      </c>
      <c r="B32" s="52">
        <v>5.33949E7</v>
      </c>
      <c r="C32" s="53">
        <v>87965.24</v>
      </c>
      <c r="D32" s="53">
        <v>970816.4</v>
      </c>
      <c r="E32" s="52">
        <v>680507.0</v>
      </c>
      <c r="F32" s="52">
        <v>1503137.0</v>
      </c>
      <c r="G32" s="1">
        <v>55.0</v>
      </c>
      <c r="H32" s="1">
        <v>55.0</v>
      </c>
      <c r="I32" s="1">
        <v>100.0</v>
      </c>
      <c r="J32" s="1">
        <v>11.04</v>
      </c>
      <c r="K32" s="26">
        <v>1.0</v>
      </c>
      <c r="L32" s="1" t="s">
        <v>638</v>
      </c>
      <c r="M32" s="1" t="s">
        <v>187</v>
      </c>
      <c r="N32" s="1">
        <v>3.0</v>
      </c>
      <c r="O32" s="11"/>
      <c r="P32" s="11">
        <f t="shared" si="2"/>
        <v>52.94060574</v>
      </c>
      <c r="Q32" s="11" t="str">
        <f t="shared" si="4"/>
        <v/>
      </c>
      <c r="R32" s="11" t="str">
        <f t="shared" si="3"/>
        <v/>
      </c>
      <c r="S32" s="55" t="str">
        <f t="shared" si="5"/>
        <v/>
      </c>
    </row>
    <row r="33">
      <c r="A33" s="1" t="s">
        <v>202</v>
      </c>
      <c r="B33" s="52">
        <v>5.2796415E7</v>
      </c>
      <c r="C33" s="53">
        <v>86979.27</v>
      </c>
      <c r="D33" s="53">
        <v>377117.3</v>
      </c>
      <c r="E33" s="52">
        <v>215369.0</v>
      </c>
      <c r="F33" s="52">
        <v>800709.0</v>
      </c>
      <c r="G33" s="1">
        <v>140.0</v>
      </c>
      <c r="H33" s="1">
        <v>140.0</v>
      </c>
      <c r="I33" s="1">
        <v>100.0</v>
      </c>
      <c r="J33" s="1">
        <v>4.4</v>
      </c>
      <c r="K33" s="26">
        <v>1.0</v>
      </c>
      <c r="L33" s="1" t="s">
        <v>639</v>
      </c>
      <c r="M33" s="1" t="s">
        <v>190</v>
      </c>
      <c r="N33" s="1">
        <v>3.0</v>
      </c>
      <c r="O33" s="11"/>
      <c r="P33" s="11">
        <f t="shared" si="2"/>
        <v>52.34721398</v>
      </c>
      <c r="Q33" s="11" t="str">
        <f t="shared" si="4"/>
        <v/>
      </c>
      <c r="R33" s="11" t="str">
        <f t="shared" si="3"/>
        <v/>
      </c>
      <c r="S33" s="55" t="str">
        <f t="shared" si="5"/>
        <v/>
      </c>
    </row>
    <row r="34">
      <c r="A34" s="1" t="s">
        <v>206</v>
      </c>
      <c r="B34" s="52">
        <v>4.2116613E7</v>
      </c>
      <c r="C34" s="53">
        <v>69384.86</v>
      </c>
      <c r="D34" s="53">
        <v>628606.1</v>
      </c>
      <c r="E34" s="52">
        <v>362402.0</v>
      </c>
      <c r="F34" s="52">
        <v>1434160.0</v>
      </c>
      <c r="G34" s="1">
        <v>67.0</v>
      </c>
      <c r="H34" s="1">
        <v>67.0</v>
      </c>
      <c r="I34" s="1">
        <v>100.0</v>
      </c>
      <c r="J34" s="1">
        <v>9.44</v>
      </c>
      <c r="K34" s="26">
        <v>1.0</v>
      </c>
      <c r="L34" s="1" t="s">
        <v>640</v>
      </c>
      <c r="M34" s="1" t="s">
        <v>150</v>
      </c>
      <c r="N34" s="1">
        <v>2.0</v>
      </c>
      <c r="O34" s="11"/>
      <c r="P34" s="11">
        <f t="shared" si="2"/>
        <v>41.75827313</v>
      </c>
      <c r="Q34" s="11">
        <f t="shared" si="4"/>
        <v>47.1856665</v>
      </c>
      <c r="R34" s="11" t="str">
        <f t="shared" si="3"/>
        <v/>
      </c>
      <c r="S34" s="55">
        <f t="shared" si="5"/>
        <v>230.8939496</v>
      </c>
    </row>
    <row r="35">
      <c r="A35" s="1" t="s">
        <v>213</v>
      </c>
      <c r="B35" s="52">
        <v>3.6738987E7</v>
      </c>
      <c r="C35" s="53">
        <v>60525.51</v>
      </c>
      <c r="D35" s="53">
        <v>2161117.0</v>
      </c>
      <c r="E35" s="52">
        <v>1598101.0</v>
      </c>
      <c r="F35" s="52">
        <v>3807769.0</v>
      </c>
      <c r="G35" s="1">
        <v>17.0</v>
      </c>
      <c r="H35" s="1">
        <v>17.0</v>
      </c>
      <c r="I35" s="1">
        <v>100.0</v>
      </c>
      <c r="J35" s="1">
        <v>34.63</v>
      </c>
      <c r="K35" s="26">
        <v>1.0</v>
      </c>
      <c r="L35" s="1" t="s">
        <v>641</v>
      </c>
      <c r="M35" s="1" t="s">
        <v>150</v>
      </c>
      <c r="N35" s="1">
        <v>2.0</v>
      </c>
      <c r="O35" s="11"/>
      <c r="P35" s="11">
        <f t="shared" si="2"/>
        <v>36.42640164</v>
      </c>
      <c r="Q35" s="11">
        <f t="shared" si="4"/>
        <v>41.16080265</v>
      </c>
      <c r="R35" s="11" t="str">
        <f t="shared" si="3"/>
        <v/>
      </c>
      <c r="S35" s="55">
        <f t="shared" si="5"/>
        <v>201.4124415</v>
      </c>
    </row>
    <row r="36">
      <c r="A36" s="1" t="s">
        <v>208</v>
      </c>
      <c r="B36" s="52">
        <v>3.476818E7</v>
      </c>
      <c r="C36" s="53">
        <v>57278.71</v>
      </c>
      <c r="D36" s="53">
        <v>569970.2</v>
      </c>
      <c r="E36" s="52">
        <v>270733.0</v>
      </c>
      <c r="F36" s="52">
        <v>1044352.0</v>
      </c>
      <c r="G36" s="1">
        <v>61.0</v>
      </c>
      <c r="H36" s="1">
        <v>61.0</v>
      </c>
      <c r="I36" s="1">
        <v>100.0</v>
      </c>
      <c r="J36" s="1">
        <v>10.24</v>
      </c>
      <c r="K36" s="26">
        <v>1.0</v>
      </c>
      <c r="L36" s="1" t="s">
        <v>642</v>
      </c>
      <c r="M36" s="1" t="s">
        <v>210</v>
      </c>
      <c r="N36" s="1">
        <v>3.0</v>
      </c>
      <c r="O36" s="11"/>
      <c r="P36" s="11">
        <f t="shared" si="2"/>
        <v>34.47236208</v>
      </c>
      <c r="Q36" s="11" t="str">
        <f t="shared" si="4"/>
        <v/>
      </c>
      <c r="R36" s="11" t="str">
        <f t="shared" si="3"/>
        <v/>
      </c>
      <c r="S36" s="55" t="str">
        <f t="shared" si="5"/>
        <v/>
      </c>
    </row>
    <row r="37">
      <c r="A37" s="1" t="s">
        <v>215</v>
      </c>
      <c r="B37" s="52">
        <v>3.39417E7</v>
      </c>
      <c r="C37" s="53">
        <v>55917.13</v>
      </c>
      <c r="D37" s="53">
        <v>556421.3</v>
      </c>
      <c r="E37" s="52">
        <v>477132.0</v>
      </c>
      <c r="F37" s="52">
        <v>560280.0</v>
      </c>
      <c r="G37" s="1">
        <v>61.0</v>
      </c>
      <c r="H37" s="1">
        <v>61.0</v>
      </c>
      <c r="I37" s="1">
        <v>100.0</v>
      </c>
      <c r="J37" s="1">
        <v>9.69</v>
      </c>
      <c r="K37" s="26">
        <v>0.0</v>
      </c>
      <c r="L37" s="1" t="s">
        <v>149</v>
      </c>
      <c r="M37" s="1" t="s">
        <v>210</v>
      </c>
      <c r="N37" s="1">
        <v>4.0</v>
      </c>
      <c r="O37" s="11"/>
      <c r="P37" s="11" t="str">
        <f t="shared" si="2"/>
        <v/>
      </c>
      <c r="Q37" s="11" t="str">
        <f t="shared" si="4"/>
        <v/>
      </c>
      <c r="R37" s="11" t="str">
        <f t="shared" si="3"/>
        <v/>
      </c>
      <c r="S37" s="55" t="str">
        <f t="shared" si="5"/>
        <v/>
      </c>
    </row>
    <row r="38">
      <c r="A38" s="1" t="s">
        <v>216</v>
      </c>
      <c r="B38" s="52">
        <v>2.9068641E7</v>
      </c>
      <c r="C38" s="53">
        <v>47889.03</v>
      </c>
      <c r="D38" s="53">
        <v>1529928.0</v>
      </c>
      <c r="E38" s="52">
        <v>870362.0</v>
      </c>
      <c r="F38" s="52">
        <v>2696624.0</v>
      </c>
      <c r="G38" s="1">
        <v>19.0</v>
      </c>
      <c r="H38" s="1">
        <v>19.0</v>
      </c>
      <c r="I38" s="1">
        <v>100.0</v>
      </c>
      <c r="J38" s="1">
        <v>32.22</v>
      </c>
      <c r="K38" s="26">
        <v>1.0</v>
      </c>
      <c r="L38" s="1" t="s">
        <v>643</v>
      </c>
      <c r="M38" s="1" t="s">
        <v>150</v>
      </c>
      <c r="N38" s="1">
        <v>2.0</v>
      </c>
      <c r="O38" s="11"/>
      <c r="P38" s="11">
        <f t="shared" si="2"/>
        <v>28.82131915</v>
      </c>
      <c r="Q38" s="11">
        <f t="shared" si="4"/>
        <v>32.56727474</v>
      </c>
      <c r="R38" s="11" t="str">
        <f t="shared" si="3"/>
        <v/>
      </c>
      <c r="S38" s="55">
        <f t="shared" si="5"/>
        <v>159.3616717</v>
      </c>
    </row>
    <row r="39">
      <c r="A39" s="1" t="s">
        <v>225</v>
      </c>
      <c r="B39" s="52">
        <v>2.7719139E7</v>
      </c>
      <c r="C39" s="53">
        <v>45665.8</v>
      </c>
      <c r="D39" s="53">
        <v>369588.5</v>
      </c>
      <c r="E39" s="52">
        <v>223997.0</v>
      </c>
      <c r="F39" s="52">
        <v>691447.0</v>
      </c>
      <c r="G39" s="1">
        <v>75.0</v>
      </c>
      <c r="H39" s="1">
        <v>75.0</v>
      </c>
      <c r="I39" s="1">
        <v>100.0</v>
      </c>
      <c r="J39" s="1">
        <v>10.0</v>
      </c>
      <c r="K39" s="26">
        <v>1.0</v>
      </c>
      <c r="L39" s="1" t="s">
        <v>644</v>
      </c>
      <c r="M39" s="1" t="s">
        <v>187</v>
      </c>
      <c r="N39" s="1">
        <v>2.0</v>
      </c>
      <c r="O39" s="11"/>
      <c r="P39" s="11">
        <f t="shared" si="2"/>
        <v>27.48330038</v>
      </c>
      <c r="Q39" s="11">
        <f t="shared" si="4"/>
        <v>31.0553514</v>
      </c>
      <c r="R39" s="11" t="str">
        <f t="shared" si="3"/>
        <v/>
      </c>
      <c r="S39" s="55">
        <f t="shared" si="5"/>
        <v>151.9633667</v>
      </c>
    </row>
    <row r="40">
      <c r="A40" s="1" t="s">
        <v>218</v>
      </c>
      <c r="B40" s="52">
        <v>1.8666891E7</v>
      </c>
      <c r="C40" s="53">
        <v>30752.7</v>
      </c>
      <c r="D40" s="53">
        <v>933344.6</v>
      </c>
      <c r="E40" s="52">
        <v>603897.0</v>
      </c>
      <c r="F40" s="52">
        <v>1559377.0</v>
      </c>
      <c r="G40" s="1">
        <v>20.0</v>
      </c>
      <c r="H40" s="1">
        <v>20.0</v>
      </c>
      <c r="I40" s="1">
        <v>100.0</v>
      </c>
      <c r="J40" s="1">
        <v>32.93</v>
      </c>
      <c r="K40" s="26">
        <v>1.0</v>
      </c>
      <c r="L40" s="1" t="s">
        <v>645</v>
      </c>
      <c r="M40" s="1" t="s">
        <v>193</v>
      </c>
      <c r="N40" s="1">
        <v>3.0</v>
      </c>
      <c r="O40" s="11"/>
      <c r="P40" s="11">
        <f t="shared" si="2"/>
        <v>18.50806712</v>
      </c>
      <c r="Q40" s="11" t="str">
        <f t="shared" si="4"/>
        <v/>
      </c>
      <c r="R40" s="11" t="str">
        <f t="shared" si="3"/>
        <v/>
      </c>
      <c r="S40" s="55" t="str">
        <f t="shared" si="5"/>
        <v/>
      </c>
    </row>
    <row r="41">
      <c r="A41" s="1" t="s">
        <v>227</v>
      </c>
      <c r="B41" s="52">
        <v>1.5755702E7</v>
      </c>
      <c r="C41" s="53">
        <v>25956.68</v>
      </c>
      <c r="D41" s="53">
        <v>1575570.0</v>
      </c>
      <c r="E41" s="52">
        <v>1058359.0</v>
      </c>
      <c r="F41" s="52">
        <v>2606656.0</v>
      </c>
      <c r="G41" s="1">
        <v>10.0</v>
      </c>
      <c r="H41" s="1">
        <v>10.0</v>
      </c>
      <c r="I41" s="1">
        <v>100.0</v>
      </c>
      <c r="J41" s="1">
        <v>52.67</v>
      </c>
      <c r="K41" s="26">
        <v>1.0</v>
      </c>
      <c r="L41" s="1" t="s">
        <v>646</v>
      </c>
      <c r="M41" s="1" t="s">
        <v>187</v>
      </c>
      <c r="N41" s="1">
        <v>2.0</v>
      </c>
      <c r="O41" s="11"/>
      <c r="P41" s="11">
        <f t="shared" si="2"/>
        <v>15.62165194</v>
      </c>
      <c r="Q41" s="11">
        <f t="shared" si="4"/>
        <v>17.65202446</v>
      </c>
      <c r="R41" s="11" t="str">
        <f t="shared" si="3"/>
        <v/>
      </c>
      <c r="S41" s="55">
        <f t="shared" si="5"/>
        <v>86.37677387</v>
      </c>
    </row>
    <row r="42">
      <c r="A42" s="1" t="s">
        <v>220</v>
      </c>
      <c r="B42" s="52">
        <v>1.4879275E7</v>
      </c>
      <c r="C42" s="53">
        <v>24512.81</v>
      </c>
      <c r="D42" s="53">
        <v>743963.8</v>
      </c>
      <c r="E42" s="52">
        <v>479723.0</v>
      </c>
      <c r="F42" s="52">
        <v>1990205.0</v>
      </c>
      <c r="G42" s="1">
        <v>20.0</v>
      </c>
      <c r="H42" s="1">
        <v>20.0</v>
      </c>
      <c r="I42" s="1">
        <v>100.0</v>
      </c>
      <c r="J42" s="1">
        <v>30.47</v>
      </c>
      <c r="K42" s="26">
        <v>1.0</v>
      </c>
      <c r="L42" s="1" t="s">
        <v>647</v>
      </c>
      <c r="M42" s="1" t="s">
        <v>150</v>
      </c>
      <c r="N42" s="1">
        <v>2.0</v>
      </c>
      <c r="O42" s="11"/>
      <c r="P42" s="11">
        <f t="shared" si="2"/>
        <v>14.75267969</v>
      </c>
      <c r="Q42" s="11">
        <f t="shared" si="4"/>
        <v>16.67011042</v>
      </c>
      <c r="R42" s="11" t="str">
        <f t="shared" si="3"/>
        <v/>
      </c>
      <c r="S42" s="55">
        <f t="shared" si="5"/>
        <v>81.57196708</v>
      </c>
    </row>
    <row r="43">
      <c r="A43" s="1" t="s">
        <v>648</v>
      </c>
      <c r="B43" s="52">
        <v>1.3278396E7</v>
      </c>
      <c r="C43" s="53">
        <v>21875.45</v>
      </c>
      <c r="D43" s="53">
        <v>829899.8</v>
      </c>
      <c r="E43" s="52">
        <v>436135.0</v>
      </c>
      <c r="F43" s="52">
        <v>1375955.0</v>
      </c>
      <c r="G43" s="1">
        <v>16.0</v>
      </c>
      <c r="H43" s="1">
        <v>16.0</v>
      </c>
      <c r="I43" s="1">
        <v>100.0</v>
      </c>
      <c r="J43" s="1">
        <v>67.63</v>
      </c>
      <c r="K43" s="26">
        <v>1.0</v>
      </c>
      <c r="L43" s="1" t="s">
        <v>649</v>
      </c>
      <c r="M43" s="1" t="s">
        <v>187</v>
      </c>
      <c r="N43" s="1">
        <v>2.0</v>
      </c>
      <c r="O43" s="11"/>
      <c r="P43" s="11">
        <f t="shared" si="2"/>
        <v>13.16542277</v>
      </c>
      <c r="Q43" s="11">
        <f t="shared" si="4"/>
        <v>14.87655503</v>
      </c>
      <c r="R43" s="11" t="str">
        <f t="shared" si="3"/>
        <v/>
      </c>
      <c r="S43" s="55">
        <f t="shared" si="5"/>
        <v>72.79555005</v>
      </c>
    </row>
    <row r="44">
      <c r="A44" s="1" t="s">
        <v>222</v>
      </c>
      <c r="B44" s="52">
        <v>8510826.0</v>
      </c>
      <c r="C44" s="53">
        <v>14021.13</v>
      </c>
      <c r="D44" s="53">
        <v>4255413.0</v>
      </c>
      <c r="E44" s="52">
        <v>2340684.0</v>
      </c>
      <c r="F44" s="52">
        <v>6170142.0</v>
      </c>
      <c r="G44" s="1">
        <v>2.0</v>
      </c>
      <c r="H44" s="1">
        <v>2.0</v>
      </c>
      <c r="I44" s="1">
        <v>100.0</v>
      </c>
      <c r="J44" s="1">
        <v>231.0</v>
      </c>
      <c r="K44" s="26">
        <v>1.0</v>
      </c>
      <c r="L44" s="1" t="s">
        <v>466</v>
      </c>
      <c r="M44" s="1" t="s">
        <v>150</v>
      </c>
      <c r="N44" s="1">
        <v>2.0</v>
      </c>
      <c r="O44" s="11"/>
      <c r="P44" s="11">
        <f t="shared" si="2"/>
        <v>8.43841403</v>
      </c>
      <c r="Q44" s="11">
        <f t="shared" si="4"/>
        <v>9.53516897</v>
      </c>
      <c r="R44" s="11" t="str">
        <f t="shared" si="3"/>
        <v/>
      </c>
      <c r="S44" s="55">
        <f t="shared" si="5"/>
        <v>46.65850854</v>
      </c>
    </row>
    <row r="45">
      <c r="A45" s="1" t="s">
        <v>233</v>
      </c>
      <c r="B45" s="52">
        <v>3319107.0</v>
      </c>
      <c r="C45" s="53">
        <v>5468.05</v>
      </c>
      <c r="D45" s="53">
        <v>829776.8</v>
      </c>
      <c r="E45" s="52">
        <v>680006.0</v>
      </c>
      <c r="F45" s="52">
        <v>1057368.0</v>
      </c>
      <c r="G45" s="1">
        <v>4.0</v>
      </c>
      <c r="H45" s="1">
        <v>4.0</v>
      </c>
      <c r="I45" s="1">
        <v>100.0</v>
      </c>
      <c r="J45" s="1">
        <v>76.33</v>
      </c>
      <c r="K45" s="26">
        <v>1.0</v>
      </c>
      <c r="L45" s="1" t="s">
        <v>403</v>
      </c>
      <c r="M45" s="1" t="s">
        <v>187</v>
      </c>
      <c r="N45" s="1">
        <v>3.0</v>
      </c>
      <c r="O45" s="11"/>
      <c r="P45" s="11">
        <f t="shared" si="2"/>
        <v>3.290866702</v>
      </c>
      <c r="Q45" s="11" t="str">
        <f t="shared" si="4"/>
        <v/>
      </c>
      <c r="R45" s="11" t="str">
        <f t="shared" si="3"/>
        <v/>
      </c>
      <c r="S45" s="55" t="str">
        <f t="shared" si="5"/>
        <v/>
      </c>
    </row>
    <row r="46">
      <c r="A46" s="1" t="s">
        <v>650</v>
      </c>
      <c r="B46" s="52">
        <v>1563472.0</v>
      </c>
      <c r="C46" s="53">
        <v>5011.13</v>
      </c>
      <c r="D46" s="53">
        <v>781736.0</v>
      </c>
      <c r="E46" s="52">
        <v>776146.0</v>
      </c>
      <c r="F46" s="52">
        <v>787326.0</v>
      </c>
      <c r="G46" s="1">
        <v>2.0</v>
      </c>
      <c r="H46" s="1">
        <v>2.0</v>
      </c>
      <c r="I46" s="1">
        <v>100.0</v>
      </c>
      <c r="J46" s="1">
        <v>75.0</v>
      </c>
      <c r="K46" s="26">
        <v>1.0</v>
      </c>
      <c r="L46" s="1" t="s">
        <v>226</v>
      </c>
      <c r="M46" s="1" t="s">
        <v>150</v>
      </c>
      <c r="N46" s="1">
        <v>2.0</v>
      </c>
      <c r="O46" s="11"/>
      <c r="P46" s="11">
        <f t="shared" si="2"/>
        <v>3.015876017</v>
      </c>
      <c r="Q46" s="11">
        <f t="shared" si="4"/>
        <v>3.407854523</v>
      </c>
      <c r="R46" s="11" t="str">
        <f t="shared" si="3"/>
        <v/>
      </c>
      <c r="S46" s="55">
        <f t="shared" si="5"/>
        <v>16.6756782</v>
      </c>
    </row>
    <row r="47">
      <c r="A47" s="1" t="s">
        <v>651</v>
      </c>
      <c r="B47" s="52">
        <v>1049943.0</v>
      </c>
      <c r="C47" s="53">
        <v>3365.2</v>
      </c>
      <c r="D47" s="53">
        <v>1049943.0</v>
      </c>
      <c r="E47" s="52">
        <v>1049943.0</v>
      </c>
      <c r="F47" s="52">
        <v>1049943.0</v>
      </c>
      <c r="G47" s="1">
        <v>1.0</v>
      </c>
      <c r="H47" s="1">
        <v>1.0</v>
      </c>
      <c r="I47" s="1">
        <v>100.0</v>
      </c>
      <c r="J47" s="1" t="s">
        <v>223</v>
      </c>
      <c r="K47" s="26">
        <v>1.0</v>
      </c>
      <c r="L47" s="1" t="s">
        <v>226</v>
      </c>
      <c r="M47" s="1" t="s">
        <v>187</v>
      </c>
      <c r="N47" s="1">
        <v>2.0</v>
      </c>
      <c r="O47" s="11"/>
      <c r="P47" s="11"/>
      <c r="Q47" s="11"/>
      <c r="R47" s="11"/>
      <c r="S47" s="55"/>
    </row>
    <row r="48">
      <c r="A48" s="1" t="s">
        <v>229</v>
      </c>
      <c r="B48" s="27">
        <v>6.5113554E8</v>
      </c>
      <c r="C48" s="61">
        <v>1072710.94</v>
      </c>
      <c r="D48" s="61">
        <v>1599842.0</v>
      </c>
      <c r="E48" s="27">
        <v>680507.0</v>
      </c>
      <c r="F48" s="27">
        <v>1.0929453E7</v>
      </c>
      <c r="G48" s="1">
        <v>407.0</v>
      </c>
      <c r="H48" s="1">
        <v>407.0</v>
      </c>
      <c r="I48" s="1">
        <v>100.0</v>
      </c>
      <c r="J48" s="1">
        <v>1.94</v>
      </c>
      <c r="K48" s="26">
        <v>1.0</v>
      </c>
      <c r="L48" s="1" t="s">
        <v>652</v>
      </c>
      <c r="M48" s="1" t="s">
        <v>187</v>
      </c>
      <c r="N48" s="1">
        <v>5.0</v>
      </c>
      <c r="O48" s="11"/>
      <c r="P48" s="11" t="str">
        <f t="shared" ref="P48:P51" si="8">if($N48&lt;4,$C48*(($J$2+C$2+1%)/($J$2+C$2)-1),"")</f>
        <v/>
      </c>
      <c r="Q48" s="11">
        <f t="shared" ref="Q48:Q52" si="9">if(OR($N48=2,$N48=5),$C48*((1.5+D$2+1%)/(1.5+D$2)-1),"")</f>
        <v>729.5046882</v>
      </c>
      <c r="R48" s="11" t="str">
        <f t="shared" ref="R48:R52" si="10">if($N48=1,$C48*((1+E$2+1%)/(1+E$2)-1),"")</f>
        <v/>
      </c>
      <c r="S48" s="55">
        <f t="shared" ref="S48:S52" si="11">if(OR($N48&lt;3,$N48=5),C48*((floor((log($B$2+500,2)*0.28-1.2)*100,0.001)/100)/(floor((log($B$2,2)*0.28-1.2)*100,0.001)/100)-1),"")</f>
        <v>3569.690357</v>
      </c>
    </row>
    <row r="49">
      <c r="A49" s="1" t="s">
        <v>235</v>
      </c>
      <c r="B49" s="27">
        <v>5.30469369E8</v>
      </c>
      <c r="C49" s="61">
        <v>873919.88</v>
      </c>
      <c r="D49" s="61">
        <v>753507.6</v>
      </c>
      <c r="E49" s="27">
        <v>321287.0</v>
      </c>
      <c r="F49" s="27">
        <v>2482165.0</v>
      </c>
      <c r="G49" s="1">
        <v>704.0</v>
      </c>
      <c r="H49" s="1">
        <v>704.0</v>
      </c>
      <c r="I49" s="1">
        <v>100.0</v>
      </c>
      <c r="J49" s="1">
        <v>1.4</v>
      </c>
      <c r="K49" s="26">
        <v>1.0</v>
      </c>
      <c r="L49" s="1" t="s">
        <v>653</v>
      </c>
      <c r="M49" s="1" t="s">
        <v>187</v>
      </c>
      <c r="N49" s="1">
        <v>5.0</v>
      </c>
      <c r="O49" s="11"/>
      <c r="P49" s="11" t="str">
        <f t="shared" si="8"/>
        <v/>
      </c>
      <c r="Q49" s="11">
        <f t="shared" si="9"/>
        <v>594.315417</v>
      </c>
      <c r="R49" s="11" t="str">
        <f t="shared" si="10"/>
        <v/>
      </c>
      <c r="S49" s="55">
        <f t="shared" si="11"/>
        <v>2908.167757</v>
      </c>
    </row>
    <row r="50">
      <c r="A50" s="1" t="s">
        <v>231</v>
      </c>
      <c r="B50" s="27">
        <v>4.90902014E8</v>
      </c>
      <c r="C50" s="61">
        <v>808734.78</v>
      </c>
      <c r="D50" s="61">
        <v>337158.0</v>
      </c>
      <c r="E50" s="27">
        <v>100469.0</v>
      </c>
      <c r="F50" s="27">
        <v>1424264.0</v>
      </c>
      <c r="G50" s="27">
        <v>1456.0</v>
      </c>
      <c r="H50" s="27">
        <v>1456.0</v>
      </c>
      <c r="I50" s="1">
        <v>100.0</v>
      </c>
      <c r="J50" s="1">
        <v>1.87</v>
      </c>
      <c r="K50" s="26">
        <v>1.0</v>
      </c>
      <c r="L50" s="1" t="s">
        <v>654</v>
      </c>
      <c r="M50" s="1" t="s">
        <v>187</v>
      </c>
      <c r="N50" s="1">
        <v>5.0</v>
      </c>
      <c r="O50" s="11"/>
      <c r="P50" s="11" t="str">
        <f t="shared" si="8"/>
        <v/>
      </c>
      <c r="Q50" s="11">
        <f t="shared" si="9"/>
        <v>549.9858271</v>
      </c>
      <c r="R50" s="11" t="str">
        <f t="shared" si="10"/>
        <v/>
      </c>
      <c r="S50" s="55">
        <f t="shared" si="11"/>
        <v>2691.249467</v>
      </c>
    </row>
    <row r="51">
      <c r="A51" s="1" t="s">
        <v>233</v>
      </c>
      <c r="B51" s="27">
        <v>6.0322929E7</v>
      </c>
      <c r="C51" s="61">
        <v>99378.8</v>
      </c>
      <c r="D51" s="61">
        <v>1256728.0</v>
      </c>
      <c r="E51" s="27">
        <v>680006.0</v>
      </c>
      <c r="F51" s="27">
        <v>3024650.0</v>
      </c>
      <c r="G51" s="1">
        <v>48.0</v>
      </c>
      <c r="H51" s="1">
        <v>48.0</v>
      </c>
      <c r="I51" s="1">
        <v>100.0</v>
      </c>
      <c r="J51" s="1">
        <v>13.09</v>
      </c>
      <c r="K51" s="26">
        <v>1.0</v>
      </c>
      <c r="L51" s="1" t="s">
        <v>655</v>
      </c>
      <c r="M51" s="1" t="s">
        <v>187</v>
      </c>
      <c r="N51" s="1">
        <v>5.0</v>
      </c>
      <c r="O51" s="11"/>
      <c r="P51" s="11" t="str">
        <f t="shared" si="8"/>
        <v/>
      </c>
      <c r="Q51" s="11">
        <f t="shared" si="9"/>
        <v>67.58325827</v>
      </c>
      <c r="R51" s="11" t="str">
        <f t="shared" si="10"/>
        <v/>
      </c>
      <c r="S51" s="55">
        <f t="shared" si="11"/>
        <v>330.705627</v>
      </c>
    </row>
    <row r="52">
      <c r="A52" s="1"/>
      <c r="B52" s="52"/>
      <c r="C52" s="53"/>
      <c r="D52" s="53"/>
      <c r="E52" s="52"/>
      <c r="F52" s="52"/>
      <c r="G52" s="1"/>
      <c r="H52" s="1"/>
      <c r="I52" s="1"/>
      <c r="J52" s="1"/>
      <c r="K52" s="26"/>
      <c r="L52" s="1"/>
      <c r="M52" s="1"/>
      <c r="N52" s="1"/>
      <c r="O52" s="11"/>
      <c r="P52" s="11"/>
      <c r="Q52" s="11" t="str">
        <f t="shared" si="9"/>
        <v/>
      </c>
      <c r="R52" s="11" t="str">
        <f t="shared" si="10"/>
        <v/>
      </c>
      <c r="S52" s="55">
        <f t="shared" si="11"/>
        <v>0</v>
      </c>
    </row>
    <row r="53">
      <c r="A53" s="1"/>
      <c r="B53" s="52"/>
      <c r="C53" s="53"/>
      <c r="D53" s="53"/>
      <c r="E53" s="52"/>
      <c r="F53" s="52"/>
      <c r="G53" s="1"/>
      <c r="H53" s="1"/>
      <c r="I53" s="1"/>
      <c r="J53" s="1"/>
      <c r="K53" s="26"/>
      <c r="L53" s="1"/>
      <c r="M53" s="1"/>
      <c r="N53" s="1"/>
      <c r="O53" s="11"/>
      <c r="P53" s="11"/>
      <c r="Q53" s="11"/>
      <c r="R53" s="11"/>
      <c r="S53" s="55"/>
    </row>
    <row r="54">
      <c r="A54" s="1"/>
      <c r="B54" s="52"/>
      <c r="C54" s="53"/>
      <c r="D54" s="53"/>
      <c r="E54" s="52"/>
      <c r="F54" s="52"/>
      <c r="G54" s="1"/>
      <c r="H54" s="1"/>
      <c r="I54" s="1"/>
      <c r="J54" s="1"/>
      <c r="K54" s="26"/>
      <c r="L54" s="1"/>
      <c r="M54" s="1"/>
      <c r="N54" s="1"/>
      <c r="O54" s="11"/>
      <c r="P54" s="11"/>
      <c r="Q54" s="11"/>
      <c r="R54" s="11"/>
      <c r="S54" s="55"/>
    </row>
    <row r="55">
      <c r="A55" s="1"/>
      <c r="B55" s="52"/>
      <c r="C55" s="53"/>
      <c r="D55" s="53"/>
      <c r="E55" s="52"/>
      <c r="F55" s="52"/>
      <c r="G55" s="1"/>
      <c r="H55" s="1"/>
      <c r="I55" s="1"/>
      <c r="J55" s="1"/>
      <c r="K55" s="26"/>
      <c r="L55" s="1"/>
      <c r="M55" s="1"/>
      <c r="N55" s="1"/>
      <c r="O55" s="11"/>
      <c r="P55" s="11"/>
      <c r="Q55" s="11"/>
      <c r="R55" s="11"/>
      <c r="S55" s="55"/>
    </row>
    <row r="56">
      <c r="A56" s="1"/>
      <c r="B56" s="52"/>
      <c r="C56" s="53"/>
      <c r="D56" s="53"/>
      <c r="E56" s="52"/>
      <c r="F56" s="52"/>
      <c r="G56" s="1"/>
      <c r="H56" s="1"/>
      <c r="I56" s="1"/>
      <c r="J56" s="1"/>
      <c r="K56" s="26"/>
      <c r="L56" s="1"/>
      <c r="M56" s="1"/>
      <c r="N56" s="1"/>
      <c r="O56" s="11"/>
      <c r="P56" s="11"/>
      <c r="Q56" s="11"/>
      <c r="R56" s="11"/>
      <c r="S56" s="55"/>
    </row>
    <row r="57">
      <c r="A57" s="1"/>
      <c r="B57" s="52"/>
      <c r="C57" s="53"/>
      <c r="D57" s="53"/>
      <c r="E57" s="52"/>
      <c r="F57" s="52"/>
      <c r="G57" s="1"/>
      <c r="H57" s="1"/>
      <c r="I57" s="1"/>
      <c r="J57" s="1"/>
      <c r="K57" s="26"/>
      <c r="L57" s="1"/>
      <c r="M57" s="1"/>
      <c r="N57" s="1"/>
      <c r="O57" s="11"/>
      <c r="P57" s="11"/>
      <c r="Q57" s="11"/>
      <c r="R57" s="11"/>
      <c r="S57" s="55"/>
    </row>
    <row r="58">
      <c r="A58" s="1"/>
      <c r="B58" s="52"/>
      <c r="C58" s="53"/>
      <c r="D58" s="53"/>
      <c r="E58" s="52"/>
      <c r="F58" s="52"/>
      <c r="G58" s="1"/>
      <c r="H58" s="1"/>
      <c r="I58" s="1"/>
      <c r="J58" s="1"/>
      <c r="K58" s="26"/>
      <c r="L58" s="1"/>
      <c r="M58" s="1"/>
      <c r="N58" s="1"/>
      <c r="O58" s="11"/>
      <c r="P58" s="11"/>
      <c r="Q58" s="11"/>
      <c r="R58" s="11"/>
      <c r="S58" s="55"/>
    </row>
    <row r="59">
      <c r="A59" s="1"/>
      <c r="B59" s="52"/>
      <c r="C59" s="53"/>
      <c r="D59" s="53"/>
      <c r="E59" s="52"/>
      <c r="F59" s="52"/>
      <c r="G59" s="1"/>
      <c r="H59" s="1"/>
      <c r="I59" s="1"/>
      <c r="J59" s="1"/>
      <c r="K59" s="26"/>
      <c r="L59" s="1"/>
      <c r="M59" s="1"/>
      <c r="N59" s="1"/>
      <c r="O59" s="11"/>
      <c r="P59" s="11"/>
      <c r="Q59" s="11"/>
      <c r="R59" s="11"/>
      <c r="S59" s="55"/>
    </row>
    <row r="60">
      <c r="A60" s="1"/>
      <c r="B60" s="52"/>
      <c r="C60" s="53"/>
      <c r="D60" s="53"/>
      <c r="E60" s="52"/>
      <c r="F60" s="52"/>
      <c r="G60" s="1"/>
      <c r="H60" s="1"/>
      <c r="I60" s="1"/>
      <c r="J60" s="1"/>
      <c r="K60" s="26"/>
      <c r="L60" s="1"/>
      <c r="M60" s="1"/>
      <c r="N60" s="1"/>
      <c r="O60" s="11"/>
      <c r="P60" s="11"/>
      <c r="Q60" s="11"/>
      <c r="R60" s="11"/>
      <c r="S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11"/>
      <c r="P61" s="11"/>
      <c r="Q61" s="11"/>
      <c r="R61" s="11"/>
      <c r="S61" s="55"/>
    </row>
    <row r="62">
      <c r="A62" s="1"/>
      <c r="B62" s="52"/>
      <c r="C62" s="53"/>
      <c r="D62" s="53"/>
      <c r="E62" s="52"/>
      <c r="F62" s="52"/>
      <c r="G62" s="1"/>
      <c r="H62" s="1"/>
      <c r="I62" s="1"/>
      <c r="J62" s="1"/>
      <c r="K62" s="26"/>
      <c r="L62" s="1"/>
      <c r="M62" s="1"/>
      <c r="N62" s="1"/>
      <c r="O62" s="11"/>
      <c r="P62" s="11"/>
      <c r="Q62" s="11"/>
      <c r="R62" s="11"/>
      <c r="S62" s="55"/>
    </row>
    <row r="63">
      <c r="A63" s="1"/>
      <c r="B63" s="52"/>
      <c r="C63" s="53"/>
      <c r="D63" s="53"/>
      <c r="E63" s="52"/>
      <c r="F63" s="52"/>
      <c r="G63" s="1"/>
      <c r="H63" s="1"/>
      <c r="I63" s="1"/>
      <c r="J63" s="1"/>
      <c r="K63" s="26"/>
      <c r="L63" s="1"/>
      <c r="M63" s="1"/>
      <c r="N63" s="1"/>
      <c r="O63" s="11"/>
      <c r="P63" s="11"/>
      <c r="Q63" s="11"/>
      <c r="R63" s="11"/>
      <c r="S63" s="55"/>
    </row>
    <row r="64">
      <c r="A64" s="1"/>
      <c r="B64" s="52"/>
      <c r="C64" s="53"/>
      <c r="D64" s="53"/>
      <c r="E64" s="52"/>
      <c r="F64" s="52"/>
      <c r="G64" s="1"/>
      <c r="H64" s="1"/>
      <c r="I64" s="1"/>
      <c r="J64" s="1"/>
      <c r="K64" s="26"/>
      <c r="L64" s="1"/>
      <c r="M64" s="1"/>
      <c r="N64" s="1"/>
      <c r="O64" s="11"/>
      <c r="P64" s="11"/>
      <c r="Q64" s="11"/>
      <c r="R64" s="11"/>
      <c r="S64" s="55"/>
    </row>
    <row r="65">
      <c r="A65" s="1" t="s">
        <v>37</v>
      </c>
      <c r="B65" s="52" t="s">
        <v>11</v>
      </c>
      <c r="C65" s="53" t="s">
        <v>12</v>
      </c>
      <c r="D65" s="53" t="s">
        <v>13</v>
      </c>
      <c r="E65" s="52" t="s">
        <v>38</v>
      </c>
      <c r="F65" s="1" t="s">
        <v>37</v>
      </c>
      <c r="G65" s="52" t="s">
        <v>11</v>
      </c>
      <c r="H65" s="53" t="s">
        <v>12</v>
      </c>
      <c r="I65" s="53" t="s">
        <v>13</v>
      </c>
      <c r="J65" s="52"/>
      <c r="K65" s="26"/>
      <c r="L65" s="1"/>
      <c r="M65" s="1"/>
      <c r="N65" s="1"/>
      <c r="O65" s="11"/>
      <c r="P65" s="11"/>
      <c r="Q65" s="11"/>
      <c r="R65" s="11"/>
      <c r="S65" s="55"/>
    </row>
    <row r="66">
      <c r="A66" s="1">
        <v>335.0</v>
      </c>
      <c r="B66" s="52">
        <v>30.8</v>
      </c>
      <c r="C66" s="53">
        <v>31.0</v>
      </c>
      <c r="D66" s="53">
        <v>10.4</v>
      </c>
      <c r="E66" s="52">
        <v>778.0</v>
      </c>
      <c r="F66" s="52">
        <f t="shared" ref="F66:F67" si="12">A66*$I$5*(1+0.1+0.18*3/4+0.12*5*1/4)</f>
        <v>76065.95446</v>
      </c>
      <c r="G66" s="52">
        <f t="shared" ref="G66:G67" si="13">B66*1.13*$I$2</f>
        <v>286000.078</v>
      </c>
      <c r="H66" s="52">
        <f t="shared" ref="H66:H67" si="14">C66*1.03*$I$3</f>
        <v>130236.1664</v>
      </c>
      <c r="I66" s="52">
        <f t="shared" ref="I66:I67" si="15">(D66+E66*0.003*(1+0.1+0.18*3/4+0.12*5*1/4))*$I$4</f>
        <v>271957.1308</v>
      </c>
      <c r="K66" s="26"/>
      <c r="L66" s="1"/>
      <c r="M66" s="1"/>
      <c r="N66" s="1"/>
      <c r="O66" s="11"/>
      <c r="P66" s="11"/>
      <c r="Q66" s="11"/>
      <c r="R66" s="11"/>
      <c r="S66" s="55"/>
    </row>
    <row r="67" ht="15.0" customHeight="1">
      <c r="A67" s="1">
        <v>420.0</v>
      </c>
      <c r="B67" s="52">
        <v>33.0</v>
      </c>
      <c r="C67" s="53">
        <v>38.2</v>
      </c>
      <c r="D67" s="53">
        <v>5.9</v>
      </c>
      <c r="E67" s="52">
        <v>1261.0</v>
      </c>
      <c r="F67" s="52">
        <f t="shared" si="12"/>
        <v>95366.27126</v>
      </c>
      <c r="G67" s="52">
        <f t="shared" si="13"/>
        <v>306428.655</v>
      </c>
      <c r="H67" s="52">
        <f t="shared" si="14"/>
        <v>160484.5664</v>
      </c>
      <c r="I67" s="52">
        <f t="shared" si="15"/>
        <v>222221.4723</v>
      </c>
      <c r="J67" s="1"/>
      <c r="K67" s="26"/>
      <c r="L67" s="1"/>
      <c r="M67" s="1"/>
      <c r="N67" s="1"/>
      <c r="O67" s="11"/>
      <c r="P67" s="11"/>
      <c r="Q67" s="11"/>
      <c r="R67" s="11"/>
      <c r="S67" s="55"/>
    </row>
    <row r="68">
      <c r="A68" s="1"/>
      <c r="B68" s="52"/>
      <c r="C68" s="53"/>
      <c r="D68" s="53"/>
      <c r="E68" s="52">
        <f>E67*0.003</f>
        <v>3.783</v>
      </c>
      <c r="F68" s="52">
        <f t="shared" ref="F68:I68" si="16">F67-F66</f>
        <v>19300.3168</v>
      </c>
      <c r="G68" s="52">
        <f t="shared" si="16"/>
        <v>20428.577</v>
      </c>
      <c r="H68" s="52">
        <f t="shared" si="16"/>
        <v>30248.39994</v>
      </c>
      <c r="I68" s="52">
        <f t="shared" si="16"/>
        <v>-49735.65854</v>
      </c>
      <c r="J68" s="52">
        <f>sum(F68:I68)</f>
        <v>20241.63521</v>
      </c>
      <c r="K68" s="26"/>
      <c r="L68" s="1"/>
      <c r="M68" s="1"/>
      <c r="N68" s="1"/>
      <c r="O68" s="11"/>
      <c r="P68" s="11"/>
      <c r="Q68" s="11"/>
      <c r="R68" s="11"/>
      <c r="S68" s="55"/>
    </row>
    <row r="69">
      <c r="A69" s="1"/>
      <c r="B69" s="52"/>
      <c r="C69" s="1"/>
      <c r="D69" s="53"/>
      <c r="E69" s="52"/>
      <c r="F69" s="52"/>
      <c r="G69" s="1"/>
      <c r="H69" s="1"/>
      <c r="I69" s="1"/>
      <c r="J69" s="1"/>
      <c r="K69" s="26"/>
      <c r="L69" s="1"/>
      <c r="M69" s="1"/>
      <c r="N69" s="1"/>
      <c r="O69" s="11"/>
      <c r="P69" s="11"/>
      <c r="Q69" s="11"/>
      <c r="R69" s="11"/>
      <c r="S69" s="55"/>
    </row>
    <row r="70">
      <c r="A70" s="1"/>
      <c r="B70" s="52"/>
      <c r="C70" s="1"/>
      <c r="D70" s="53"/>
      <c r="E70" s="52"/>
      <c r="F70" s="52"/>
      <c r="G70" s="1"/>
      <c r="H70" s="1"/>
      <c r="I70" s="1"/>
      <c r="J70" s="1"/>
      <c r="K70" s="26"/>
      <c r="L70" s="1"/>
      <c r="M70" s="1"/>
      <c r="N70" s="1"/>
      <c r="O70" s="11"/>
      <c r="P70" s="11"/>
      <c r="Q70" s="11"/>
      <c r="R70" s="11"/>
      <c r="S70" s="55"/>
    </row>
    <row r="71">
      <c r="A71" s="1"/>
      <c r="B71" s="52"/>
      <c r="C71" s="1"/>
      <c r="D71" s="53"/>
      <c r="E71" s="52"/>
      <c r="F71" s="52"/>
      <c r="G71" s="1"/>
      <c r="H71" s="1"/>
      <c r="I71" s="1"/>
      <c r="J71" s="1"/>
      <c r="K71" s="26"/>
      <c r="L71" s="1"/>
      <c r="M71" s="1"/>
      <c r="N71" s="1"/>
      <c r="O71" s="11"/>
      <c r="P71" s="11"/>
      <c r="Q71" s="11"/>
      <c r="R71" s="11"/>
      <c r="S71" s="55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55"/>
    </row>
    <row r="90">
      <c r="F90" s="1" t="s">
        <v>612</v>
      </c>
      <c r="G90" s="1" t="s">
        <v>656</v>
      </c>
      <c r="H90" s="1" t="s">
        <v>657</v>
      </c>
      <c r="I90" s="1" t="s">
        <v>658</v>
      </c>
    </row>
    <row r="91">
      <c r="A91" s="1" t="s">
        <v>3</v>
      </c>
      <c r="B91" s="99" t="s">
        <v>26</v>
      </c>
      <c r="F91" s="1" t="s">
        <v>659</v>
      </c>
      <c r="G91">
        <f>12/2.4</f>
        <v>5</v>
      </c>
      <c r="H91" s="100">
        <f>(10*1.3)/2.4</f>
        <v>5.416666667</v>
      </c>
      <c r="I91" s="100">
        <f>14/2.4</f>
        <v>5.833333333</v>
      </c>
    </row>
    <row r="92">
      <c r="A92" s="1" t="s">
        <v>111</v>
      </c>
      <c r="B92" s="7">
        <v>0.8161941176470567</v>
      </c>
      <c r="F92" s="1" t="s">
        <v>660</v>
      </c>
      <c r="G92" s="101">
        <f>12/3.6</f>
        <v>3.333333333</v>
      </c>
      <c r="H92" s="100">
        <f>(10*1.3)/3.6</f>
        <v>3.611111111</v>
      </c>
      <c r="I92" s="100">
        <f>14/3.6</f>
        <v>3.888888889</v>
      </c>
    </row>
    <row r="93">
      <c r="A93" s="1" t="s">
        <v>112</v>
      </c>
      <c r="B93" s="7">
        <v>0.606</v>
      </c>
      <c r="F93" s="1">
        <v>0.0</v>
      </c>
    </row>
    <row r="94">
      <c r="A94" s="1" t="s">
        <v>113</v>
      </c>
      <c r="B94" s="7">
        <v>0.862</v>
      </c>
      <c r="F94">
        <f t="shared" ref="F94:F98" si="17">F93+2.4</f>
        <v>2.4</v>
      </c>
    </row>
    <row r="95">
      <c r="A95" s="1" t="s">
        <v>114</v>
      </c>
      <c r="B95" s="7">
        <v>0.886</v>
      </c>
      <c r="F95">
        <f t="shared" si="17"/>
        <v>4.8</v>
      </c>
      <c r="H95">
        <f>27/17.4+17.5/3.1</f>
        <v>7.196885428</v>
      </c>
      <c r="I95">
        <f>H95*17.4</f>
        <v>125.2258065</v>
      </c>
    </row>
    <row r="96">
      <c r="F96">
        <f t="shared" si="17"/>
        <v>7.2</v>
      </c>
    </row>
    <row r="97">
      <c r="F97">
        <f t="shared" si="17"/>
        <v>9.6</v>
      </c>
    </row>
    <row r="98">
      <c r="F98">
        <f t="shared" si="17"/>
        <v>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  <c r="B1" s="1" t="s">
        <v>117</v>
      </c>
      <c r="C1" s="1" t="s">
        <v>23</v>
      </c>
      <c r="D1" s="1" t="s">
        <v>12</v>
      </c>
      <c r="E1" s="1" t="s">
        <v>24</v>
      </c>
      <c r="F1" s="1" t="s">
        <v>25</v>
      </c>
      <c r="G1" s="1" t="s">
        <v>26</v>
      </c>
      <c r="H1" s="21" t="s">
        <v>1</v>
      </c>
      <c r="I1" s="21" t="s">
        <v>550</v>
      </c>
      <c r="K1" s="1" t="s">
        <v>534</v>
      </c>
      <c r="L1" s="1" t="s">
        <v>119</v>
      </c>
      <c r="M1">
        <f>sum(S:S)+0.008*$I$3+(0.008+0.0075)*$I$4</f>
        <v>50487.13793</v>
      </c>
    </row>
    <row r="2">
      <c r="A2" s="1" t="s">
        <v>111</v>
      </c>
      <c r="B2" s="11">
        <f>Illy!B2</f>
        <v>19662.99669</v>
      </c>
      <c r="C2" s="64">
        <f>Illy!C2</f>
        <v>15.53331126</v>
      </c>
      <c r="D2" s="64">
        <f>Illy!D2</f>
        <v>17.38638742</v>
      </c>
      <c r="E2" s="64">
        <f>Illy!E2</f>
        <v>1.3145</v>
      </c>
      <c r="F2" s="11">
        <f>Illy!F2</f>
        <v>855.1701987</v>
      </c>
      <c r="G2" s="64">
        <f>Illy!G2</f>
        <v>0.6320827815</v>
      </c>
      <c r="H2" s="21" t="s">
        <v>23</v>
      </c>
      <c r="I2" s="47">
        <f>SUM(P10:P999)</f>
        <v>7570.689607</v>
      </c>
      <c r="J2">
        <f t="shared" ref="J2:J3" si="1">29.6*1.08*I2</f>
        <v>242019.8054</v>
      </c>
      <c r="K2" s="26">
        <v>1.3</v>
      </c>
      <c r="L2" s="1" t="s">
        <v>121</v>
      </c>
      <c r="M2">
        <f>sum(S:S)+0.008*$I$3+0.008*$I$4</f>
        <v>50422.47086</v>
      </c>
    </row>
    <row r="3">
      <c r="A3" s="1" t="s">
        <v>112</v>
      </c>
      <c r="B3" s="11">
        <f>Illy!B3</f>
        <v>17488</v>
      </c>
      <c r="C3" s="64">
        <f>Illy!C3</f>
        <v>12.51</v>
      </c>
      <c r="D3" s="64">
        <f>Illy!D3</f>
        <v>14.764</v>
      </c>
      <c r="E3" s="64">
        <f>Illy!E3</f>
        <v>0.687</v>
      </c>
      <c r="F3" s="11">
        <f>Illy!F3</f>
        <v>810.5</v>
      </c>
      <c r="G3" s="64">
        <f>Illy!G3</f>
        <v>0.597</v>
      </c>
      <c r="H3" s="21" t="s">
        <v>12</v>
      </c>
      <c r="I3" s="47">
        <f>sum(Q10:Q999)+(1/12)*I2</f>
        <v>6910.855983</v>
      </c>
      <c r="J3">
        <f t="shared" si="1"/>
        <v>220926.2441</v>
      </c>
      <c r="N3" s="46" t="s">
        <v>124</v>
      </c>
      <c r="P3">
        <f>(20*1.08*I3+20*1.13*I2+15*I4)-(110*1.08*I3)</f>
        <v>-371303.4615</v>
      </c>
    </row>
    <row r="4">
      <c r="A4" s="1" t="s">
        <v>113</v>
      </c>
      <c r="B4" s="11">
        <f>Illy!B4</f>
        <v>18341</v>
      </c>
      <c r="C4" s="64">
        <f>Illy!C4</f>
        <v>15.2265</v>
      </c>
      <c r="D4" s="64">
        <f>Illy!D4</f>
        <v>16.8455</v>
      </c>
      <c r="E4" s="64">
        <f>Illy!E4</f>
        <v>1.247</v>
      </c>
      <c r="F4" s="11">
        <f>Illy!F4</f>
        <v>864.8</v>
      </c>
      <c r="G4" s="64">
        <f>Illy!G4</f>
        <v>0.628</v>
      </c>
      <c r="H4" s="21" t="s">
        <v>13</v>
      </c>
      <c r="I4" s="47">
        <f>sum(R10:R999)</f>
        <v>8622.276993</v>
      </c>
      <c r="J4">
        <f>I4*60</f>
        <v>517336.6196</v>
      </c>
      <c r="K4">
        <f>I4*13.1+(I3+I2)*4.5*1.08+(397-60)*I6</f>
        <v>273738.8004</v>
      </c>
      <c r="L4">
        <f>1.08*(12*6*I2+12*4*I3)</f>
        <v>946955.598</v>
      </c>
      <c r="N4" s="46" t="s">
        <v>125</v>
      </c>
      <c r="O4" s="102">
        <f>48*(I2*1.13+I3*1.08)-44*1.08*I3</f>
        <v>440489.1021</v>
      </c>
      <c r="V4" s="1"/>
      <c r="W4" s="1"/>
      <c r="X4" s="1"/>
    </row>
    <row r="5">
      <c r="A5" s="1" t="s">
        <v>114</v>
      </c>
      <c r="B5" s="11">
        <f>Illy!B5</f>
        <v>25166</v>
      </c>
      <c r="C5" s="64">
        <f>Illy!C5</f>
        <v>17.563</v>
      </c>
      <c r="D5" s="64">
        <f>Illy!D5</f>
        <v>23.926</v>
      </c>
      <c r="E5" s="64">
        <f>Illy!E5</f>
        <v>2.068</v>
      </c>
      <c r="F5" s="11">
        <f>Illy!F5</f>
        <v>864.8</v>
      </c>
      <c r="G5" s="64">
        <f>Illy!G5</f>
        <v>0.741</v>
      </c>
      <c r="H5" s="21" t="str">
        <f>B1</f>
        <v>Agility</v>
      </c>
      <c r="I5" s="47">
        <f>SUM(S10:S999)/500+0.008*I$2+0.008*I$3</f>
        <v>216.4376015</v>
      </c>
      <c r="K5">
        <f>C13*(288.7/266.8-1)</f>
        <v>158060.1439</v>
      </c>
      <c r="L5">
        <f>19.7*(I2*1.13+I3*1.08)+2.5*I2*1.13+K5</f>
        <v>495013.8353</v>
      </c>
      <c r="N5" s="46" t="s">
        <v>126</v>
      </c>
      <c r="V5" s="1"/>
      <c r="X5" s="48"/>
    </row>
    <row r="6">
      <c r="A6" s="9"/>
      <c r="H6" s="1" t="s">
        <v>128</v>
      </c>
      <c r="I6" s="47">
        <f>SUM(S10:S999)/500+0.008*I$2+(0.008+0.0075)*I$3</f>
        <v>268.2690214</v>
      </c>
      <c r="J6">
        <f>I3*(50+110*0.5)</f>
        <v>725639.8782</v>
      </c>
      <c r="K6" s="84" t="s">
        <v>661</v>
      </c>
      <c r="L6" s="79">
        <v>360228.2273268752</v>
      </c>
      <c r="N6" s="46" t="s">
        <v>127</v>
      </c>
      <c r="O6" s="1"/>
      <c r="P6" s="1"/>
      <c r="V6" s="1"/>
    </row>
    <row r="7">
      <c r="A7" s="49"/>
      <c r="B7" s="49"/>
      <c r="C7" s="49"/>
      <c r="D7" s="49">
        <f>((50186+15370)*0.5/(0.5*(46528+15899)))^-1</f>
        <v>0.9522698151</v>
      </c>
      <c r="E7" s="49">
        <f>D7*C13</f>
        <v>1833682.338</v>
      </c>
      <c r="F7" s="49">
        <f>E7/1.028*1.04</f>
        <v>1855087.19</v>
      </c>
      <c r="G7" s="49"/>
      <c r="H7" s="49"/>
      <c r="I7" s="49">
        <f>I3*1.08*0.0075*15036</f>
        <v>841684.2075</v>
      </c>
      <c r="J7" s="49">
        <f>54*(I2*1.13+I3*(1+0.08+0.05*2/3))</f>
        <v>877444.1415</v>
      </c>
      <c r="K7" s="103" t="s">
        <v>662</v>
      </c>
      <c r="L7" s="104">
        <v>368605.37813877524</v>
      </c>
      <c r="M7" s="49"/>
      <c r="N7" s="49"/>
      <c r="O7" s="50"/>
      <c r="P7" s="50"/>
      <c r="Q7" s="51"/>
      <c r="R7" s="1"/>
      <c r="S7" s="1">
        <f>(floor((log($B$2,2)*0.28-1.2)*100,0.001)/100)</f>
        <v>2.79369</v>
      </c>
      <c r="V7" s="1"/>
    </row>
    <row r="8">
      <c r="A8" s="9"/>
      <c r="K8" s="84"/>
      <c r="L8" s="82"/>
      <c r="V8" s="1"/>
    </row>
    <row r="9">
      <c r="A9" s="9" t="s">
        <v>663</v>
      </c>
      <c r="K9" s="84"/>
      <c r="L9" s="82"/>
      <c r="S9">
        <f>(log($B$2,2)*0.28-1.2)</f>
        <v>2.793694765</v>
      </c>
      <c r="V9" s="1"/>
    </row>
    <row r="10">
      <c r="A10" s="49" t="s">
        <v>131</v>
      </c>
      <c r="B10" s="49" t="s">
        <v>89</v>
      </c>
      <c r="C10" s="49" t="s">
        <v>132</v>
      </c>
      <c r="D10" s="49" t="s">
        <v>111</v>
      </c>
      <c r="E10" s="49" t="s">
        <v>133</v>
      </c>
      <c r="F10" s="49" t="s">
        <v>134</v>
      </c>
      <c r="G10" s="49" t="s">
        <v>135</v>
      </c>
      <c r="H10" s="49" t="s">
        <v>136</v>
      </c>
      <c r="I10" s="49" t="s">
        <v>137</v>
      </c>
      <c r="J10" s="49" t="s">
        <v>138</v>
      </c>
      <c r="K10" s="49" t="s">
        <v>28</v>
      </c>
      <c r="L10" s="49" t="s">
        <v>139</v>
      </c>
      <c r="M10" s="49" t="s">
        <v>140</v>
      </c>
      <c r="N10" s="49" t="s">
        <v>141</v>
      </c>
      <c r="O10" s="50"/>
      <c r="P10" s="50" t="s">
        <v>142</v>
      </c>
      <c r="Q10" s="51" t="s">
        <v>143</v>
      </c>
      <c r="R10" s="1" t="s">
        <v>144</v>
      </c>
      <c r="S10" s="1" t="s">
        <v>37</v>
      </c>
      <c r="V10" s="1"/>
    </row>
    <row r="11">
      <c r="A11" s="1" t="s">
        <v>146</v>
      </c>
      <c r="B11" s="52">
        <v>1.1291633434E10</v>
      </c>
      <c r="C11" s="53">
        <v>1.860236151E7</v>
      </c>
      <c r="D11" s="53">
        <v>1751456.0</v>
      </c>
      <c r="E11" s="52">
        <v>41986.0</v>
      </c>
      <c r="F11" s="52">
        <v>3.02348197E8</v>
      </c>
      <c r="G11" s="52">
        <v>6447.0</v>
      </c>
      <c r="H11" s="52">
        <v>6447.0</v>
      </c>
      <c r="I11" s="1">
        <v>100.0</v>
      </c>
      <c r="J11" s="1">
        <v>1.01</v>
      </c>
      <c r="K11" s="26">
        <v>0.97</v>
      </c>
      <c r="L11" s="1" t="s">
        <v>664</v>
      </c>
      <c r="M11" s="1" t="s">
        <v>146</v>
      </c>
      <c r="N11" s="1">
        <v>100.0</v>
      </c>
      <c r="O11" s="11"/>
      <c r="P11" s="11" t="str">
        <f t="shared" ref="P11:P49" si="2">if($N11&lt;4,$C11*(($K$2+C$2+1%)/($K$2+C$2)-1),"")</f>
        <v/>
      </c>
      <c r="Q11" s="11" t="str">
        <f>if($N11=2,$C11*((1.5+D$2+1%)/(1.5+D$2)-1),"")</f>
        <v/>
      </c>
      <c r="R11" s="11" t="str">
        <f t="shared" ref="R11:R49" si="3">if($N11=1,$C11*((1+E$2+1%)/(1+E$2)-1),"")</f>
        <v/>
      </c>
      <c r="S11" s="55" t="str">
        <f>if($N11&lt;3,C11*((floor((log($B$2+500,2)*0.28-1.2)*100,0.001)/100)/(floor((log($B$2,2)*0.28-1.2)*100,0.001)/100)-1),"")</f>
        <v/>
      </c>
      <c r="V11" s="1"/>
      <c r="X11" s="56"/>
    </row>
    <row r="12">
      <c r="A12" s="1" t="s">
        <v>248</v>
      </c>
      <c r="B12" s="52">
        <v>3.359186085E9</v>
      </c>
      <c r="C12" s="53">
        <v>5534079.22</v>
      </c>
      <c r="D12" s="53">
        <v>1.855904E7</v>
      </c>
      <c r="E12" s="52">
        <v>397916.0</v>
      </c>
      <c r="F12" s="52">
        <v>3.02348197E8</v>
      </c>
      <c r="G12" s="52">
        <v>181.0</v>
      </c>
      <c r="H12" s="52">
        <v>181.0</v>
      </c>
      <c r="I12" s="1">
        <v>100.0</v>
      </c>
      <c r="J12" s="1">
        <v>8.49</v>
      </c>
      <c r="K12" s="26">
        <v>0.0</v>
      </c>
      <c r="L12" s="1" t="s">
        <v>149</v>
      </c>
      <c r="M12" s="1" t="s">
        <v>182</v>
      </c>
      <c r="N12" s="1">
        <v>4.0</v>
      </c>
      <c r="O12" s="11"/>
      <c r="P12" s="11" t="str">
        <f t="shared" si="2"/>
        <v/>
      </c>
      <c r="Q12" s="11" t="str">
        <f t="shared" ref="Q12:Q51" si="4">if(OR($N12=2,$N12=5),$C12*((1.5+D$2+1%)/(1.5+D$2)-1),"")</f>
        <v/>
      </c>
      <c r="R12" s="11" t="str">
        <f t="shared" si="3"/>
        <v/>
      </c>
      <c r="S12" s="55" t="str">
        <f t="shared" ref="S12:S51" si="5">if(OR($N12&lt;3,$N12=5),C12*((floor((log($B$2+500,2)*0.28-1.2)*100,0.001)/100)/(floor((log($B$2,2)*0.28-1.2)*100,0.001)/100)-1),"")</f>
        <v/>
      </c>
      <c r="V12" s="1"/>
    </row>
    <row r="13">
      <c r="A13" s="1" t="s">
        <v>258</v>
      </c>
      <c r="B13" s="52">
        <v>1.168833836E9</v>
      </c>
      <c r="C13" s="53">
        <v>1925591.16</v>
      </c>
      <c r="D13" s="53">
        <v>1627902.0</v>
      </c>
      <c r="E13" s="52">
        <v>417475.0</v>
      </c>
      <c r="F13" s="52">
        <v>6783294.0</v>
      </c>
      <c r="G13" s="52">
        <v>718.0</v>
      </c>
      <c r="H13" s="52">
        <v>718.0</v>
      </c>
      <c r="I13" s="1">
        <v>100.0</v>
      </c>
      <c r="J13" s="1">
        <v>3.65</v>
      </c>
      <c r="K13" s="26">
        <v>1.0</v>
      </c>
      <c r="L13" s="1" t="s">
        <v>665</v>
      </c>
      <c r="M13" s="1" t="s">
        <v>190</v>
      </c>
      <c r="N13" s="1">
        <v>1.0</v>
      </c>
      <c r="O13" s="11"/>
      <c r="P13" s="11">
        <f t="shared" si="2"/>
        <v>1143.917041</v>
      </c>
      <c r="Q13" s="11" t="str">
        <f t="shared" si="4"/>
        <v/>
      </c>
      <c r="R13" s="11">
        <f t="shared" si="3"/>
        <v>8319.685288</v>
      </c>
      <c r="S13" s="55">
        <f t="shared" si="5"/>
        <v>6989.141373</v>
      </c>
      <c r="V13" s="1"/>
    </row>
    <row r="14">
      <c r="A14" s="1" t="s">
        <v>264</v>
      </c>
      <c r="B14" s="52">
        <v>6.48247142E8</v>
      </c>
      <c r="C14" s="53">
        <v>1067952.46</v>
      </c>
      <c r="D14" s="53">
        <v>2298749.0</v>
      </c>
      <c r="E14" s="52">
        <v>1529682.0</v>
      </c>
      <c r="F14" s="52">
        <v>7875316.0</v>
      </c>
      <c r="G14" s="52">
        <v>282.0</v>
      </c>
      <c r="H14" s="52">
        <v>282.0</v>
      </c>
      <c r="I14" s="1">
        <v>100.0</v>
      </c>
      <c r="J14" s="1">
        <v>3.68</v>
      </c>
      <c r="K14" s="26">
        <v>1.0</v>
      </c>
      <c r="L14" s="1" t="s">
        <v>666</v>
      </c>
      <c r="M14" s="1" t="s">
        <v>182</v>
      </c>
      <c r="N14" s="1">
        <v>2.0</v>
      </c>
      <c r="O14" s="11"/>
      <c r="P14" s="11">
        <f t="shared" si="2"/>
        <v>634.4280359</v>
      </c>
      <c r="Q14" s="11">
        <f t="shared" si="4"/>
        <v>565.461481</v>
      </c>
      <c r="R14" s="11" t="str">
        <f t="shared" si="3"/>
        <v/>
      </c>
      <c r="S14" s="55">
        <f t="shared" si="5"/>
        <v>3876.248955</v>
      </c>
      <c r="V14" s="1"/>
    </row>
    <row r="15">
      <c r="A15" s="1" t="s">
        <v>279</v>
      </c>
      <c r="B15" s="52">
        <v>5.72141304E8</v>
      </c>
      <c r="C15" s="53">
        <v>942572.16</v>
      </c>
      <c r="D15" s="53">
        <v>1.63469E7</v>
      </c>
      <c r="E15" s="52">
        <v>1.1470643E7</v>
      </c>
      <c r="F15" s="52">
        <v>5.1871799E7</v>
      </c>
      <c r="G15" s="52">
        <v>35.0</v>
      </c>
      <c r="H15" s="52">
        <v>35.0</v>
      </c>
      <c r="I15" s="1">
        <v>100.0</v>
      </c>
      <c r="J15" s="1">
        <v>17.15</v>
      </c>
      <c r="K15" s="26">
        <v>1.0</v>
      </c>
      <c r="L15" s="1" t="s">
        <v>667</v>
      </c>
      <c r="M15" s="1" t="s">
        <v>193</v>
      </c>
      <c r="N15" s="1">
        <v>2.0</v>
      </c>
      <c r="O15" s="11"/>
      <c r="P15" s="11">
        <f t="shared" si="2"/>
        <v>559.9445917</v>
      </c>
      <c r="Q15" s="11">
        <f t="shared" si="4"/>
        <v>499.0748835</v>
      </c>
      <c r="R15" s="11" t="str">
        <f t="shared" si="3"/>
        <v/>
      </c>
      <c r="S15" s="55">
        <f t="shared" si="5"/>
        <v>3421.167596</v>
      </c>
    </row>
    <row r="16">
      <c r="A16" s="1" t="s">
        <v>281</v>
      </c>
      <c r="B16" s="52">
        <v>5.64822954E8</v>
      </c>
      <c r="C16" s="53">
        <v>930515.57</v>
      </c>
      <c r="D16" s="53">
        <v>3120569.0</v>
      </c>
      <c r="E16" s="52">
        <v>1463840.0</v>
      </c>
      <c r="F16" s="52">
        <v>1.4150034E7</v>
      </c>
      <c r="G16" s="1">
        <v>181.0</v>
      </c>
      <c r="H16" s="1">
        <v>181.0</v>
      </c>
      <c r="I16" s="1">
        <v>100.0</v>
      </c>
      <c r="J16" s="1">
        <v>5.16</v>
      </c>
      <c r="K16" s="26">
        <v>1.0</v>
      </c>
      <c r="L16" s="1" t="s">
        <v>668</v>
      </c>
      <c r="M16" s="1" t="s">
        <v>182</v>
      </c>
      <c r="N16" s="1">
        <v>2.0</v>
      </c>
      <c r="O16" s="11"/>
      <c r="P16" s="11">
        <f t="shared" si="2"/>
        <v>552.7822516</v>
      </c>
      <c r="Q16" s="11">
        <f t="shared" si="4"/>
        <v>492.6911375</v>
      </c>
      <c r="R16" s="11" t="str">
        <f t="shared" si="3"/>
        <v/>
      </c>
      <c r="S16" s="55">
        <f t="shared" si="5"/>
        <v>3377.406899</v>
      </c>
    </row>
    <row r="17">
      <c r="A17" s="1" t="s">
        <v>285</v>
      </c>
      <c r="B17" s="52">
        <v>5.42122615E8</v>
      </c>
      <c r="C17" s="53">
        <v>893117.98</v>
      </c>
      <c r="D17" s="53">
        <v>1936152.0</v>
      </c>
      <c r="E17" s="52">
        <v>882771.0</v>
      </c>
      <c r="F17" s="52">
        <v>5106663.0</v>
      </c>
      <c r="G17" s="1">
        <v>280.0</v>
      </c>
      <c r="H17" s="1">
        <v>280.0</v>
      </c>
      <c r="I17" s="1">
        <v>100.0</v>
      </c>
      <c r="J17" s="1">
        <v>2.89</v>
      </c>
      <c r="K17" s="26">
        <v>1.0</v>
      </c>
      <c r="L17" s="1" t="s">
        <v>669</v>
      </c>
      <c r="M17" s="1" t="s">
        <v>182</v>
      </c>
      <c r="N17" s="1">
        <v>2.0</v>
      </c>
      <c r="O17" s="11"/>
      <c r="P17" s="11">
        <f t="shared" si="2"/>
        <v>530.5658324</v>
      </c>
      <c r="Q17" s="11">
        <f t="shared" si="4"/>
        <v>472.8897911</v>
      </c>
      <c r="R17" s="11" t="str">
        <f t="shared" si="3"/>
        <v/>
      </c>
      <c r="S17" s="55">
        <f t="shared" si="5"/>
        <v>3241.668301</v>
      </c>
    </row>
    <row r="18">
      <c r="A18" s="1" t="s">
        <v>277</v>
      </c>
      <c r="B18" s="52">
        <v>4.14083713E8</v>
      </c>
      <c r="C18" s="53">
        <v>682180.75</v>
      </c>
      <c r="D18" s="53">
        <v>1.335754E7</v>
      </c>
      <c r="E18" s="52">
        <v>7202008.0</v>
      </c>
      <c r="F18" s="52">
        <v>2.4175893E7</v>
      </c>
      <c r="G18" s="1">
        <v>31.0</v>
      </c>
      <c r="H18" s="1">
        <v>31.0</v>
      </c>
      <c r="I18" s="1">
        <v>100.0</v>
      </c>
      <c r="J18" s="1">
        <v>32.39</v>
      </c>
      <c r="K18" s="26">
        <v>1.0</v>
      </c>
      <c r="L18" s="1" t="s">
        <v>670</v>
      </c>
      <c r="M18" s="1" t="s">
        <v>182</v>
      </c>
      <c r="N18" s="1">
        <v>2.0</v>
      </c>
      <c r="O18" s="11"/>
      <c r="P18" s="11">
        <f t="shared" si="2"/>
        <v>405.2564225</v>
      </c>
      <c r="Q18" s="11">
        <f t="shared" si="4"/>
        <v>361.202349</v>
      </c>
      <c r="R18" s="11" t="str">
        <f t="shared" si="3"/>
        <v/>
      </c>
      <c r="S18" s="55">
        <f t="shared" si="5"/>
        <v>2476.048812</v>
      </c>
      <c r="V18" s="1"/>
      <c r="W18" s="1"/>
      <c r="X18" s="1"/>
    </row>
    <row r="19">
      <c r="A19" s="1" t="s">
        <v>305</v>
      </c>
      <c r="B19" s="52">
        <v>4.13588814E8</v>
      </c>
      <c r="C19" s="53">
        <v>681365.43</v>
      </c>
      <c r="D19" s="53">
        <v>820612.7</v>
      </c>
      <c r="E19" s="52">
        <v>520031.0</v>
      </c>
      <c r="F19" s="52">
        <v>3128731.0</v>
      </c>
      <c r="G19" s="1">
        <v>504.0</v>
      </c>
      <c r="H19" s="1">
        <v>504.0</v>
      </c>
      <c r="I19" s="1">
        <v>100.0</v>
      </c>
      <c r="J19" s="1">
        <v>5.29</v>
      </c>
      <c r="K19" s="26">
        <v>1.0</v>
      </c>
      <c r="L19" s="1" t="s">
        <v>671</v>
      </c>
      <c r="M19" s="1" t="s">
        <v>182</v>
      </c>
      <c r="N19" s="1">
        <v>2.0</v>
      </c>
      <c r="O19" s="11"/>
      <c r="P19" s="11">
        <f t="shared" si="2"/>
        <v>404.7720734</v>
      </c>
      <c r="Q19" s="11">
        <f t="shared" si="4"/>
        <v>360.7706519</v>
      </c>
      <c r="R19" s="11" t="str">
        <f t="shared" si="3"/>
        <v/>
      </c>
      <c r="S19" s="55">
        <f t="shared" si="5"/>
        <v>2473.08952</v>
      </c>
      <c r="V19" s="1"/>
      <c r="W19" s="58"/>
      <c r="X19" s="58"/>
    </row>
    <row r="20">
      <c r="A20" s="1" t="s">
        <v>267</v>
      </c>
      <c r="B20" s="52">
        <v>3.50076567E8</v>
      </c>
      <c r="C20" s="53">
        <v>576732.4</v>
      </c>
      <c r="D20" s="53">
        <v>2632155.0</v>
      </c>
      <c r="E20" s="52">
        <v>1426541.0</v>
      </c>
      <c r="F20" s="52">
        <v>7814391.0</v>
      </c>
      <c r="G20" s="1">
        <v>133.0</v>
      </c>
      <c r="H20" s="1">
        <v>133.0</v>
      </c>
      <c r="I20" s="1">
        <v>100.0</v>
      </c>
      <c r="J20" s="1">
        <v>8.57</v>
      </c>
      <c r="K20" s="26">
        <v>1.0</v>
      </c>
      <c r="L20" s="1" t="s">
        <v>672</v>
      </c>
      <c r="M20" s="1" t="s">
        <v>182</v>
      </c>
      <c r="N20" s="1">
        <v>2.0</v>
      </c>
      <c r="O20" s="11"/>
      <c r="P20" s="11">
        <f t="shared" si="2"/>
        <v>342.6137562</v>
      </c>
      <c r="Q20" s="11">
        <f t="shared" si="4"/>
        <v>305.369358</v>
      </c>
      <c r="R20" s="11" t="str">
        <f t="shared" si="3"/>
        <v/>
      </c>
      <c r="S20" s="55">
        <f t="shared" si="5"/>
        <v>2093.312621</v>
      </c>
      <c r="V20" s="1"/>
      <c r="W20" s="58"/>
      <c r="X20" s="58"/>
    </row>
    <row r="21">
      <c r="A21" s="1" t="s">
        <v>324</v>
      </c>
      <c r="B21" s="52">
        <v>2.68481409E8</v>
      </c>
      <c r="C21" s="53">
        <v>442308.75</v>
      </c>
      <c r="D21" s="53">
        <v>1917724.0</v>
      </c>
      <c r="E21" s="52">
        <v>1050514.0</v>
      </c>
      <c r="F21" s="52">
        <v>6921476.0</v>
      </c>
      <c r="G21" s="1">
        <v>140.0</v>
      </c>
      <c r="H21" s="1">
        <v>140.0</v>
      </c>
      <c r="I21" s="1">
        <v>100.0</v>
      </c>
      <c r="J21" s="1">
        <v>6.94</v>
      </c>
      <c r="K21" s="26">
        <v>1.0</v>
      </c>
      <c r="L21" s="1" t="s">
        <v>673</v>
      </c>
      <c r="M21" s="1" t="s">
        <v>182</v>
      </c>
      <c r="N21" s="1">
        <v>2.0</v>
      </c>
      <c r="O21" s="11"/>
      <c r="P21" s="11">
        <f t="shared" si="2"/>
        <v>262.7580178</v>
      </c>
      <c r="Q21" s="11">
        <f t="shared" si="4"/>
        <v>234.1944705</v>
      </c>
      <c r="R21" s="11" t="str">
        <f t="shared" si="3"/>
        <v/>
      </c>
      <c r="S21" s="55">
        <f t="shared" si="5"/>
        <v>1605.407445</v>
      </c>
      <c r="V21" s="1"/>
      <c r="W21" s="58"/>
      <c r="X21" s="58"/>
    </row>
    <row r="22">
      <c r="A22" s="1" t="s">
        <v>176</v>
      </c>
      <c r="B22" s="52">
        <v>2.50450053E8</v>
      </c>
      <c r="C22" s="53">
        <v>412603.05</v>
      </c>
      <c r="D22" s="53">
        <v>938015.2</v>
      </c>
      <c r="E22" s="52">
        <v>357917.0</v>
      </c>
      <c r="F22" s="52">
        <v>4073371.0</v>
      </c>
      <c r="G22" s="1">
        <v>267.0</v>
      </c>
      <c r="H22" s="1">
        <v>267.0</v>
      </c>
      <c r="I22" s="1">
        <v>100.0</v>
      </c>
      <c r="J22" s="1">
        <v>2.75</v>
      </c>
      <c r="K22" s="26">
        <v>1.0</v>
      </c>
      <c r="L22" s="1" t="s">
        <v>674</v>
      </c>
      <c r="M22" s="1" t="s">
        <v>156</v>
      </c>
      <c r="N22" s="1">
        <v>3.0</v>
      </c>
      <c r="O22" s="11"/>
      <c r="P22" s="11">
        <f t="shared" si="2"/>
        <v>245.1110442</v>
      </c>
      <c r="Q22" s="11" t="str">
        <f t="shared" si="4"/>
        <v/>
      </c>
      <c r="R22" s="11" t="str">
        <f t="shared" si="3"/>
        <v/>
      </c>
      <c r="S22" s="55" t="str">
        <f t="shared" si="5"/>
        <v/>
      </c>
      <c r="V22" s="1"/>
      <c r="W22" s="58"/>
      <c r="X22" s="58"/>
    </row>
    <row r="23">
      <c r="A23" s="1" t="s">
        <v>174</v>
      </c>
      <c r="B23" s="52">
        <v>2.39618795E8</v>
      </c>
      <c r="C23" s="53">
        <v>394759.14</v>
      </c>
      <c r="D23" s="53">
        <v>1274568.0</v>
      </c>
      <c r="E23" s="52">
        <v>559133.0</v>
      </c>
      <c r="F23" s="52">
        <v>4427402.0</v>
      </c>
      <c r="G23" s="1">
        <v>188.0</v>
      </c>
      <c r="H23" s="1">
        <v>188.0</v>
      </c>
      <c r="I23" s="1">
        <v>100.0</v>
      </c>
      <c r="J23" s="1">
        <v>3.43</v>
      </c>
      <c r="K23" s="26">
        <v>1.0</v>
      </c>
      <c r="L23" s="1" t="s">
        <v>675</v>
      </c>
      <c r="M23" s="1" t="s">
        <v>150</v>
      </c>
      <c r="N23" s="1">
        <v>3.0</v>
      </c>
      <c r="O23" s="11"/>
      <c r="P23" s="11">
        <f t="shared" si="2"/>
        <v>234.5106877</v>
      </c>
      <c r="Q23" s="11" t="str">
        <f t="shared" si="4"/>
        <v/>
      </c>
      <c r="R23" s="11" t="str">
        <f t="shared" si="3"/>
        <v/>
      </c>
      <c r="S23" s="55" t="str">
        <f t="shared" si="5"/>
        <v/>
      </c>
      <c r="V23" s="1"/>
      <c r="W23" s="58"/>
      <c r="X23" s="58"/>
    </row>
    <row r="24">
      <c r="A24" s="1" t="s">
        <v>336</v>
      </c>
      <c r="B24" s="52">
        <v>2.22549857E8</v>
      </c>
      <c r="C24" s="53">
        <v>366638.97</v>
      </c>
      <c r="D24" s="53">
        <v>616481.6</v>
      </c>
      <c r="E24" s="52">
        <v>298715.0</v>
      </c>
      <c r="F24" s="52">
        <v>3041868.0</v>
      </c>
      <c r="G24" s="1">
        <v>361.0</v>
      </c>
      <c r="H24" s="1">
        <v>361.0</v>
      </c>
      <c r="I24" s="1">
        <v>100.0</v>
      </c>
      <c r="J24" s="1">
        <v>2.47</v>
      </c>
      <c r="K24" s="26">
        <v>1.0</v>
      </c>
      <c r="L24" s="1" t="s">
        <v>676</v>
      </c>
      <c r="M24" s="1" t="s">
        <v>182</v>
      </c>
      <c r="N24" s="1">
        <v>2.0</v>
      </c>
      <c r="O24" s="11"/>
      <c r="P24" s="11">
        <f t="shared" si="2"/>
        <v>217.8056143</v>
      </c>
      <c r="Q24" s="11">
        <f t="shared" si="4"/>
        <v>194.1286927</v>
      </c>
      <c r="R24" s="11" t="str">
        <f t="shared" si="3"/>
        <v/>
      </c>
      <c r="S24" s="55">
        <f t="shared" si="5"/>
        <v>1330.755795</v>
      </c>
    </row>
    <row r="25">
      <c r="A25" s="1" t="s">
        <v>228</v>
      </c>
      <c r="B25" s="52">
        <v>1.96352939E8</v>
      </c>
      <c r="C25" s="53">
        <v>323480.95</v>
      </c>
      <c r="D25" s="53">
        <v>4789096.0</v>
      </c>
      <c r="E25" s="52">
        <v>2895533.0</v>
      </c>
      <c r="F25" s="52">
        <v>7163908.0</v>
      </c>
      <c r="G25" s="1">
        <v>41.0</v>
      </c>
      <c r="H25" s="1">
        <v>41.0</v>
      </c>
      <c r="I25" s="1">
        <v>100.0</v>
      </c>
      <c r="J25" s="1">
        <v>14.82</v>
      </c>
      <c r="K25" s="26">
        <v>0.0</v>
      </c>
      <c r="L25" s="1" t="s">
        <v>149</v>
      </c>
      <c r="M25" s="1" t="s">
        <v>193</v>
      </c>
      <c r="N25" s="1">
        <v>4.0</v>
      </c>
      <c r="O25" s="11"/>
      <c r="P25" s="11" t="str">
        <f t="shared" si="2"/>
        <v/>
      </c>
      <c r="Q25" s="11" t="str">
        <f t="shared" si="4"/>
        <v/>
      </c>
      <c r="R25" s="11" t="str">
        <f t="shared" si="3"/>
        <v/>
      </c>
      <c r="S25" s="55" t="str">
        <f t="shared" si="5"/>
        <v/>
      </c>
    </row>
    <row r="26">
      <c r="A26" s="1" t="s">
        <v>342</v>
      </c>
      <c r="B26" s="52">
        <v>1.77616678E8</v>
      </c>
      <c r="C26" s="53">
        <v>292613.97</v>
      </c>
      <c r="D26" s="53">
        <v>3700347.0</v>
      </c>
      <c r="E26" s="52">
        <v>2152178.0</v>
      </c>
      <c r="F26" s="52">
        <v>7904696.0</v>
      </c>
      <c r="G26" s="1">
        <v>48.0</v>
      </c>
      <c r="H26" s="1">
        <v>48.0</v>
      </c>
      <c r="I26" s="1">
        <v>100.0</v>
      </c>
      <c r="J26" s="1">
        <v>20.21</v>
      </c>
      <c r="K26" s="26">
        <v>1.0</v>
      </c>
      <c r="L26" s="1" t="s">
        <v>677</v>
      </c>
      <c r="M26" s="1" t="s">
        <v>182</v>
      </c>
      <c r="N26" s="1">
        <v>2.0</v>
      </c>
      <c r="O26" s="11"/>
      <c r="P26" s="11">
        <f t="shared" si="2"/>
        <v>173.8303091</v>
      </c>
      <c r="Q26" s="11">
        <f t="shared" si="4"/>
        <v>154.9337963</v>
      </c>
      <c r="R26" s="11" t="str">
        <f t="shared" si="3"/>
        <v/>
      </c>
      <c r="S26" s="55">
        <f t="shared" si="5"/>
        <v>1062.074051</v>
      </c>
    </row>
    <row r="27">
      <c r="A27" s="1" t="s">
        <v>180</v>
      </c>
      <c r="B27" s="52">
        <v>1.72605173E8</v>
      </c>
      <c r="C27" s="53">
        <v>284357.78</v>
      </c>
      <c r="D27" s="53">
        <v>841976.4</v>
      </c>
      <c r="E27" s="52">
        <v>484135.0</v>
      </c>
      <c r="F27" s="52">
        <v>2533029.0</v>
      </c>
      <c r="G27" s="1">
        <v>205.0</v>
      </c>
      <c r="H27" s="1">
        <v>205.0</v>
      </c>
      <c r="I27" s="1">
        <v>100.0</v>
      </c>
      <c r="J27" s="1">
        <v>3.92</v>
      </c>
      <c r="K27" s="26">
        <v>1.0</v>
      </c>
      <c r="L27" s="1" t="s">
        <v>678</v>
      </c>
      <c r="M27" s="1" t="s">
        <v>182</v>
      </c>
      <c r="N27" s="1">
        <v>3.0</v>
      </c>
      <c r="O27" s="11"/>
      <c r="P27" s="11">
        <f t="shared" si="2"/>
        <v>168.9256354</v>
      </c>
      <c r="Q27" s="11" t="str">
        <f t="shared" si="4"/>
        <v/>
      </c>
      <c r="R27" s="11" t="str">
        <f t="shared" si="3"/>
        <v/>
      </c>
      <c r="S27" s="55" t="str">
        <f t="shared" si="5"/>
        <v/>
      </c>
    </row>
    <row r="28">
      <c r="A28" s="1" t="s">
        <v>356</v>
      </c>
      <c r="B28" s="52">
        <v>1.6603486E8</v>
      </c>
      <c r="C28" s="53">
        <v>273533.54</v>
      </c>
      <c r="D28" s="53">
        <v>4612080.0</v>
      </c>
      <c r="E28" s="52">
        <v>2625136.0</v>
      </c>
      <c r="F28" s="52">
        <v>9173069.0</v>
      </c>
      <c r="G28" s="1">
        <v>36.0</v>
      </c>
      <c r="H28" s="1">
        <v>36.0</v>
      </c>
      <c r="I28" s="1">
        <v>100.0</v>
      </c>
      <c r="J28" s="1">
        <v>27.38</v>
      </c>
      <c r="K28" s="26">
        <v>1.0</v>
      </c>
      <c r="L28" s="1" t="s">
        <v>679</v>
      </c>
      <c r="M28" s="1" t="s">
        <v>182</v>
      </c>
      <c r="N28" s="1">
        <v>2.0</v>
      </c>
      <c r="O28" s="11"/>
      <c r="P28" s="11">
        <f t="shared" si="2"/>
        <v>162.4953854</v>
      </c>
      <c r="Q28" s="11">
        <f t="shared" si="4"/>
        <v>144.8310542</v>
      </c>
      <c r="R28" s="11" t="str">
        <f t="shared" si="3"/>
        <v/>
      </c>
      <c r="S28" s="55">
        <f t="shared" si="5"/>
        <v>992.8195668</v>
      </c>
    </row>
    <row r="29">
      <c r="A29" s="1" t="s">
        <v>358</v>
      </c>
      <c r="B29" s="52">
        <v>1.49887499E8</v>
      </c>
      <c r="C29" s="53">
        <v>246931.63</v>
      </c>
      <c r="D29" s="53">
        <v>392375.7</v>
      </c>
      <c r="E29" s="52">
        <v>122398.0</v>
      </c>
      <c r="F29" s="52">
        <v>2476774.0</v>
      </c>
      <c r="G29" s="1">
        <v>382.0</v>
      </c>
      <c r="H29" s="1">
        <v>382.0</v>
      </c>
      <c r="I29" s="1">
        <v>100.0</v>
      </c>
      <c r="J29" s="1">
        <v>2.55</v>
      </c>
      <c r="K29" s="26">
        <v>1.0</v>
      </c>
      <c r="L29" s="1" t="s">
        <v>680</v>
      </c>
      <c r="M29" s="1" t="s">
        <v>182</v>
      </c>
      <c r="N29" s="1">
        <v>2.0</v>
      </c>
      <c r="O29" s="11"/>
      <c r="P29" s="11">
        <f t="shared" si="2"/>
        <v>146.6922498</v>
      </c>
      <c r="Q29" s="11">
        <f t="shared" si="4"/>
        <v>130.7458248</v>
      </c>
      <c r="R29" s="11" t="str">
        <f t="shared" si="3"/>
        <v/>
      </c>
      <c r="S29" s="55">
        <f t="shared" si="5"/>
        <v>896.2650574</v>
      </c>
    </row>
    <row r="30">
      <c r="A30" s="1" t="s">
        <v>374</v>
      </c>
      <c r="B30" s="52">
        <v>1.2874288E8</v>
      </c>
      <c r="C30" s="53">
        <v>212097.0</v>
      </c>
      <c r="D30" s="53">
        <v>412637.4</v>
      </c>
      <c r="E30" s="52">
        <v>250548.0</v>
      </c>
      <c r="F30" s="52">
        <v>1851454.0</v>
      </c>
      <c r="G30" s="1">
        <v>312.0</v>
      </c>
      <c r="H30" s="1">
        <v>312.0</v>
      </c>
      <c r="I30" s="1">
        <v>100.0</v>
      </c>
      <c r="J30" s="1">
        <v>2.68</v>
      </c>
      <c r="K30" s="26">
        <v>1.0</v>
      </c>
      <c r="L30" s="1" t="s">
        <v>681</v>
      </c>
      <c r="M30" s="1" t="s">
        <v>182</v>
      </c>
      <c r="N30" s="1">
        <v>2.0</v>
      </c>
      <c r="O30" s="11"/>
      <c r="P30" s="11">
        <f t="shared" si="2"/>
        <v>125.9983831</v>
      </c>
      <c r="Q30" s="11">
        <f t="shared" si="4"/>
        <v>112.3015192</v>
      </c>
      <c r="R30" s="11" t="str">
        <f t="shared" si="3"/>
        <v/>
      </c>
      <c r="S30" s="55">
        <f t="shared" si="5"/>
        <v>769.8290004</v>
      </c>
    </row>
    <row r="31">
      <c r="A31" s="1" t="s">
        <v>368</v>
      </c>
      <c r="B31" s="52">
        <v>1.26586823E8</v>
      </c>
      <c r="C31" s="53">
        <v>208545.01</v>
      </c>
      <c r="D31" s="53">
        <v>2813041.0</v>
      </c>
      <c r="E31" s="52">
        <v>1458154.0</v>
      </c>
      <c r="F31" s="52">
        <v>6453420.0</v>
      </c>
      <c r="G31" s="1">
        <v>45.0</v>
      </c>
      <c r="H31" s="1">
        <v>45.0</v>
      </c>
      <c r="I31" s="1">
        <v>100.0</v>
      </c>
      <c r="J31" s="1">
        <v>20.89</v>
      </c>
      <c r="K31" s="26">
        <v>1.0</v>
      </c>
      <c r="L31" s="1" t="s">
        <v>682</v>
      </c>
      <c r="M31" s="1" t="s">
        <v>182</v>
      </c>
      <c r="N31" s="1">
        <v>2.0</v>
      </c>
      <c r="O31" s="11"/>
      <c r="P31" s="11">
        <f t="shared" si="2"/>
        <v>123.8882872</v>
      </c>
      <c r="Q31" s="11">
        <f t="shared" si="4"/>
        <v>110.4208049</v>
      </c>
      <c r="R31" s="11" t="str">
        <f t="shared" si="3"/>
        <v/>
      </c>
      <c r="S31" s="55">
        <f t="shared" si="5"/>
        <v>756.9366685</v>
      </c>
    </row>
    <row r="32">
      <c r="A32" s="1" t="s">
        <v>354</v>
      </c>
      <c r="B32" s="52">
        <v>1.26429562E8</v>
      </c>
      <c r="C32" s="53">
        <v>208285.93</v>
      </c>
      <c r="D32" s="53">
        <v>554515.6</v>
      </c>
      <c r="E32" s="52">
        <v>292663.0</v>
      </c>
      <c r="F32" s="52">
        <v>2786953.0</v>
      </c>
      <c r="G32" s="1">
        <v>228.0</v>
      </c>
      <c r="H32" s="1">
        <v>228.0</v>
      </c>
      <c r="I32" s="1">
        <v>100.0</v>
      </c>
      <c r="J32" s="1">
        <v>3.75</v>
      </c>
      <c r="K32" s="26">
        <v>1.0</v>
      </c>
      <c r="L32" s="1" t="s">
        <v>683</v>
      </c>
      <c r="M32" s="1" t="s">
        <v>182</v>
      </c>
      <c r="N32" s="1">
        <v>2.0</v>
      </c>
      <c r="O32" s="11"/>
      <c r="P32" s="11">
        <f t="shared" si="2"/>
        <v>123.7343781</v>
      </c>
      <c r="Q32" s="11">
        <f t="shared" si="4"/>
        <v>110.2836267</v>
      </c>
      <c r="R32" s="11" t="str">
        <f t="shared" si="3"/>
        <v/>
      </c>
      <c r="S32" s="55">
        <f t="shared" si="5"/>
        <v>755.9963096</v>
      </c>
    </row>
    <row r="33">
      <c r="A33" s="1" t="s">
        <v>380</v>
      </c>
      <c r="B33" s="52">
        <v>1.19965114E8</v>
      </c>
      <c r="C33" s="53">
        <v>197636.1</v>
      </c>
      <c r="D33" s="53">
        <v>239930.2</v>
      </c>
      <c r="E33" s="52">
        <v>133160.0</v>
      </c>
      <c r="F33" s="52">
        <v>611168.0</v>
      </c>
      <c r="G33" s="1">
        <v>500.0</v>
      </c>
      <c r="H33" s="1">
        <v>500.0</v>
      </c>
      <c r="I33" s="1">
        <v>100.0</v>
      </c>
      <c r="J33" s="1">
        <v>5.04</v>
      </c>
      <c r="K33" s="26">
        <v>1.0</v>
      </c>
      <c r="L33" s="1" t="s">
        <v>684</v>
      </c>
      <c r="M33" s="1" t="s">
        <v>182</v>
      </c>
      <c r="N33" s="1">
        <v>2.0</v>
      </c>
      <c r="O33" s="11"/>
      <c r="P33" s="11">
        <f t="shared" si="2"/>
        <v>117.4077381</v>
      </c>
      <c r="Q33" s="11">
        <f t="shared" si="4"/>
        <v>104.6447347</v>
      </c>
      <c r="R33" s="11" t="str">
        <f t="shared" si="3"/>
        <v/>
      </c>
      <c r="S33" s="55">
        <f t="shared" si="5"/>
        <v>717.3415998</v>
      </c>
    </row>
    <row r="34">
      <c r="A34" s="1" t="s">
        <v>364</v>
      </c>
      <c r="B34" s="52">
        <v>1.06221505E8</v>
      </c>
      <c r="C34" s="53">
        <v>174994.24</v>
      </c>
      <c r="D34" s="53">
        <v>2042721.0</v>
      </c>
      <c r="E34" s="52">
        <v>955623.0</v>
      </c>
      <c r="F34" s="52">
        <v>3979100.0</v>
      </c>
      <c r="G34" s="1">
        <v>52.0</v>
      </c>
      <c r="H34" s="1">
        <v>52.0</v>
      </c>
      <c r="I34" s="1">
        <v>100.0</v>
      </c>
      <c r="J34" s="1">
        <v>18.12</v>
      </c>
      <c r="K34" s="26">
        <v>1.0</v>
      </c>
      <c r="L34" s="1" t="s">
        <v>685</v>
      </c>
      <c r="M34" s="1" t="s">
        <v>182</v>
      </c>
      <c r="N34" s="1">
        <v>2.0</v>
      </c>
      <c r="O34" s="11"/>
      <c r="P34" s="11">
        <f t="shared" si="2"/>
        <v>103.9571106</v>
      </c>
      <c r="Q34" s="11">
        <f t="shared" si="4"/>
        <v>92.65627996</v>
      </c>
      <c r="R34" s="11" t="str">
        <f t="shared" si="3"/>
        <v/>
      </c>
      <c r="S34" s="55">
        <f t="shared" si="5"/>
        <v>635.1605202</v>
      </c>
    </row>
    <row r="35">
      <c r="A35" s="1" t="s">
        <v>384</v>
      </c>
      <c r="B35" s="52">
        <v>1.02503214E8</v>
      </c>
      <c r="C35" s="53">
        <v>168868.56</v>
      </c>
      <c r="D35" s="53">
        <v>3534594.0</v>
      </c>
      <c r="E35" s="52">
        <v>2005409.0</v>
      </c>
      <c r="F35" s="52">
        <v>9282668.0</v>
      </c>
      <c r="G35" s="1">
        <v>29.0</v>
      </c>
      <c r="H35" s="1">
        <v>29.0</v>
      </c>
      <c r="I35" s="1">
        <v>100.0</v>
      </c>
      <c r="J35" s="1">
        <v>34.47</v>
      </c>
      <c r="K35" s="26">
        <v>1.0</v>
      </c>
      <c r="L35" s="1" t="s">
        <v>686</v>
      </c>
      <c r="M35" s="1" t="s">
        <v>193</v>
      </c>
      <c r="N35" s="1">
        <v>2.0</v>
      </c>
      <c r="O35" s="11"/>
      <c r="P35" s="11">
        <f t="shared" si="2"/>
        <v>100.318088</v>
      </c>
      <c r="Q35" s="11">
        <f t="shared" si="4"/>
        <v>89.41284337</v>
      </c>
      <c r="R35" s="11" t="str">
        <f t="shared" si="3"/>
        <v/>
      </c>
      <c r="S35" s="55">
        <f t="shared" si="5"/>
        <v>612.9267021</v>
      </c>
    </row>
    <row r="36">
      <c r="A36" s="1" t="s">
        <v>202</v>
      </c>
      <c r="B36" s="52">
        <v>9.1765538E7</v>
      </c>
      <c r="C36" s="53">
        <v>151178.81</v>
      </c>
      <c r="D36" s="53">
        <v>506991.9</v>
      </c>
      <c r="E36" s="52">
        <v>301568.0</v>
      </c>
      <c r="F36" s="52">
        <v>1238138.0</v>
      </c>
      <c r="G36" s="1">
        <v>181.0</v>
      </c>
      <c r="H36" s="1">
        <v>181.0</v>
      </c>
      <c r="I36" s="1">
        <v>100.0</v>
      </c>
      <c r="J36" s="1">
        <v>3.66</v>
      </c>
      <c r="K36" s="26">
        <v>1.0</v>
      </c>
      <c r="L36" s="1" t="s">
        <v>687</v>
      </c>
      <c r="M36" s="1" t="s">
        <v>190</v>
      </c>
      <c r="N36" s="1">
        <v>3.0</v>
      </c>
      <c r="O36" s="11"/>
      <c r="P36" s="11">
        <f t="shared" si="2"/>
        <v>89.80931183</v>
      </c>
      <c r="Q36" s="11" t="str">
        <f t="shared" si="4"/>
        <v/>
      </c>
      <c r="R36" s="11" t="str">
        <f t="shared" si="3"/>
        <v/>
      </c>
      <c r="S36" s="55" t="str">
        <f t="shared" si="5"/>
        <v/>
      </c>
    </row>
    <row r="37">
      <c r="A37" s="1" t="s">
        <v>196</v>
      </c>
      <c r="B37" s="52">
        <v>8.6974105E7</v>
      </c>
      <c r="C37" s="53">
        <v>143285.18</v>
      </c>
      <c r="D37" s="53">
        <v>790673.7</v>
      </c>
      <c r="E37" s="52">
        <v>535546.0</v>
      </c>
      <c r="F37" s="52">
        <v>1800118.0</v>
      </c>
      <c r="G37" s="1">
        <v>110.0</v>
      </c>
      <c r="H37" s="1">
        <v>110.0</v>
      </c>
      <c r="I37" s="1">
        <v>100.0</v>
      </c>
      <c r="J37" s="1">
        <v>5.52</v>
      </c>
      <c r="K37" s="26">
        <v>1.0</v>
      </c>
      <c r="L37" s="1" t="s">
        <v>688</v>
      </c>
      <c r="M37" s="1" t="s">
        <v>182</v>
      </c>
      <c r="N37" s="1">
        <v>3.0</v>
      </c>
      <c r="O37" s="11"/>
      <c r="P37" s="11">
        <f t="shared" si="2"/>
        <v>85.12002054</v>
      </c>
      <c r="Q37" s="11" t="str">
        <f t="shared" si="4"/>
        <v/>
      </c>
      <c r="R37" s="11" t="str">
        <f t="shared" si="3"/>
        <v/>
      </c>
      <c r="S37" s="55" t="str">
        <f t="shared" si="5"/>
        <v/>
      </c>
    </row>
    <row r="38">
      <c r="A38" s="1" t="s">
        <v>400</v>
      </c>
      <c r="B38" s="52">
        <v>7.9237211E7</v>
      </c>
      <c r="C38" s="53">
        <v>130539.06</v>
      </c>
      <c r="D38" s="53">
        <v>842949.0</v>
      </c>
      <c r="E38" s="52">
        <v>569062.0</v>
      </c>
      <c r="F38" s="52">
        <v>2267492.0</v>
      </c>
      <c r="G38" s="1">
        <v>94.0</v>
      </c>
      <c r="H38" s="1">
        <v>94.0</v>
      </c>
      <c r="I38" s="1">
        <v>100.0</v>
      </c>
      <c r="J38" s="1">
        <v>6.62</v>
      </c>
      <c r="K38" s="26">
        <v>1.0</v>
      </c>
      <c r="L38" s="1" t="s">
        <v>689</v>
      </c>
      <c r="M38" s="1" t="s">
        <v>182</v>
      </c>
      <c r="N38" s="1">
        <v>2.0</v>
      </c>
      <c r="O38" s="11"/>
      <c r="P38" s="11">
        <f t="shared" si="2"/>
        <v>77.54805813</v>
      </c>
      <c r="Q38" s="11">
        <f t="shared" si="4"/>
        <v>69.11806748</v>
      </c>
      <c r="R38" s="11" t="str">
        <f t="shared" si="3"/>
        <v/>
      </c>
      <c r="S38" s="55">
        <f t="shared" si="5"/>
        <v>473.8056364</v>
      </c>
    </row>
    <row r="39">
      <c r="A39" s="1" t="s">
        <v>235</v>
      </c>
      <c r="B39" s="52">
        <v>6.4727702E7</v>
      </c>
      <c r="C39" s="53">
        <v>106635.42</v>
      </c>
      <c r="D39" s="53">
        <v>681344.3</v>
      </c>
      <c r="E39" s="52">
        <v>386246.0</v>
      </c>
      <c r="F39" s="52">
        <v>1522264.0</v>
      </c>
      <c r="G39" s="1">
        <v>95.0</v>
      </c>
      <c r="H39" s="1">
        <v>95.0</v>
      </c>
      <c r="I39" s="1">
        <v>100.0</v>
      </c>
      <c r="J39" s="1">
        <v>6.33</v>
      </c>
      <c r="K39" s="26">
        <v>1.0</v>
      </c>
      <c r="L39" s="1" t="s">
        <v>690</v>
      </c>
      <c r="M39" s="1" t="s">
        <v>187</v>
      </c>
      <c r="N39" s="1">
        <v>3.0</v>
      </c>
      <c r="O39" s="11"/>
      <c r="P39" s="11">
        <f t="shared" si="2"/>
        <v>63.34785733</v>
      </c>
      <c r="Q39" s="11" t="str">
        <f t="shared" si="4"/>
        <v/>
      </c>
      <c r="R39" s="11" t="str">
        <f t="shared" si="3"/>
        <v/>
      </c>
      <c r="S39" s="55" t="str">
        <f t="shared" si="5"/>
        <v/>
      </c>
    </row>
    <row r="40">
      <c r="A40" s="1" t="s">
        <v>229</v>
      </c>
      <c r="B40" s="52">
        <v>6.3226415E7</v>
      </c>
      <c r="C40" s="53">
        <v>104162.13</v>
      </c>
      <c r="D40" s="53">
        <v>1239734.0</v>
      </c>
      <c r="E40" s="52">
        <v>706573.0</v>
      </c>
      <c r="F40" s="52">
        <v>2905753.0</v>
      </c>
      <c r="G40" s="1">
        <v>51.0</v>
      </c>
      <c r="H40" s="1">
        <v>51.0</v>
      </c>
      <c r="I40" s="1">
        <v>100.0</v>
      </c>
      <c r="J40" s="1">
        <v>11.04</v>
      </c>
      <c r="K40" s="26">
        <v>1.0</v>
      </c>
      <c r="L40" s="1" t="s">
        <v>691</v>
      </c>
      <c r="M40" s="1" t="s">
        <v>187</v>
      </c>
      <c r="N40" s="1">
        <v>3.0</v>
      </c>
      <c r="O40" s="11"/>
      <c r="P40" s="11">
        <f t="shared" si="2"/>
        <v>61.87857422</v>
      </c>
      <c r="Q40" s="11" t="str">
        <f t="shared" si="4"/>
        <v/>
      </c>
      <c r="R40" s="11" t="str">
        <f t="shared" si="3"/>
        <v/>
      </c>
      <c r="S40" s="55" t="str">
        <f t="shared" si="5"/>
        <v/>
      </c>
    </row>
    <row r="41">
      <c r="A41" s="1" t="s">
        <v>218</v>
      </c>
      <c r="B41" s="52">
        <v>4.3315007E7</v>
      </c>
      <c r="C41" s="53">
        <v>71359.15</v>
      </c>
      <c r="D41" s="53">
        <v>1082875.0</v>
      </c>
      <c r="E41" s="52">
        <v>790251.0</v>
      </c>
      <c r="F41" s="52">
        <v>2103448.0</v>
      </c>
      <c r="G41" s="1">
        <v>40.0</v>
      </c>
      <c r="H41" s="1">
        <v>40.0</v>
      </c>
      <c r="I41" s="1">
        <v>100.0</v>
      </c>
      <c r="J41" s="1">
        <v>21.78</v>
      </c>
      <c r="K41" s="26">
        <v>1.0</v>
      </c>
      <c r="L41" s="1" t="s">
        <v>692</v>
      </c>
      <c r="M41" s="1" t="s">
        <v>193</v>
      </c>
      <c r="N41" s="1">
        <v>3.0</v>
      </c>
      <c r="O41" s="11"/>
      <c r="P41" s="11">
        <f t="shared" si="2"/>
        <v>42.39162985</v>
      </c>
      <c r="Q41" s="11" t="str">
        <f t="shared" si="4"/>
        <v/>
      </c>
      <c r="R41" s="11" t="str">
        <f t="shared" si="3"/>
        <v/>
      </c>
      <c r="S41" s="55" t="str">
        <f t="shared" si="5"/>
        <v/>
      </c>
    </row>
    <row r="42">
      <c r="A42" s="1" t="s">
        <v>441</v>
      </c>
      <c r="B42" s="52">
        <v>4.2511154E7</v>
      </c>
      <c r="C42" s="53">
        <v>70034.85</v>
      </c>
      <c r="D42" s="53">
        <v>99557.73</v>
      </c>
      <c r="E42" s="52">
        <v>41986.0</v>
      </c>
      <c r="F42" s="52">
        <v>354151.0</v>
      </c>
      <c r="G42" s="1">
        <v>427.0</v>
      </c>
      <c r="H42" s="1">
        <v>427.0</v>
      </c>
      <c r="I42" s="1">
        <v>100.0</v>
      </c>
      <c r="J42" s="1">
        <v>3.45</v>
      </c>
      <c r="K42" s="26">
        <v>1.0</v>
      </c>
      <c r="L42" s="1" t="s">
        <v>693</v>
      </c>
      <c r="M42" s="1" t="s">
        <v>182</v>
      </c>
      <c r="N42" s="1">
        <v>1.0</v>
      </c>
      <c r="O42" s="11"/>
      <c r="P42" s="11">
        <f t="shared" si="2"/>
        <v>41.60491595</v>
      </c>
      <c r="Q42" s="11" t="str">
        <f t="shared" si="4"/>
        <v/>
      </c>
      <c r="R42" s="11">
        <f t="shared" si="3"/>
        <v>302.5917045</v>
      </c>
      <c r="S42" s="55">
        <f t="shared" si="5"/>
        <v>254.1990625</v>
      </c>
    </row>
    <row r="43">
      <c r="A43" s="1" t="s">
        <v>188</v>
      </c>
      <c r="B43" s="52">
        <v>4.1647361E7</v>
      </c>
      <c r="C43" s="53">
        <v>68611.8</v>
      </c>
      <c r="D43" s="53">
        <v>1301480.0</v>
      </c>
      <c r="E43" s="52">
        <v>962363.0</v>
      </c>
      <c r="F43" s="52">
        <v>1980079.0</v>
      </c>
      <c r="G43" s="1">
        <v>32.0</v>
      </c>
      <c r="H43" s="1">
        <v>32.0</v>
      </c>
      <c r="I43" s="1">
        <v>100.0</v>
      </c>
      <c r="J43" s="1">
        <v>17.79</v>
      </c>
      <c r="K43" s="26">
        <v>1.0</v>
      </c>
      <c r="L43" s="1" t="s">
        <v>694</v>
      </c>
      <c r="M43" s="1" t="s">
        <v>190</v>
      </c>
      <c r="N43" s="1">
        <v>3.0</v>
      </c>
      <c r="O43" s="11"/>
      <c r="P43" s="11">
        <f t="shared" si="2"/>
        <v>40.7595386</v>
      </c>
      <c r="Q43" s="11" t="str">
        <f t="shared" si="4"/>
        <v/>
      </c>
      <c r="R43" s="11" t="str">
        <f t="shared" si="3"/>
        <v/>
      </c>
      <c r="S43" s="55" t="str">
        <f t="shared" si="5"/>
        <v/>
      </c>
    </row>
    <row r="44">
      <c r="A44" s="1" t="s">
        <v>453</v>
      </c>
      <c r="B44" s="52">
        <v>4.0392411E7</v>
      </c>
      <c r="C44" s="53">
        <v>66544.33</v>
      </c>
      <c r="D44" s="53">
        <v>2692828.0</v>
      </c>
      <c r="E44" s="52">
        <v>1883228.0</v>
      </c>
      <c r="F44" s="52">
        <v>3921791.0</v>
      </c>
      <c r="G44" s="1">
        <v>15.0</v>
      </c>
      <c r="H44" s="1">
        <v>15.0</v>
      </c>
      <c r="I44" s="1">
        <v>100.0</v>
      </c>
      <c r="J44" s="1">
        <v>41.0</v>
      </c>
      <c r="K44" s="26">
        <v>1.0</v>
      </c>
      <c r="L44" s="1" t="s">
        <v>446</v>
      </c>
      <c r="M44" s="1" t="s">
        <v>190</v>
      </c>
      <c r="N44" s="1">
        <v>2.0</v>
      </c>
      <c r="O44" s="11"/>
      <c r="P44" s="11">
        <f t="shared" si="2"/>
        <v>39.53133699</v>
      </c>
      <c r="Q44" s="11">
        <f t="shared" si="4"/>
        <v>35.23401725</v>
      </c>
      <c r="R44" s="11" t="str">
        <f t="shared" si="3"/>
        <v/>
      </c>
      <c r="S44" s="55">
        <f t="shared" si="5"/>
        <v>241.5298427</v>
      </c>
    </row>
    <row r="45">
      <c r="A45" s="1" t="s">
        <v>208</v>
      </c>
      <c r="B45" s="52">
        <v>3.951791E7</v>
      </c>
      <c r="C45" s="53">
        <v>65103.64</v>
      </c>
      <c r="D45" s="53">
        <v>589819.6</v>
      </c>
      <c r="E45" s="52">
        <v>270592.0</v>
      </c>
      <c r="F45" s="52">
        <v>1257175.0</v>
      </c>
      <c r="G45" s="1">
        <v>67.0</v>
      </c>
      <c r="H45" s="1">
        <v>67.0</v>
      </c>
      <c r="I45" s="1">
        <v>100.0</v>
      </c>
      <c r="J45" s="1">
        <v>9.19</v>
      </c>
      <c r="K45" s="26">
        <v>1.0</v>
      </c>
      <c r="L45" s="1" t="s">
        <v>695</v>
      </c>
      <c r="M45" s="1" t="s">
        <v>210</v>
      </c>
      <c r="N45" s="1">
        <v>3.0</v>
      </c>
      <c r="O45" s="11"/>
      <c r="P45" s="11">
        <f t="shared" si="2"/>
        <v>38.67548042</v>
      </c>
      <c r="Q45" s="11" t="str">
        <f t="shared" si="4"/>
        <v/>
      </c>
      <c r="R45" s="11" t="str">
        <f t="shared" si="3"/>
        <v/>
      </c>
      <c r="S45" s="55" t="str">
        <f t="shared" si="5"/>
        <v/>
      </c>
    </row>
    <row r="46">
      <c r="A46" s="1" t="s">
        <v>431</v>
      </c>
      <c r="B46" s="52">
        <v>3.8622407E7</v>
      </c>
      <c r="C46" s="53">
        <v>63628.35</v>
      </c>
      <c r="D46" s="53">
        <v>1135953.0</v>
      </c>
      <c r="E46" s="52">
        <v>787566.0</v>
      </c>
      <c r="F46" s="52">
        <v>3497734.0</v>
      </c>
      <c r="G46" s="1">
        <v>34.0</v>
      </c>
      <c r="H46" s="1">
        <v>34.0</v>
      </c>
      <c r="I46" s="1">
        <v>100.0</v>
      </c>
      <c r="J46" s="1">
        <v>17.36</v>
      </c>
      <c r="K46" s="26">
        <v>1.0</v>
      </c>
      <c r="L46" s="1" t="s">
        <v>696</v>
      </c>
      <c r="M46" s="1" t="s">
        <v>182</v>
      </c>
      <c r="N46" s="1">
        <v>2.0</v>
      </c>
      <c r="O46" s="11"/>
      <c r="P46" s="11">
        <f t="shared" si="2"/>
        <v>37.79906937</v>
      </c>
      <c r="Q46" s="11">
        <f t="shared" si="4"/>
        <v>33.69005866</v>
      </c>
      <c r="R46" s="11" t="str">
        <f t="shared" si="3"/>
        <v/>
      </c>
      <c r="S46" s="55">
        <f t="shared" si="5"/>
        <v>230.9459779</v>
      </c>
    </row>
    <row r="47">
      <c r="A47" s="1" t="s">
        <v>231</v>
      </c>
      <c r="B47" s="52">
        <v>2.6408996E7</v>
      </c>
      <c r="C47" s="53">
        <v>43507.41</v>
      </c>
      <c r="D47" s="53">
        <v>293433.3</v>
      </c>
      <c r="E47" s="52">
        <v>144303.0</v>
      </c>
      <c r="F47" s="52">
        <v>716322.0</v>
      </c>
      <c r="G47" s="1">
        <v>90.0</v>
      </c>
      <c r="H47" s="1">
        <v>90.0</v>
      </c>
      <c r="I47" s="1">
        <v>100.0</v>
      </c>
      <c r="J47" s="1">
        <v>6.85</v>
      </c>
      <c r="K47" s="26">
        <v>1.0</v>
      </c>
      <c r="L47" s="1" t="s">
        <v>697</v>
      </c>
      <c r="M47" s="1" t="s">
        <v>187</v>
      </c>
      <c r="N47" s="1">
        <v>3.0</v>
      </c>
      <c r="O47" s="11"/>
      <c r="P47" s="11">
        <f t="shared" si="2"/>
        <v>25.84602003</v>
      </c>
      <c r="Q47" s="11" t="str">
        <f t="shared" si="4"/>
        <v/>
      </c>
      <c r="R47" s="11" t="str">
        <f t="shared" si="3"/>
        <v/>
      </c>
      <c r="S47" s="55" t="str">
        <f t="shared" si="5"/>
        <v/>
      </c>
    </row>
    <row r="48">
      <c r="A48" s="1" t="s">
        <v>233</v>
      </c>
      <c r="B48" s="52">
        <v>2.5611703E7</v>
      </c>
      <c r="C48" s="53">
        <v>42193.91</v>
      </c>
      <c r="D48" s="53">
        <v>1219605.0</v>
      </c>
      <c r="E48" s="52">
        <v>992743.0</v>
      </c>
      <c r="F48" s="52">
        <v>1868665.0</v>
      </c>
      <c r="G48" s="52">
        <v>21.0</v>
      </c>
      <c r="H48" s="52">
        <v>21.0</v>
      </c>
      <c r="I48" s="1">
        <v>100.0</v>
      </c>
      <c r="J48" s="1">
        <v>29.1</v>
      </c>
      <c r="K48" s="26">
        <v>1.0</v>
      </c>
      <c r="L48" s="1" t="s">
        <v>698</v>
      </c>
      <c r="M48" s="1" t="s">
        <v>187</v>
      </c>
      <c r="N48" s="1">
        <v>3.0</v>
      </c>
      <c r="O48" s="11"/>
      <c r="P48" s="11">
        <f t="shared" si="2"/>
        <v>25.06572198</v>
      </c>
      <c r="Q48" s="11" t="str">
        <f t="shared" si="4"/>
        <v/>
      </c>
      <c r="R48" s="11" t="str">
        <f t="shared" si="3"/>
        <v/>
      </c>
      <c r="S48" s="55" t="str">
        <f t="shared" si="5"/>
        <v/>
      </c>
    </row>
    <row r="49">
      <c r="A49" s="1" t="s">
        <v>459</v>
      </c>
      <c r="B49" s="52">
        <v>2.0026047E7</v>
      </c>
      <c r="C49" s="53">
        <v>32991.84</v>
      </c>
      <c r="D49" s="53">
        <v>2225117.0</v>
      </c>
      <c r="E49" s="52">
        <v>1471644.0</v>
      </c>
      <c r="F49" s="52">
        <v>3174608.0</v>
      </c>
      <c r="G49" s="1">
        <v>9.0</v>
      </c>
      <c r="H49" s="1">
        <v>9.0</v>
      </c>
      <c r="I49" s="1">
        <v>100.0</v>
      </c>
      <c r="J49" s="1">
        <v>89.6</v>
      </c>
      <c r="K49" s="26">
        <v>1.0</v>
      </c>
      <c r="L49" s="1" t="s">
        <v>699</v>
      </c>
      <c r="M49" s="1" t="s">
        <v>182</v>
      </c>
      <c r="N49" s="1">
        <v>2.0</v>
      </c>
      <c r="O49" s="11"/>
      <c r="P49" s="11">
        <f t="shared" si="2"/>
        <v>19.59913857</v>
      </c>
      <c r="Q49" s="11">
        <f t="shared" si="4"/>
        <v>17.46858161</v>
      </c>
      <c r="R49" s="11" t="str">
        <f t="shared" si="3"/>
        <v/>
      </c>
      <c r="S49" s="55">
        <f t="shared" si="5"/>
        <v>119.7474514</v>
      </c>
    </row>
    <row r="50">
      <c r="A50" s="1" t="s">
        <v>196</v>
      </c>
      <c r="B50" s="27">
        <v>4.17928865E8</v>
      </c>
      <c r="C50" s="61">
        <v>688515.43</v>
      </c>
      <c r="D50" s="61">
        <v>926671.6</v>
      </c>
      <c r="E50" s="27">
        <v>518905.0</v>
      </c>
      <c r="F50" s="27">
        <v>3204855.0</v>
      </c>
      <c r="G50" s="1">
        <v>451.0</v>
      </c>
      <c r="H50" s="1">
        <v>451.0</v>
      </c>
      <c r="I50" s="1">
        <v>100.0</v>
      </c>
      <c r="J50" s="1">
        <v>1.82</v>
      </c>
      <c r="K50" s="26">
        <v>1.0</v>
      </c>
      <c r="L50" s="1" t="s">
        <v>700</v>
      </c>
      <c r="M50" s="1" t="s">
        <v>182</v>
      </c>
      <c r="N50" s="1">
        <v>5.0</v>
      </c>
      <c r="O50" s="11"/>
      <c r="P50" s="11"/>
      <c r="Q50" s="11">
        <f t="shared" si="4"/>
        <v>364.5564473</v>
      </c>
      <c r="R50" s="11"/>
      <c r="S50" s="55">
        <f t="shared" si="5"/>
        <v>2499.041218</v>
      </c>
    </row>
    <row r="51">
      <c r="A51" s="1" t="s">
        <v>180</v>
      </c>
      <c r="B51" s="27">
        <v>1.403065981E9</v>
      </c>
      <c r="C51" s="61">
        <v>2311476.08</v>
      </c>
      <c r="D51" s="61">
        <v>926727.9</v>
      </c>
      <c r="E51" s="27">
        <v>444071.0</v>
      </c>
      <c r="F51" s="27">
        <v>3392001.0</v>
      </c>
      <c r="G51" s="27">
        <v>1514.0</v>
      </c>
      <c r="H51" s="27">
        <v>1514.0</v>
      </c>
      <c r="I51" s="1">
        <v>100.0</v>
      </c>
      <c r="J51" s="1">
        <v>2.38</v>
      </c>
      <c r="K51" s="26">
        <v>1.0</v>
      </c>
      <c r="L51" s="1" t="s">
        <v>701</v>
      </c>
      <c r="M51" s="1" t="s">
        <v>182</v>
      </c>
      <c r="N51" s="1">
        <v>5.0</v>
      </c>
      <c r="O51" s="11"/>
      <c r="P51" s="11" t="str">
        <f>if($N51&lt;4,$C51*(($K$2+C$2+1%)/($K$2+C$2)-1),"")</f>
        <v/>
      </c>
      <c r="Q51" s="11">
        <f t="shared" si="4"/>
        <v>1223.884711</v>
      </c>
      <c r="R51" s="11" t="str">
        <f>if($N51=1,$C51*((1+E$2+1%)/(1+E$2)-1),"")</f>
        <v/>
      </c>
      <c r="S51" s="55">
        <f t="shared" si="5"/>
        <v>8389.752425</v>
      </c>
    </row>
    <row r="52">
      <c r="A52" s="1"/>
      <c r="B52" s="52"/>
      <c r="C52" s="53"/>
      <c r="D52" s="53"/>
      <c r="E52" s="52"/>
      <c r="F52" s="52"/>
      <c r="G52" s="1"/>
      <c r="H52" s="1"/>
      <c r="I52" s="1"/>
      <c r="J52" s="1"/>
      <c r="K52" s="26"/>
      <c r="L52" s="1"/>
      <c r="M52" s="1"/>
      <c r="N52" s="1"/>
      <c r="O52" s="11"/>
      <c r="P52" s="11"/>
      <c r="Q52" s="11"/>
      <c r="R52" s="11"/>
      <c r="S52" s="55"/>
    </row>
    <row r="53">
      <c r="A53" s="1"/>
      <c r="B53" s="52"/>
      <c r="C53" s="53"/>
      <c r="D53" s="53"/>
      <c r="E53" s="52"/>
      <c r="F53" s="52"/>
      <c r="G53" s="1"/>
      <c r="H53" s="1"/>
      <c r="I53" s="1"/>
      <c r="J53" s="1"/>
      <c r="K53" s="26"/>
      <c r="L53" s="1"/>
      <c r="M53" s="1"/>
      <c r="N53" s="1"/>
      <c r="O53" s="11"/>
      <c r="P53" s="11"/>
      <c r="Q53" s="11"/>
      <c r="R53" s="11"/>
      <c r="S53" s="55"/>
    </row>
    <row r="54">
      <c r="A54" s="1"/>
      <c r="B54" s="52"/>
      <c r="C54" s="53"/>
      <c r="D54" s="53"/>
      <c r="E54" s="52"/>
      <c r="F54" s="52"/>
      <c r="G54" s="1"/>
      <c r="H54" s="1"/>
      <c r="I54" s="1"/>
      <c r="J54" s="1"/>
      <c r="K54" s="26"/>
      <c r="L54" s="1"/>
      <c r="M54" s="1"/>
      <c r="N54" s="1"/>
      <c r="O54" s="11"/>
      <c r="P54" s="11"/>
      <c r="Q54" s="11"/>
      <c r="R54" s="11"/>
      <c r="S54" s="55"/>
    </row>
    <row r="55">
      <c r="A55" s="1"/>
      <c r="B55" s="52"/>
      <c r="C55" s="53"/>
      <c r="D55" s="53"/>
      <c r="E55" s="52"/>
      <c r="F55" s="52"/>
      <c r="G55" s="1"/>
      <c r="H55" s="1"/>
      <c r="I55" s="1"/>
      <c r="J55" s="1"/>
      <c r="K55" s="26"/>
      <c r="L55" s="1"/>
      <c r="M55" s="1"/>
      <c r="N55" s="1"/>
      <c r="O55" s="11"/>
      <c r="P55" s="11"/>
      <c r="Q55" s="11"/>
      <c r="R55" s="11"/>
      <c r="S55" s="55"/>
    </row>
    <row r="56">
      <c r="A56" s="1"/>
      <c r="B56" s="52"/>
      <c r="C56" s="53"/>
      <c r="D56" s="53"/>
      <c r="E56" s="52"/>
      <c r="F56" s="52"/>
      <c r="G56" s="1"/>
      <c r="H56" s="1"/>
      <c r="I56" s="1"/>
      <c r="J56" s="1"/>
      <c r="K56" s="26"/>
      <c r="L56" s="1"/>
      <c r="M56" s="1"/>
      <c r="N56" s="1"/>
      <c r="O56" s="11"/>
      <c r="P56" s="11"/>
      <c r="Q56" s="11"/>
      <c r="R56" s="11"/>
      <c r="S56" s="55"/>
    </row>
    <row r="57">
      <c r="A57" s="1"/>
      <c r="B57" s="52"/>
      <c r="C57" s="53"/>
      <c r="D57" s="53"/>
      <c r="E57" s="52"/>
      <c r="F57" s="52"/>
      <c r="G57" s="1"/>
      <c r="H57" s="1"/>
      <c r="I57" s="1"/>
      <c r="J57" s="1"/>
      <c r="K57" s="26"/>
      <c r="L57" s="1"/>
      <c r="M57" s="1"/>
      <c r="N57" s="1"/>
      <c r="O57" s="11"/>
      <c r="P57" s="11"/>
      <c r="Q57" s="11"/>
      <c r="R57" s="11"/>
      <c r="S57" s="55"/>
    </row>
    <row r="58">
      <c r="A58" s="1"/>
      <c r="B58" s="52"/>
      <c r="C58" s="53"/>
      <c r="D58" s="53"/>
      <c r="E58" s="52"/>
      <c r="F58" s="52"/>
      <c r="G58" s="1"/>
      <c r="H58" s="1"/>
      <c r="I58" s="1"/>
      <c r="J58" s="1"/>
      <c r="K58" s="26"/>
      <c r="L58" s="1"/>
      <c r="M58" s="1"/>
      <c r="N58" s="1"/>
      <c r="O58" s="11"/>
      <c r="P58" s="11"/>
      <c r="Q58" s="11"/>
      <c r="R58" s="11"/>
      <c r="S58" s="55"/>
    </row>
    <row r="59">
      <c r="A59" s="1"/>
      <c r="B59" s="52"/>
      <c r="C59" s="53"/>
      <c r="D59" s="53"/>
      <c r="E59" s="52"/>
      <c r="F59" s="52"/>
      <c r="G59" s="1"/>
      <c r="H59" s="1"/>
      <c r="I59" s="1"/>
      <c r="J59" s="1"/>
      <c r="K59" s="26"/>
      <c r="L59" s="1"/>
      <c r="M59" s="1"/>
      <c r="N59" s="1"/>
      <c r="O59" s="11"/>
      <c r="P59" s="11"/>
      <c r="Q59" s="11"/>
      <c r="R59" s="11"/>
      <c r="S59" s="55"/>
    </row>
    <row r="60">
      <c r="A60" s="1"/>
      <c r="B60" s="52"/>
      <c r="C60" s="53"/>
      <c r="D60" s="53"/>
      <c r="E60" s="52"/>
      <c r="F60" s="52"/>
      <c r="G60" s="1"/>
      <c r="H60" s="1"/>
      <c r="I60" s="1"/>
      <c r="J60" s="1"/>
      <c r="K60" s="26"/>
      <c r="L60" s="1"/>
      <c r="M60" s="1"/>
      <c r="N60" s="1"/>
      <c r="O60" s="11"/>
      <c r="P60" s="11"/>
      <c r="Q60" s="11"/>
      <c r="R60" s="11"/>
      <c r="S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11"/>
      <c r="P61" s="11"/>
      <c r="Q61" s="11"/>
      <c r="R61" s="11"/>
      <c r="S61" s="55"/>
    </row>
    <row r="62">
      <c r="A62" s="1" t="s">
        <v>702</v>
      </c>
      <c r="B62" s="52" t="s">
        <v>703</v>
      </c>
      <c r="C62" s="53" t="s">
        <v>704</v>
      </c>
      <c r="D62" s="53" t="s">
        <v>705</v>
      </c>
      <c r="E62" s="52" t="s">
        <v>706</v>
      </c>
      <c r="F62" s="52"/>
      <c r="G62" s="1"/>
      <c r="H62" s="1"/>
      <c r="I62" s="1"/>
      <c r="J62" s="1"/>
      <c r="K62" s="26"/>
      <c r="L62" s="1"/>
      <c r="M62" s="1"/>
      <c r="N62" s="1"/>
      <c r="O62" s="11"/>
      <c r="P62" s="11"/>
      <c r="Q62" s="11"/>
      <c r="R62" s="11"/>
      <c r="S62" s="55"/>
    </row>
    <row r="63">
      <c r="A63" s="61">
        <v>7.8</v>
      </c>
      <c r="B63" s="61">
        <v>17.4</v>
      </c>
      <c r="C63" s="61">
        <v>24.9</v>
      </c>
      <c r="D63" s="61">
        <v>3.1</v>
      </c>
      <c r="E63" s="61">
        <v>1000.0</v>
      </c>
      <c r="F63" s="52"/>
      <c r="G63" s="1"/>
      <c r="H63" s="1"/>
      <c r="I63" s="1"/>
      <c r="J63" s="1"/>
      <c r="K63" s="26"/>
      <c r="L63" s="1"/>
      <c r="M63" s="1"/>
      <c r="N63" s="1"/>
      <c r="O63" s="11"/>
      <c r="P63" s="11"/>
      <c r="Q63" s="11"/>
      <c r="R63" s="11"/>
      <c r="S63" s="55"/>
    </row>
    <row r="64">
      <c r="A64" s="1"/>
      <c r="B64" s="52"/>
      <c r="C64" s="53"/>
      <c r="D64" s="53">
        <f>21/D63+84/C63</f>
        <v>10.14768752</v>
      </c>
      <c r="E64" s="52">
        <f>11850/1000+18.4</f>
        <v>30.25</v>
      </c>
      <c r="F64" s="52"/>
      <c r="G64" s="1"/>
      <c r="H64" s="1"/>
      <c r="I64" s="1"/>
      <c r="J64" s="1"/>
      <c r="K64" s="26"/>
      <c r="L64" s="1"/>
      <c r="M64" s="1"/>
      <c r="N64" s="1"/>
      <c r="O64" s="11"/>
      <c r="P64" s="11"/>
      <c r="Q64" s="11"/>
      <c r="R64" s="11"/>
      <c r="S64" s="55"/>
    </row>
    <row r="65">
      <c r="A65" s="1">
        <v>7.8</v>
      </c>
      <c r="B65" s="52">
        <v>21.8</v>
      </c>
      <c r="C65" s="53">
        <v>31.2</v>
      </c>
      <c r="D65" s="53">
        <v>3.9</v>
      </c>
      <c r="E65" s="52">
        <v>1250.0</v>
      </c>
      <c r="F65" s="52"/>
      <c r="G65" s="1"/>
      <c r="H65" s="1"/>
      <c r="I65" s="1"/>
      <c r="J65" s="1"/>
      <c r="K65" s="26"/>
      <c r="L65" s="1"/>
      <c r="M65" s="1"/>
      <c r="N65" s="1"/>
      <c r="O65" s="11"/>
      <c r="P65" s="11"/>
      <c r="Q65" s="11"/>
      <c r="R65" s="11"/>
      <c r="S65" s="55"/>
    </row>
    <row r="66">
      <c r="A66" s="1"/>
      <c r="B66" s="52"/>
      <c r="C66" s="53"/>
      <c r="D66" s="53"/>
      <c r="F66" s="52"/>
      <c r="G66" s="1"/>
      <c r="H66" s="1"/>
      <c r="I66" s="1"/>
      <c r="J66" s="1"/>
      <c r="K66" s="26"/>
      <c r="L66" s="1"/>
      <c r="M66" s="1"/>
      <c r="N66" s="1"/>
      <c r="O66" s="11"/>
      <c r="P66" s="11"/>
      <c r="Q66" s="11"/>
      <c r="R66" s="11"/>
      <c r="S66" s="55"/>
    </row>
    <row r="67" ht="15.0" customHeight="1">
      <c r="A67" s="98"/>
      <c r="B67" s="105"/>
      <c r="C67" s="62" t="s">
        <v>358</v>
      </c>
      <c r="D67" s="62">
        <v>10.0</v>
      </c>
      <c r="E67" s="105">
        <v>0.25</v>
      </c>
      <c r="F67" s="105"/>
      <c r="G67" s="98"/>
      <c r="H67" s="98"/>
      <c r="I67" s="98"/>
      <c r="J67" s="98"/>
      <c r="K67" s="12"/>
      <c r="L67" s="98"/>
      <c r="M67" s="98"/>
      <c r="N67" s="98"/>
      <c r="O67" s="11"/>
      <c r="P67" s="11"/>
      <c r="Q67" s="11"/>
      <c r="R67" s="11"/>
      <c r="S67" s="98"/>
    </row>
    <row r="68">
      <c r="A68" s="1"/>
      <c r="B68" s="52"/>
      <c r="C68" s="53"/>
      <c r="D68" s="53"/>
      <c r="E68" s="52"/>
      <c r="F68" s="1"/>
      <c r="G68" s="52"/>
      <c r="H68" s="1"/>
      <c r="I68" s="1"/>
      <c r="J68" s="1"/>
      <c r="K68" s="26"/>
      <c r="L68" s="1"/>
      <c r="M68" s="1"/>
      <c r="N68" s="1"/>
      <c r="O68" s="11"/>
      <c r="P68" s="11"/>
      <c r="Q68" s="11"/>
      <c r="R68" s="11"/>
      <c r="S68" s="55"/>
    </row>
    <row r="69">
      <c r="A69" s="1" t="s">
        <v>707</v>
      </c>
      <c r="B69" s="61">
        <f>11850/E65+18.4/A65</f>
        <v>11.83897436</v>
      </c>
      <c r="C69" s="26"/>
      <c r="D69" s="26"/>
      <c r="E69" s="52"/>
      <c r="F69" s="83"/>
      <c r="I69" s="27"/>
      <c r="J69" s="1"/>
      <c r="K69" s="26"/>
      <c r="L69" s="1"/>
      <c r="M69" s="1"/>
      <c r="N69" s="1"/>
      <c r="O69" s="11"/>
      <c r="P69" s="11"/>
      <c r="Q69" s="11"/>
      <c r="R69" s="11"/>
      <c r="S69" s="55"/>
    </row>
    <row r="70">
      <c r="A70" s="1" t="s">
        <v>708</v>
      </c>
      <c r="B70" s="52">
        <f>21/D65+84/C65</f>
        <v>8.076923077</v>
      </c>
      <c r="C70" s="61">
        <f>84*0.8*1000/24.9</f>
        <v>2698.795181</v>
      </c>
      <c r="D70" s="26"/>
      <c r="E70" s="52"/>
      <c r="F70" s="11"/>
      <c r="G70" s="52"/>
      <c r="H70" s="1"/>
      <c r="I70" s="27"/>
      <c r="J70" s="64"/>
      <c r="K70" s="26"/>
      <c r="L70" s="1"/>
      <c r="M70" s="1"/>
      <c r="N70" s="1"/>
      <c r="O70" s="11"/>
      <c r="P70" s="11"/>
      <c r="Q70" s="11"/>
      <c r="R70" s="11"/>
      <c r="S70" s="55"/>
    </row>
    <row r="71">
      <c r="A71" s="1"/>
      <c r="B71" s="52"/>
      <c r="C71" s="26">
        <f>6.2/31.2</f>
        <v>0.1987179487</v>
      </c>
      <c r="D71" s="26"/>
      <c r="E71" s="52"/>
      <c r="F71" s="11"/>
      <c r="G71" s="52"/>
      <c r="H71" s="1"/>
      <c r="I71" s="27"/>
      <c r="K71" s="26"/>
      <c r="L71" s="1"/>
      <c r="M71" s="1"/>
      <c r="N71" s="1"/>
      <c r="O71" s="11"/>
      <c r="P71" s="11"/>
      <c r="Q71" s="11"/>
      <c r="R71" s="11"/>
      <c r="S71" s="55"/>
    </row>
    <row r="72">
      <c r="A72" s="1"/>
      <c r="B72" s="52"/>
      <c r="C72" s="26"/>
      <c r="D72" s="26"/>
      <c r="E72" s="52"/>
      <c r="F72" s="11"/>
      <c r="G72" s="52"/>
      <c r="H72" s="1"/>
      <c r="I72" s="27"/>
      <c r="J72" s="64"/>
      <c r="K72" s="1"/>
      <c r="L72" s="1"/>
      <c r="M72" s="1"/>
      <c r="N72" s="1"/>
      <c r="O72" s="11"/>
      <c r="P72" s="11"/>
      <c r="Q72" s="11"/>
      <c r="R72" s="11"/>
      <c r="S72" s="55"/>
    </row>
    <row r="73">
      <c r="A73" s="1"/>
      <c r="B73" s="52"/>
      <c r="C73" s="26"/>
      <c r="D73" s="26"/>
      <c r="E73" s="52"/>
      <c r="F73" s="11"/>
      <c r="G73" s="52"/>
      <c r="H73" s="1"/>
      <c r="I73" s="27"/>
    </row>
    <row r="74">
      <c r="A74" s="1"/>
      <c r="B74" s="52"/>
      <c r="C74" s="26"/>
      <c r="D74" s="26"/>
      <c r="E74" s="52"/>
      <c r="F74" s="11"/>
      <c r="G74" s="52"/>
      <c r="H74" s="1"/>
      <c r="I74" s="27"/>
      <c r="J74" s="64"/>
    </row>
    <row r="75">
      <c r="A75" s="1"/>
      <c r="B75" s="52"/>
      <c r="C75" s="26"/>
      <c r="D75" s="26"/>
      <c r="E75" s="52" t="s">
        <v>709</v>
      </c>
      <c r="F75" s="83" t="s">
        <v>710</v>
      </c>
      <c r="G75" s="52"/>
      <c r="H75" s="1" t="s">
        <v>711</v>
      </c>
      <c r="I75" s="27"/>
    </row>
    <row r="76">
      <c r="A76" s="1"/>
      <c r="B76" s="52"/>
      <c r="C76" s="1" t="s">
        <v>712</v>
      </c>
      <c r="D76" s="1">
        <v>1636316.0</v>
      </c>
      <c r="E76" s="52">
        <v>42934.0</v>
      </c>
      <c r="F76" s="83">
        <v>409839.0</v>
      </c>
      <c r="G76" s="52">
        <f>D76-E76-F76</f>
        <v>1183543</v>
      </c>
      <c r="H76" s="23">
        <v>0.5691</v>
      </c>
      <c r="I76" s="27">
        <f>G76/H76*0.01</f>
        <v>20796.74925</v>
      </c>
      <c r="J76" s="5">
        <f>I76+C16/56.91%*0.01</f>
        <v>37147.40063</v>
      </c>
    </row>
    <row r="77">
      <c r="A77" s="1"/>
      <c r="B77" s="52"/>
      <c r="C77" s="1" t="s">
        <v>26</v>
      </c>
      <c r="D77" s="1">
        <v>177442.0</v>
      </c>
      <c r="E77" s="52">
        <v>3811.0</v>
      </c>
      <c r="F77" s="83">
        <v>173631.0</v>
      </c>
      <c r="G77" s="1"/>
      <c r="H77" s="23">
        <v>0.2184</v>
      </c>
      <c r="I77" s="27">
        <f>F77/H77*0.01</f>
        <v>7950.137363</v>
      </c>
    </row>
    <row r="78">
      <c r="A78" s="1"/>
      <c r="B78" s="52"/>
      <c r="C78" s="53"/>
      <c r="D78" s="53"/>
      <c r="E78" s="52"/>
      <c r="F78" s="1"/>
      <c r="G78" s="52"/>
      <c r="H78" s="1"/>
      <c r="I78" s="1"/>
      <c r="J78" s="1"/>
    </row>
    <row r="79">
      <c r="A79" s="1"/>
      <c r="B79" s="52"/>
      <c r="C79" s="26"/>
      <c r="D79" s="26"/>
      <c r="E79" s="52"/>
      <c r="F79" s="83"/>
      <c r="I79" s="27"/>
      <c r="J79" s="1"/>
    </row>
    <row r="80">
      <c r="A80" s="1"/>
      <c r="B80" s="52"/>
      <c r="C80" s="26"/>
      <c r="D80" s="26"/>
      <c r="E80" s="52"/>
      <c r="F80" s="11"/>
      <c r="G80" s="52"/>
      <c r="H80" s="1"/>
      <c r="I80" s="27"/>
      <c r="J80" s="64"/>
    </row>
    <row r="81">
      <c r="A81" s="1"/>
      <c r="B81" s="52"/>
      <c r="C81" s="26"/>
      <c r="D81" s="26"/>
      <c r="E81" s="52"/>
      <c r="F81" s="11"/>
      <c r="G81" s="52"/>
      <c r="H81" s="1"/>
      <c r="I81" s="27"/>
    </row>
    <row r="82">
      <c r="A82" s="1"/>
      <c r="B82" s="52"/>
      <c r="C82" s="26"/>
      <c r="D82" s="26"/>
      <c r="E82" s="52"/>
      <c r="F82" s="11"/>
      <c r="G82" s="52"/>
      <c r="H82" s="1"/>
      <c r="I82" s="27"/>
      <c r="J82" s="64"/>
    </row>
    <row r="83">
      <c r="A83" s="1" t="s">
        <v>5</v>
      </c>
      <c r="B83" s="52">
        <f>1634752-1397072</f>
        <v>237680</v>
      </c>
      <c r="C83" s="61">
        <f>B83/31.6</f>
        <v>7521.518987</v>
      </c>
      <c r="D83" s="26"/>
      <c r="E83" s="52"/>
      <c r="F83" s="11"/>
      <c r="G83" s="52"/>
      <c r="H83" s="1"/>
      <c r="I83" s="27"/>
    </row>
    <row r="84">
      <c r="A84" s="1" t="s">
        <v>7</v>
      </c>
      <c r="B84" s="52">
        <f>2471435-(1260355+1136204)</f>
        <v>74876</v>
      </c>
      <c r="C84" s="61" t="s">
        <v>713</v>
      </c>
      <c r="D84" s="26"/>
      <c r="E84" s="52"/>
      <c r="F84" s="11"/>
      <c r="G84" s="52"/>
      <c r="H84" s="1"/>
      <c r="I84" s="27"/>
      <c r="J84" s="64"/>
    </row>
    <row r="85">
      <c r="A85" s="1" t="s">
        <v>116</v>
      </c>
      <c r="B85" s="52">
        <f>2608411-(1083233+1177986)</f>
        <v>347192</v>
      </c>
      <c r="C85" s="61">
        <f>B85/35.6</f>
        <v>9752.58427</v>
      </c>
      <c r="D85" s="26"/>
      <c r="E85" s="52"/>
      <c r="F85" s="11"/>
      <c r="G85" s="52"/>
      <c r="H85" s="1"/>
      <c r="I85" s="27"/>
    </row>
    <row r="86">
      <c r="A86" s="1" t="s">
        <v>6</v>
      </c>
      <c r="B86" s="52">
        <f>1576178-(1353075+182937)</f>
        <v>40166</v>
      </c>
      <c r="C86" s="61">
        <f>B86/1.8</f>
        <v>22314.44444</v>
      </c>
      <c r="D86" s="26"/>
      <c r="E86" s="52"/>
      <c r="F86" s="11"/>
      <c r="G86" s="52"/>
      <c r="H86" s="1"/>
      <c r="I86" s="27"/>
      <c r="J86" s="64"/>
    </row>
    <row r="87">
      <c r="A87" s="1" t="s">
        <v>4</v>
      </c>
      <c r="B87" s="52">
        <f>2301773-(559540+46808)</f>
        <v>1695425</v>
      </c>
      <c r="C87" s="61">
        <f>B87/48.7</f>
        <v>34813.65503</v>
      </c>
      <c r="D87" s="26"/>
      <c r="E87" s="52"/>
      <c r="F87" s="11"/>
      <c r="G87" s="52"/>
      <c r="H87" s="1"/>
      <c r="I87" s="27"/>
    </row>
    <row r="88">
      <c r="A88" s="1" t="s">
        <v>3</v>
      </c>
      <c r="B88">
        <f>2637623-(1287954+1174308)</f>
        <v>175361</v>
      </c>
      <c r="C88" s="101">
        <f>B88/36.8</f>
        <v>4765.244565</v>
      </c>
    </row>
    <row r="89">
      <c r="C89" s="101">
        <f>sum(C85:C88)+C83</f>
        <v>79167.4473</v>
      </c>
    </row>
    <row r="92">
      <c r="A92" s="1"/>
      <c r="G92" s="1"/>
    </row>
    <row r="93">
      <c r="F93" s="1" t="s">
        <v>714</v>
      </c>
      <c r="G93" s="1" t="s">
        <v>715</v>
      </c>
      <c r="H93" s="1" t="s">
        <v>716</v>
      </c>
      <c r="L93" s="1" t="s">
        <v>717</v>
      </c>
      <c r="M93" s="1" t="s">
        <v>718</v>
      </c>
      <c r="N93" s="1" t="s">
        <v>719</v>
      </c>
    </row>
    <row r="94">
      <c r="E94" s="1" t="s">
        <v>703</v>
      </c>
      <c r="F94" s="1">
        <v>759.6</v>
      </c>
      <c r="G94" s="1">
        <v>262.1</v>
      </c>
      <c r="H94">
        <f t="shared" ref="H94:H101" si="6">F94-G94*0.8</f>
        <v>549.92</v>
      </c>
      <c r="N94" s="1">
        <v>17.4</v>
      </c>
    </row>
    <row r="95">
      <c r="E95" s="1" t="s">
        <v>704</v>
      </c>
      <c r="F95" s="1">
        <v>422.8</v>
      </c>
      <c r="G95" s="1">
        <v>318.3</v>
      </c>
      <c r="H95">
        <f t="shared" si="6"/>
        <v>168.16</v>
      </c>
      <c r="L95">
        <f>300</f>
        <v>300</v>
      </c>
      <c r="M95">
        <f t="shared" ref="M95:M96" si="7">max(F95-L95,F95-G95)</f>
        <v>122.8</v>
      </c>
      <c r="N95" s="1">
        <v>24.9</v>
      </c>
      <c r="O95">
        <f t="shared" ref="O95:O98" si="8">M95/N95</f>
        <v>4.931726908</v>
      </c>
    </row>
    <row r="96">
      <c r="E96" s="1" t="s">
        <v>712</v>
      </c>
      <c r="F96" s="1">
        <v>383.3</v>
      </c>
      <c r="G96" s="1">
        <v>213.5</v>
      </c>
      <c r="H96">
        <f t="shared" si="6"/>
        <v>212.5</v>
      </c>
      <c r="L96" s="1">
        <v>200.0</v>
      </c>
      <c r="M96">
        <f t="shared" si="7"/>
        <v>183.3</v>
      </c>
      <c r="N96" s="1">
        <v>24.9</v>
      </c>
      <c r="O96">
        <f t="shared" si="8"/>
        <v>7.361445783</v>
      </c>
    </row>
    <row r="97">
      <c r="E97" s="1" t="s">
        <v>702</v>
      </c>
      <c r="F97" s="1">
        <v>92.5</v>
      </c>
      <c r="G97" s="1">
        <v>23.5</v>
      </c>
      <c r="H97">
        <f t="shared" si="6"/>
        <v>73.7</v>
      </c>
      <c r="L97" s="1">
        <v>67.0</v>
      </c>
      <c r="M97">
        <f t="shared" ref="M97:M101" si="9">if(max(F97-L97,F97-G97)&gt;G97,G97,max(F97-L97,F97-G97))</f>
        <v>23.5</v>
      </c>
      <c r="N97" s="1">
        <v>6.2</v>
      </c>
      <c r="O97">
        <f t="shared" si="8"/>
        <v>3.790322581</v>
      </c>
    </row>
    <row r="98">
      <c r="E98" s="1" t="s">
        <v>720</v>
      </c>
      <c r="F98" s="1">
        <v>186.1</v>
      </c>
      <c r="G98" s="1">
        <v>181.1</v>
      </c>
      <c r="H98">
        <f t="shared" si="6"/>
        <v>41.22</v>
      </c>
      <c r="L98" s="1">
        <v>100.0</v>
      </c>
      <c r="M98">
        <f t="shared" si="9"/>
        <v>86.1</v>
      </c>
      <c r="N98" s="1">
        <v>10.0</v>
      </c>
      <c r="O98">
        <f t="shared" si="8"/>
        <v>8.61</v>
      </c>
    </row>
    <row r="99">
      <c r="E99" s="1" t="s">
        <v>721</v>
      </c>
      <c r="F99" s="1">
        <v>30102.0</v>
      </c>
      <c r="G99" s="1">
        <v>30102.0</v>
      </c>
      <c r="H99">
        <f t="shared" si="6"/>
        <v>6020.4</v>
      </c>
      <c r="M99">
        <f t="shared" si="9"/>
        <v>30102</v>
      </c>
      <c r="N99" s="1">
        <v>1000.0</v>
      </c>
    </row>
    <row r="100">
      <c r="E100" s="1" t="s">
        <v>722</v>
      </c>
      <c r="F100" s="1">
        <v>134.0</v>
      </c>
      <c r="G100" s="1">
        <v>53.8</v>
      </c>
      <c r="H100">
        <f t="shared" si="6"/>
        <v>90.96</v>
      </c>
      <c r="L100" s="1">
        <v>100.0</v>
      </c>
      <c r="M100">
        <f t="shared" si="9"/>
        <v>53.8</v>
      </c>
      <c r="N100" s="1">
        <v>3.1</v>
      </c>
      <c r="O100">
        <f t="shared" ref="O100:O101" si="10">M100/N100</f>
        <v>17.35483871</v>
      </c>
    </row>
    <row r="101">
      <c r="E101" s="1" t="s">
        <v>723</v>
      </c>
      <c r="F101" s="1">
        <v>81.9</v>
      </c>
      <c r="G101" s="1">
        <v>49.4</v>
      </c>
      <c r="H101">
        <f t="shared" si="6"/>
        <v>42.38</v>
      </c>
      <c r="L101" s="1">
        <v>0.0</v>
      </c>
      <c r="M101">
        <f t="shared" si="9"/>
        <v>49.4</v>
      </c>
      <c r="N101" s="1">
        <v>10.0</v>
      </c>
      <c r="O101">
        <f t="shared" si="10"/>
        <v>4.94</v>
      </c>
    </row>
    <row r="102">
      <c r="O102">
        <f>sum(O95:O101)</f>
        <v>46.98833398</v>
      </c>
    </row>
    <row r="103">
      <c r="F103" s="1" t="s">
        <v>724</v>
      </c>
      <c r="M103" s="1">
        <v>111200.0</v>
      </c>
    </row>
    <row r="104">
      <c r="F104">
        <f t="shared" ref="F104:F108" si="11">(F94-G94)</f>
        <v>497.5</v>
      </c>
      <c r="M104" s="1">
        <v>117840.0</v>
      </c>
      <c r="N104">
        <f>M104-M105</f>
        <v>87738</v>
      </c>
    </row>
    <row r="105">
      <c r="F105">
        <f t="shared" si="11"/>
        <v>104.5</v>
      </c>
      <c r="M105" s="1">
        <v>30102.0</v>
      </c>
      <c r="N105">
        <f>N104/2</f>
        <v>43869</v>
      </c>
    </row>
    <row r="106">
      <c r="F106">
        <f t="shared" si="11"/>
        <v>169.8</v>
      </c>
    </row>
    <row r="107">
      <c r="F107">
        <f t="shared" si="11"/>
        <v>69</v>
      </c>
    </row>
    <row r="108">
      <c r="F108">
        <f t="shared" si="11"/>
        <v>5</v>
      </c>
    </row>
    <row r="110">
      <c r="F110">
        <f t="shared" ref="F110:F111" si="12">(F100-G100)</f>
        <v>80.2</v>
      </c>
    </row>
    <row r="111">
      <c r="F111">
        <f t="shared" si="12"/>
        <v>32.5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  <c r="B1" s="1" t="s">
        <v>117</v>
      </c>
      <c r="C1" s="1" t="s">
        <v>23</v>
      </c>
      <c r="D1" s="1" t="s">
        <v>12</v>
      </c>
      <c r="E1" s="1" t="s">
        <v>24</v>
      </c>
      <c r="F1" s="1" t="s">
        <v>25</v>
      </c>
      <c r="G1" s="1" t="s">
        <v>26</v>
      </c>
      <c r="H1" s="21" t="s">
        <v>1</v>
      </c>
      <c r="I1" s="21" t="s">
        <v>550</v>
      </c>
      <c r="J1" s="1" t="s">
        <v>534</v>
      </c>
      <c r="K1" s="1" t="s">
        <v>119</v>
      </c>
      <c r="L1">
        <f>sum(S:S)+0.008*$I$3+(0.008+0.0075)*$I$4</f>
        <v>49865.30887</v>
      </c>
    </row>
    <row r="2">
      <c r="A2" s="1" t="s">
        <v>111</v>
      </c>
      <c r="B2" s="11">
        <f>Warden!B2</f>
        <v>19908.53</v>
      </c>
      <c r="C2" s="64">
        <f>Warden!C2</f>
        <v>16.99546333</v>
      </c>
      <c r="D2" s="64">
        <f>Warden!D2</f>
        <v>16.98442667</v>
      </c>
      <c r="E2" s="64">
        <f>Warden!E2</f>
        <v>3.58512</v>
      </c>
      <c r="F2" s="11">
        <f>Warden!F2</f>
        <v>880.042</v>
      </c>
      <c r="G2" s="64">
        <f>Warden!G2</f>
        <v>0.7870833333</v>
      </c>
      <c r="H2" s="21" t="s">
        <v>23</v>
      </c>
      <c r="I2" s="47">
        <f>SUM(P9:P998)</f>
        <v>7016.733491</v>
      </c>
      <c r="J2" s="26">
        <v>1.3</v>
      </c>
      <c r="K2" s="1" t="s">
        <v>121</v>
      </c>
      <c r="L2">
        <f>sum(S:S)+0.008*$I$3+0.008*$I$4</f>
        <v>49768.03639</v>
      </c>
      <c r="T2">
        <f>I2*48.3*(1.11)</f>
        <v>376188.1326</v>
      </c>
    </row>
    <row r="3">
      <c r="A3" s="1" t="s">
        <v>112</v>
      </c>
      <c r="B3" s="11">
        <f>Warden!B3</f>
        <v>17684</v>
      </c>
      <c r="C3" s="64">
        <f>Warden!C3</f>
        <v>12.334</v>
      </c>
      <c r="D3" s="64">
        <f>Warden!D3</f>
        <v>14.997</v>
      </c>
      <c r="E3" s="64">
        <f>Warden!E3</f>
        <v>2.837</v>
      </c>
      <c r="F3" s="11">
        <f>Warden!F3</f>
        <v>834.6</v>
      </c>
      <c r="G3" s="64">
        <f>Warden!G3</f>
        <v>0.759</v>
      </c>
      <c r="H3" s="21" t="s">
        <v>12</v>
      </c>
      <c r="I3" s="47">
        <f>sum(Q9:Q998)</f>
        <v>4282.243974</v>
      </c>
      <c r="J3" s="45">
        <f>I2*110*1.11</f>
        <v>856743.1592</v>
      </c>
      <c r="M3">
        <f>C11*(1-265.4/287.2)</f>
        <v>451389.5764</v>
      </c>
      <c r="N3" s="46" t="s">
        <v>124</v>
      </c>
      <c r="P3">
        <f>(20*1.08*I3+20*1.13*I2+15*I4)-(110*1.08*I3)</f>
        <v>-63110.96099</v>
      </c>
      <c r="T3">
        <f>I4*60</f>
        <v>778179.9054</v>
      </c>
    </row>
    <row r="4">
      <c r="A4" s="1" t="s">
        <v>113</v>
      </c>
      <c r="B4" s="11">
        <f>Warden!B4</f>
        <v>18546</v>
      </c>
      <c r="C4" s="64">
        <f>Warden!C4</f>
        <v>16.933</v>
      </c>
      <c r="D4" s="64">
        <f>Warden!D4</f>
        <v>16.8095</v>
      </c>
      <c r="E4" s="64">
        <f>Warden!E4</f>
        <v>3.527</v>
      </c>
      <c r="F4" s="11">
        <f>Warden!F4</f>
        <v>888.9</v>
      </c>
      <c r="G4" s="64">
        <f>Warden!G4</f>
        <v>0.782</v>
      </c>
      <c r="H4" s="21" t="s">
        <v>13</v>
      </c>
      <c r="I4" s="47">
        <f>sum(R9:R998)</f>
        <v>12969.66509</v>
      </c>
      <c r="K4">
        <f>9.28*24673+I2*19.7*1.11</f>
        <v>382400.3512</v>
      </c>
      <c r="L4">
        <f>1.08*(12*6*I2+12*4*I3)</f>
        <v>767612.7238</v>
      </c>
      <c r="M4">
        <v>1551109.2768454037</v>
      </c>
      <c r="N4" s="46" t="s">
        <v>125</v>
      </c>
      <c r="O4" s="102">
        <f>48*(I2*1.13+I3*1.08)-44*1.08*I3</f>
        <v>399086.9185</v>
      </c>
      <c r="V4" s="1"/>
      <c r="W4" s="1"/>
      <c r="X4" s="1"/>
    </row>
    <row r="5">
      <c r="A5" s="1" t="s">
        <v>114</v>
      </c>
      <c r="B5" s="11">
        <f>Warden!B5</f>
        <v>23722</v>
      </c>
      <c r="C5" s="64">
        <f>Warden!C5</f>
        <v>20.053</v>
      </c>
      <c r="D5" s="64">
        <f>Warden!D5</f>
        <v>19.95</v>
      </c>
      <c r="E5" s="64">
        <f>Warden!E5</f>
        <v>4.411</v>
      </c>
      <c r="F5" s="11">
        <f>Warden!F5</f>
        <v>888.9</v>
      </c>
      <c r="G5" s="64">
        <f>Warden!G5</f>
        <v>0.882</v>
      </c>
      <c r="H5" s="21" t="str">
        <f>B1</f>
        <v>Agility</v>
      </c>
      <c r="I5" s="47">
        <f>SUM(S9:S998)/500+0.008*I$2+0.008*I$3</f>
        <v>189.6518619</v>
      </c>
      <c r="J5">
        <f>7.2*(I3*1.08+I2*1.13)</f>
        <v>90386.87282</v>
      </c>
      <c r="M5">
        <f>19.7*(I2*1.11+I3*1.05)+2.5*I2*1.11+M3</f>
        <v>712874.1397</v>
      </c>
      <c r="N5" s="46" t="s">
        <v>126</v>
      </c>
      <c r="V5" s="1"/>
      <c r="X5" s="48"/>
    </row>
    <row r="6">
      <c r="A6" s="9"/>
      <c r="B6">
        <f>B2*0.0075</f>
        <v>149.313975</v>
      </c>
      <c r="C6">
        <f>B6*I3</f>
        <v>639398.8696</v>
      </c>
      <c r="H6" s="1" t="s">
        <v>128</v>
      </c>
      <c r="I6" s="47">
        <f>SUM(S9:S998)/500+0.008*I$2+(0.008+0.0075)*I$3</f>
        <v>221.7686917</v>
      </c>
      <c r="J6" s="1" t="s">
        <v>725</v>
      </c>
      <c r="K6">
        <f>I2*48.3*(1.11)</f>
        <v>376188.1326</v>
      </c>
      <c r="N6" s="46" t="s">
        <v>127</v>
      </c>
      <c r="O6" s="1"/>
      <c r="P6" s="1"/>
      <c r="V6" s="1"/>
    </row>
    <row r="7">
      <c r="A7" s="49"/>
      <c r="B7" s="49"/>
      <c r="C7" s="49"/>
      <c r="D7" s="106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50"/>
      <c r="Q7" s="51"/>
      <c r="R7" s="1"/>
      <c r="S7" s="1"/>
      <c r="V7" s="1"/>
    </row>
    <row r="8">
      <c r="A8" s="9" t="s">
        <v>726</v>
      </c>
      <c r="J8" s="1"/>
      <c r="V8" s="1"/>
    </row>
    <row r="9">
      <c r="A9" s="49" t="s">
        <v>131</v>
      </c>
      <c r="B9" s="49" t="s">
        <v>89</v>
      </c>
      <c r="C9" s="49" t="s">
        <v>132</v>
      </c>
      <c r="D9" s="49" t="s">
        <v>111</v>
      </c>
      <c r="E9" s="49" t="s">
        <v>133</v>
      </c>
      <c r="F9" s="49" t="s">
        <v>134</v>
      </c>
      <c r="G9" s="49" t="s">
        <v>135</v>
      </c>
      <c r="H9" s="49" t="s">
        <v>136</v>
      </c>
      <c r="I9" s="49" t="s">
        <v>137</v>
      </c>
      <c r="J9" s="49" t="s">
        <v>138</v>
      </c>
      <c r="K9" s="49" t="s">
        <v>28</v>
      </c>
      <c r="L9" s="49" t="s">
        <v>139</v>
      </c>
      <c r="M9" s="49" t="s">
        <v>140</v>
      </c>
      <c r="N9" s="49" t="s">
        <v>141</v>
      </c>
      <c r="O9" s="50"/>
      <c r="P9" s="50" t="s">
        <v>142</v>
      </c>
      <c r="Q9" s="51" t="s">
        <v>143</v>
      </c>
      <c r="R9" s="1" t="s">
        <v>144</v>
      </c>
      <c r="S9" s="1" t="s">
        <v>37</v>
      </c>
      <c r="V9" s="1"/>
    </row>
    <row r="10">
      <c r="A10" s="1" t="s">
        <v>146</v>
      </c>
      <c r="B10" s="52">
        <v>8.033031048E9</v>
      </c>
      <c r="C10" s="53">
        <v>1.323398855E7</v>
      </c>
      <c r="D10" s="53">
        <v>1663154.0</v>
      </c>
      <c r="E10" s="52">
        <v>24898.0</v>
      </c>
      <c r="F10" s="52">
        <v>1.6072687E7</v>
      </c>
      <c r="G10" s="52">
        <v>4830.0</v>
      </c>
      <c r="H10" s="52">
        <v>4830.0</v>
      </c>
      <c r="I10" s="1">
        <v>100.0</v>
      </c>
      <c r="J10" s="1">
        <v>1.09</v>
      </c>
      <c r="K10" s="26">
        <v>0.99</v>
      </c>
      <c r="L10" s="1" t="s">
        <v>727</v>
      </c>
      <c r="M10" s="1" t="s">
        <v>146</v>
      </c>
      <c r="N10" s="1">
        <v>100.0</v>
      </c>
      <c r="O10" s="11"/>
      <c r="P10" s="11" t="str">
        <f t="shared" ref="P10:P38" si="1">if($N10&lt;4,$C10*(($J$2+C$2+1%)/($J$2+C$2)-1),"")</f>
        <v/>
      </c>
      <c r="Q10" s="11" t="str">
        <f>if($N10=2,$C10*((1.5+D$2+1%)/(1.5+D$2)-1),"")</f>
        <v/>
      </c>
      <c r="R10" s="11" t="str">
        <f t="shared" ref="R10:R31" si="2">if($N10=1,$C10*((1+E$2+1%)/(1+E$2)-1),"")</f>
        <v/>
      </c>
      <c r="S10" s="55" t="str">
        <f>if($N10&lt;3,C10*((floor((log($B$2+500,2)*0.28-1.2)*100,0.001)/100)/(floor((log($B$2,2)*0.28-1.2)*100,0.001)/100)-1),"")</f>
        <v/>
      </c>
      <c r="V10" s="1"/>
      <c r="X10" s="56"/>
    </row>
    <row r="11">
      <c r="A11" s="1" t="s">
        <v>152</v>
      </c>
      <c r="B11" s="52">
        <v>3.609675476E9</v>
      </c>
      <c r="C11" s="53">
        <v>5946747.08</v>
      </c>
      <c r="D11" s="53">
        <v>3936397.0</v>
      </c>
      <c r="E11" s="52">
        <v>1381372.0</v>
      </c>
      <c r="F11" s="52">
        <v>1.6072687E7</v>
      </c>
      <c r="G11" s="52">
        <v>917.0</v>
      </c>
      <c r="H11" s="52">
        <v>917.0</v>
      </c>
      <c r="I11" s="1">
        <v>100.0</v>
      </c>
      <c r="J11" s="1">
        <v>3.01</v>
      </c>
      <c r="K11" s="26">
        <v>1.0</v>
      </c>
      <c r="L11" s="1" t="s">
        <v>728</v>
      </c>
      <c r="M11" s="1" t="s">
        <v>154</v>
      </c>
      <c r="N11" s="1">
        <v>1.0</v>
      </c>
      <c r="O11" s="11"/>
      <c r="P11" s="11">
        <f t="shared" si="1"/>
        <v>3250.394358</v>
      </c>
      <c r="Q11" s="11" t="str">
        <f t="shared" ref="Q11:Q38" si="3">if(OR($N11=2,$N11=5),$C11*((1.5+D$2+1%)/(1.5+D$2)-1),"")</f>
        <v/>
      </c>
      <c r="R11" s="11">
        <f t="shared" si="2"/>
        <v>12969.66509</v>
      </c>
      <c r="S11" s="55">
        <f t="shared" ref="S11:S38" si="4">if(OR($N11&lt;3,$N11=5),C11*((floor((log($B$2+500,2)*0.28-1.2)*100,0.001)/100)/(floor((log($B$2,2)*0.28-1.2)*100,0.001)/100)-1),"")</f>
        <v>21290.74418</v>
      </c>
      <c r="V11" s="1"/>
    </row>
    <row r="12">
      <c r="A12" s="1" t="s">
        <v>287</v>
      </c>
      <c r="B12" s="52">
        <v>7.95965384E8</v>
      </c>
      <c r="C12" s="53">
        <v>1311310.35</v>
      </c>
      <c r="D12" s="53">
        <v>2689072.0</v>
      </c>
      <c r="E12" s="52">
        <v>993810.0</v>
      </c>
      <c r="F12" s="52">
        <v>1.0463635E7</v>
      </c>
      <c r="G12" s="52">
        <v>296.0</v>
      </c>
      <c r="H12" s="52">
        <v>296.0</v>
      </c>
      <c r="I12" s="1">
        <v>100.0</v>
      </c>
      <c r="J12" s="1">
        <v>5.86</v>
      </c>
      <c r="K12" s="26">
        <v>1.0</v>
      </c>
      <c r="L12" s="1" t="s">
        <v>729</v>
      </c>
      <c r="M12" s="1" t="s">
        <v>172</v>
      </c>
      <c r="N12" s="1">
        <v>2.0</v>
      </c>
      <c r="O12" s="11"/>
      <c r="P12" s="11">
        <f t="shared" si="1"/>
        <v>716.7407166</v>
      </c>
      <c r="Q12" s="11">
        <f t="shared" si="3"/>
        <v>709.413591</v>
      </c>
      <c r="R12" s="11" t="str">
        <f t="shared" si="2"/>
        <v/>
      </c>
      <c r="S12" s="55">
        <f t="shared" si="4"/>
        <v>4694.79748</v>
      </c>
      <c r="V12" s="1"/>
    </row>
    <row r="13">
      <c r="A13" s="1" t="s">
        <v>272</v>
      </c>
      <c r="B13" s="52">
        <v>5.82006241E8</v>
      </c>
      <c r="C13" s="53">
        <v>958824.12</v>
      </c>
      <c r="D13" s="53">
        <v>1853523.0</v>
      </c>
      <c r="E13" s="52">
        <v>622666.0</v>
      </c>
      <c r="F13" s="52">
        <v>9724605.0</v>
      </c>
      <c r="G13" s="52">
        <v>314.0</v>
      </c>
      <c r="H13" s="52">
        <v>314.0</v>
      </c>
      <c r="I13" s="1">
        <v>100.0</v>
      </c>
      <c r="J13" s="1">
        <v>5.63</v>
      </c>
      <c r="K13" s="26">
        <v>1.0</v>
      </c>
      <c r="L13" s="1" t="s">
        <v>730</v>
      </c>
      <c r="M13" s="1" t="s">
        <v>154</v>
      </c>
      <c r="N13" s="1">
        <v>2.0</v>
      </c>
      <c r="O13" s="11"/>
      <c r="P13" s="11">
        <f t="shared" si="1"/>
        <v>524.0775281</v>
      </c>
      <c r="Q13" s="11">
        <f t="shared" si="3"/>
        <v>518.7199675</v>
      </c>
      <c r="R13" s="11" t="str">
        <f t="shared" si="2"/>
        <v/>
      </c>
      <c r="S13" s="55">
        <f t="shared" si="4"/>
        <v>3432.814408</v>
      </c>
      <c r="V13" s="1"/>
    </row>
    <row r="14">
      <c r="A14" s="1" t="s">
        <v>312</v>
      </c>
      <c r="B14" s="52">
        <v>3.54404797E8</v>
      </c>
      <c r="C14" s="53">
        <v>583862.93</v>
      </c>
      <c r="D14" s="53">
        <v>899504.6</v>
      </c>
      <c r="E14" s="52">
        <v>323612.0</v>
      </c>
      <c r="F14" s="52">
        <v>3914861.0</v>
      </c>
      <c r="G14" s="52">
        <v>394.0</v>
      </c>
      <c r="H14" s="52">
        <v>394.0</v>
      </c>
      <c r="I14" s="1">
        <v>100.0</v>
      </c>
      <c r="J14" s="1">
        <v>2.83</v>
      </c>
      <c r="K14" s="26">
        <v>1.0</v>
      </c>
      <c r="L14" s="1" t="s">
        <v>731</v>
      </c>
      <c r="M14" s="1" t="s">
        <v>172</v>
      </c>
      <c r="N14" s="1">
        <v>2.0</v>
      </c>
      <c r="O14" s="11"/>
      <c r="P14" s="11">
        <f t="shared" si="1"/>
        <v>319.1298954</v>
      </c>
      <c r="Q14" s="11">
        <f t="shared" si="3"/>
        <v>315.8674816</v>
      </c>
      <c r="R14" s="11" t="str">
        <f t="shared" si="2"/>
        <v/>
      </c>
      <c r="S14" s="55">
        <f t="shared" si="4"/>
        <v>2090.365726</v>
      </c>
    </row>
    <row r="15">
      <c r="A15" s="1" t="s">
        <v>318</v>
      </c>
      <c r="B15" s="52">
        <v>3.47970863E8</v>
      </c>
      <c r="C15" s="53">
        <v>573263.37</v>
      </c>
      <c r="D15" s="53">
        <v>887680.8</v>
      </c>
      <c r="E15" s="52">
        <v>408156.0</v>
      </c>
      <c r="F15" s="52">
        <v>4838169.0</v>
      </c>
      <c r="G15" s="1">
        <v>392.0</v>
      </c>
      <c r="H15" s="1">
        <v>392.0</v>
      </c>
      <c r="I15" s="1">
        <v>100.0</v>
      </c>
      <c r="J15" s="1">
        <v>2.33</v>
      </c>
      <c r="K15" s="26">
        <v>1.0</v>
      </c>
      <c r="L15" s="1" t="s">
        <v>732</v>
      </c>
      <c r="M15" s="1" t="s">
        <v>193</v>
      </c>
      <c r="N15" s="1">
        <v>2.0</v>
      </c>
      <c r="O15" s="11"/>
      <c r="P15" s="11">
        <f t="shared" si="1"/>
        <v>313.3363499</v>
      </c>
      <c r="Q15" s="11">
        <f t="shared" si="3"/>
        <v>310.1331625</v>
      </c>
      <c r="R15" s="11" t="str">
        <f t="shared" si="2"/>
        <v/>
      </c>
      <c r="S15" s="55">
        <f t="shared" si="4"/>
        <v>2052.416825</v>
      </c>
    </row>
    <row r="16">
      <c r="A16" s="1" t="s">
        <v>174</v>
      </c>
      <c r="B16" s="52">
        <v>2.85428654E8</v>
      </c>
      <c r="C16" s="53">
        <v>470228.43</v>
      </c>
      <c r="D16" s="53">
        <v>1352742.0</v>
      </c>
      <c r="E16" s="52">
        <v>390974.0</v>
      </c>
      <c r="F16" s="52">
        <v>5552255.0</v>
      </c>
      <c r="G16" s="1">
        <v>211.0</v>
      </c>
      <c r="H16" s="1">
        <v>211.0</v>
      </c>
      <c r="I16" s="1">
        <v>100.0</v>
      </c>
      <c r="J16" s="1">
        <v>3.07</v>
      </c>
      <c r="K16" s="26">
        <v>1.0</v>
      </c>
      <c r="L16" s="1" t="s">
        <v>733</v>
      </c>
      <c r="M16" s="1" t="s">
        <v>150</v>
      </c>
      <c r="N16" s="1">
        <v>3.0</v>
      </c>
      <c r="O16" s="11"/>
      <c r="P16" s="11">
        <f t="shared" si="1"/>
        <v>257.0191426</v>
      </c>
      <c r="Q16" s="11" t="str">
        <f t="shared" si="3"/>
        <v/>
      </c>
      <c r="R16" s="11" t="str">
        <f t="shared" si="2"/>
        <v/>
      </c>
      <c r="S16" s="55" t="str">
        <f t="shared" si="4"/>
        <v/>
      </c>
    </row>
    <row r="17">
      <c r="A17" s="1" t="s">
        <v>180</v>
      </c>
      <c r="B17" s="52">
        <v>2.4780406E8</v>
      </c>
      <c r="C17" s="53">
        <v>408243.92</v>
      </c>
      <c r="D17" s="53">
        <v>904394.4</v>
      </c>
      <c r="E17" s="52">
        <v>528128.0</v>
      </c>
      <c r="F17" s="52">
        <v>2847704.0</v>
      </c>
      <c r="G17" s="1">
        <v>274.0</v>
      </c>
      <c r="H17" s="1">
        <v>274.0</v>
      </c>
      <c r="I17" s="1">
        <v>100.0</v>
      </c>
      <c r="J17" s="1">
        <v>2.89</v>
      </c>
      <c r="K17" s="26">
        <v>1.0</v>
      </c>
      <c r="L17" s="1" t="s">
        <v>734</v>
      </c>
      <c r="M17" s="1" t="s">
        <v>182</v>
      </c>
      <c r="N17" s="1">
        <v>3.0</v>
      </c>
      <c r="O17" s="11"/>
      <c r="P17" s="11">
        <f t="shared" si="1"/>
        <v>223.1394267</v>
      </c>
      <c r="Q17" s="11" t="str">
        <f t="shared" si="3"/>
        <v/>
      </c>
      <c r="R17" s="11" t="str">
        <f t="shared" si="2"/>
        <v/>
      </c>
      <c r="S17" s="55" t="str">
        <f t="shared" si="4"/>
        <v/>
      </c>
      <c r="V17" s="1"/>
      <c r="W17" s="1"/>
      <c r="X17" s="1"/>
    </row>
    <row r="18">
      <c r="A18" s="1" t="s">
        <v>228</v>
      </c>
      <c r="B18" s="52">
        <v>2.40705569E8</v>
      </c>
      <c r="C18" s="53">
        <v>396549.54</v>
      </c>
      <c r="D18" s="53">
        <v>4719717.0</v>
      </c>
      <c r="E18" s="52">
        <v>2895533.0</v>
      </c>
      <c r="F18" s="52">
        <v>7163908.0</v>
      </c>
      <c r="G18" s="1">
        <v>51.0</v>
      </c>
      <c r="H18" s="1">
        <v>51.0</v>
      </c>
      <c r="I18" s="1">
        <v>100.0</v>
      </c>
      <c r="J18" s="1">
        <v>12.95</v>
      </c>
      <c r="K18" s="26">
        <v>0.0</v>
      </c>
      <c r="L18" s="1" t="s">
        <v>149</v>
      </c>
      <c r="M18" s="1" t="s">
        <v>193</v>
      </c>
      <c r="N18" s="1">
        <v>4.0</v>
      </c>
      <c r="O18" s="11"/>
      <c r="P18" s="11" t="str">
        <f t="shared" si="1"/>
        <v/>
      </c>
      <c r="Q18" s="11" t="str">
        <f t="shared" si="3"/>
        <v/>
      </c>
      <c r="R18" s="11" t="str">
        <f t="shared" si="2"/>
        <v/>
      </c>
      <c r="S18" s="55" t="str">
        <f t="shared" si="4"/>
        <v/>
      </c>
      <c r="V18" s="1"/>
      <c r="W18" s="58"/>
      <c r="X18" s="58"/>
    </row>
    <row r="19">
      <c r="A19" s="1" t="s">
        <v>346</v>
      </c>
      <c r="B19" s="52">
        <v>2.39036775E8</v>
      </c>
      <c r="C19" s="53">
        <v>393800.29</v>
      </c>
      <c r="D19" s="53">
        <v>477119.3</v>
      </c>
      <c r="E19" s="52">
        <v>173996.0</v>
      </c>
      <c r="F19" s="52">
        <v>1651624.0</v>
      </c>
      <c r="G19" s="1">
        <v>501.0</v>
      </c>
      <c r="H19" s="1">
        <v>501.0</v>
      </c>
      <c r="I19" s="1">
        <v>100.0</v>
      </c>
      <c r="J19" s="1">
        <v>1.57</v>
      </c>
      <c r="K19" s="26">
        <v>1.0</v>
      </c>
      <c r="L19" s="1" t="s">
        <v>735</v>
      </c>
      <c r="M19" s="1" t="s">
        <v>172</v>
      </c>
      <c r="N19" s="1">
        <v>2.0</v>
      </c>
      <c r="O19" s="11"/>
      <c r="P19" s="11">
        <f t="shared" si="1"/>
        <v>215.2447756</v>
      </c>
      <c r="Q19" s="11">
        <f t="shared" si="3"/>
        <v>213.0443628</v>
      </c>
      <c r="R19" s="11" t="str">
        <f t="shared" si="2"/>
        <v/>
      </c>
      <c r="S19" s="55">
        <f t="shared" si="4"/>
        <v>1409.897061</v>
      </c>
      <c r="V19" s="1"/>
      <c r="W19" s="58"/>
      <c r="X19" s="58"/>
    </row>
    <row r="20">
      <c r="A20" s="1" t="s">
        <v>297</v>
      </c>
      <c r="B20" s="52">
        <v>2.19249736E8</v>
      </c>
      <c r="C20" s="53">
        <v>361202.2</v>
      </c>
      <c r="D20" s="53">
        <v>2260307.0</v>
      </c>
      <c r="E20" s="52">
        <v>1183378.0</v>
      </c>
      <c r="F20" s="52">
        <v>5174953.0</v>
      </c>
      <c r="G20" s="1">
        <v>97.0</v>
      </c>
      <c r="H20" s="1">
        <v>97.0</v>
      </c>
      <c r="I20" s="1">
        <v>100.0</v>
      </c>
      <c r="J20" s="1">
        <v>9.22</v>
      </c>
      <c r="K20" s="26">
        <v>1.0</v>
      </c>
      <c r="L20" s="1" t="s">
        <v>736</v>
      </c>
      <c r="M20" s="1" t="s">
        <v>172</v>
      </c>
      <c r="N20" s="1">
        <v>2.0</v>
      </c>
      <c r="O20" s="11"/>
      <c r="P20" s="11">
        <f t="shared" si="1"/>
        <v>197.4271946</v>
      </c>
      <c r="Q20" s="11">
        <f t="shared" si="3"/>
        <v>195.408928</v>
      </c>
      <c r="R20" s="11" t="str">
        <f t="shared" si="2"/>
        <v/>
      </c>
      <c r="S20" s="55">
        <f t="shared" si="4"/>
        <v>1293.188282</v>
      </c>
      <c r="V20" s="1"/>
      <c r="W20" s="58"/>
      <c r="X20" s="58"/>
    </row>
    <row r="21">
      <c r="A21" s="1" t="s">
        <v>176</v>
      </c>
      <c r="B21" s="52">
        <v>2.09824441E8</v>
      </c>
      <c r="C21" s="53">
        <v>345674.53</v>
      </c>
      <c r="D21" s="53">
        <v>1065099.0</v>
      </c>
      <c r="E21" s="52">
        <v>377991.0</v>
      </c>
      <c r="F21" s="52">
        <v>3612176.0</v>
      </c>
      <c r="G21" s="1">
        <v>197.0</v>
      </c>
      <c r="H21" s="1">
        <v>197.0</v>
      </c>
      <c r="I21" s="1">
        <v>100.0</v>
      </c>
      <c r="J21" s="1">
        <v>3.3</v>
      </c>
      <c r="K21" s="26">
        <v>1.0</v>
      </c>
      <c r="L21" s="1" t="s">
        <v>737</v>
      </c>
      <c r="M21" s="1" t="s">
        <v>156</v>
      </c>
      <c r="N21" s="1">
        <v>3.0</v>
      </c>
      <c r="O21" s="11"/>
      <c r="P21" s="11">
        <f t="shared" si="1"/>
        <v>188.940025</v>
      </c>
      <c r="Q21" s="11" t="str">
        <f t="shared" si="3"/>
        <v/>
      </c>
      <c r="R21" s="11" t="str">
        <f t="shared" si="2"/>
        <v/>
      </c>
      <c r="S21" s="55" t="str">
        <f t="shared" si="4"/>
        <v/>
      </c>
      <c r="V21" s="1"/>
      <c r="W21" s="58"/>
      <c r="X21" s="58"/>
    </row>
    <row r="22">
      <c r="A22" s="1" t="s">
        <v>423</v>
      </c>
      <c r="B22" s="52">
        <v>1.29178613E8</v>
      </c>
      <c r="C22" s="53">
        <v>212814.85</v>
      </c>
      <c r="D22" s="53">
        <v>3799371.0</v>
      </c>
      <c r="E22" s="52">
        <v>2606381.0</v>
      </c>
      <c r="F22" s="52">
        <v>1.0370309E7</v>
      </c>
      <c r="G22" s="1">
        <v>34.0</v>
      </c>
      <c r="H22" s="1">
        <v>34.0</v>
      </c>
      <c r="I22" s="1">
        <v>100.0</v>
      </c>
      <c r="J22" s="1">
        <v>17.61</v>
      </c>
      <c r="K22" s="26">
        <v>1.0</v>
      </c>
      <c r="L22" s="1" t="s">
        <v>738</v>
      </c>
      <c r="M22" s="1" t="s">
        <v>172</v>
      </c>
      <c r="N22" s="1">
        <v>2.0</v>
      </c>
      <c r="O22" s="11"/>
      <c r="P22" s="11">
        <f t="shared" si="1"/>
        <v>116.3211044</v>
      </c>
      <c r="Q22" s="11">
        <f t="shared" si="3"/>
        <v>115.1319724</v>
      </c>
      <c r="R22" s="11" t="str">
        <f t="shared" si="2"/>
        <v/>
      </c>
      <c r="S22" s="55">
        <f t="shared" si="4"/>
        <v>761.9268936</v>
      </c>
      <c r="V22" s="1"/>
      <c r="W22" s="58"/>
      <c r="X22" s="58"/>
    </row>
    <row r="23">
      <c r="A23" s="1" t="s">
        <v>188</v>
      </c>
      <c r="B23" s="52">
        <v>1.2480328E8</v>
      </c>
      <c r="C23" s="53">
        <v>205606.72</v>
      </c>
      <c r="D23" s="53">
        <v>1451201.0</v>
      </c>
      <c r="E23" s="52">
        <v>999634.0</v>
      </c>
      <c r="F23" s="52">
        <v>4380218.0</v>
      </c>
      <c r="G23" s="1">
        <v>86.0</v>
      </c>
      <c r="H23" s="1">
        <v>86.0</v>
      </c>
      <c r="I23" s="1">
        <v>100.0</v>
      </c>
      <c r="J23" s="1">
        <v>7.56</v>
      </c>
      <c r="K23" s="26">
        <v>1.0</v>
      </c>
      <c r="L23" s="1" t="s">
        <v>739</v>
      </c>
      <c r="M23" s="1" t="s">
        <v>190</v>
      </c>
      <c r="N23" s="1">
        <v>3.0</v>
      </c>
      <c r="O23" s="11"/>
      <c r="P23" s="11">
        <f t="shared" si="1"/>
        <v>112.3812588</v>
      </c>
      <c r="Q23" s="11" t="str">
        <f t="shared" si="3"/>
        <v/>
      </c>
      <c r="R23" s="11" t="str">
        <f t="shared" si="2"/>
        <v/>
      </c>
      <c r="S23" s="55" t="str">
        <f t="shared" si="4"/>
        <v/>
      </c>
    </row>
    <row r="24">
      <c r="A24" s="1" t="s">
        <v>229</v>
      </c>
      <c r="B24" s="52">
        <v>1.18125591E8</v>
      </c>
      <c r="C24" s="53">
        <v>194605.59</v>
      </c>
      <c r="D24" s="53">
        <v>1423200.0</v>
      </c>
      <c r="E24" s="52">
        <v>814793.0</v>
      </c>
      <c r="F24" s="52">
        <v>3353652.0</v>
      </c>
      <c r="G24" s="1">
        <v>83.0</v>
      </c>
      <c r="H24" s="1">
        <v>83.0</v>
      </c>
      <c r="I24" s="1">
        <v>100.0</v>
      </c>
      <c r="J24" s="1">
        <v>7.41</v>
      </c>
      <c r="K24" s="26">
        <v>1.0</v>
      </c>
      <c r="L24" s="1" t="s">
        <v>740</v>
      </c>
      <c r="M24" s="1" t="s">
        <v>187</v>
      </c>
      <c r="N24" s="1">
        <v>3.0</v>
      </c>
      <c r="O24" s="11"/>
      <c r="P24" s="11">
        <f t="shared" si="1"/>
        <v>106.3682217</v>
      </c>
      <c r="Q24" s="11" t="str">
        <f t="shared" si="3"/>
        <v/>
      </c>
      <c r="R24" s="11" t="str">
        <f t="shared" si="2"/>
        <v/>
      </c>
      <c r="S24" s="55" t="str">
        <f t="shared" si="4"/>
        <v/>
      </c>
    </row>
    <row r="25">
      <c r="A25" s="1" t="s">
        <v>392</v>
      </c>
      <c r="B25" s="52">
        <v>1.10945017E8</v>
      </c>
      <c r="C25" s="53">
        <v>182775.98</v>
      </c>
      <c r="D25" s="53">
        <v>4267116.0</v>
      </c>
      <c r="E25" s="52">
        <v>2598387.0</v>
      </c>
      <c r="F25" s="52">
        <v>8963945.0</v>
      </c>
      <c r="G25" s="1">
        <v>26.0</v>
      </c>
      <c r="H25" s="1">
        <v>26.0</v>
      </c>
      <c r="I25" s="1">
        <v>100.0</v>
      </c>
      <c r="J25" s="1">
        <v>35.25</v>
      </c>
      <c r="K25" s="26">
        <v>1.0</v>
      </c>
      <c r="L25" s="1" t="s">
        <v>741</v>
      </c>
      <c r="M25" s="1" t="s">
        <v>193</v>
      </c>
      <c r="N25" s="1">
        <v>2.0</v>
      </c>
      <c r="O25" s="11"/>
      <c r="P25" s="11">
        <f t="shared" si="1"/>
        <v>99.90235102</v>
      </c>
      <c r="Q25" s="11">
        <f t="shared" si="3"/>
        <v>98.88106529</v>
      </c>
      <c r="R25" s="11" t="str">
        <f t="shared" si="2"/>
        <v/>
      </c>
      <c r="S25" s="55">
        <f t="shared" si="4"/>
        <v>654.3807195</v>
      </c>
    </row>
    <row r="26">
      <c r="A26" s="1" t="s">
        <v>235</v>
      </c>
      <c r="B26" s="52">
        <v>1.03223788E8</v>
      </c>
      <c r="C26" s="53">
        <v>170055.66</v>
      </c>
      <c r="D26" s="53">
        <v>753458.3</v>
      </c>
      <c r="E26" s="52">
        <v>460402.0</v>
      </c>
      <c r="F26" s="52">
        <v>2063106.0</v>
      </c>
      <c r="G26" s="1">
        <v>137.0</v>
      </c>
      <c r="H26" s="1">
        <v>137.0</v>
      </c>
      <c r="I26" s="1">
        <v>100.0</v>
      </c>
      <c r="J26" s="1">
        <v>4.67</v>
      </c>
      <c r="K26" s="26">
        <v>1.0</v>
      </c>
      <c r="L26" s="1" t="s">
        <v>742</v>
      </c>
      <c r="M26" s="1" t="s">
        <v>187</v>
      </c>
      <c r="N26" s="1">
        <v>3.0</v>
      </c>
      <c r="O26" s="11"/>
      <c r="P26" s="11">
        <f t="shared" si="1"/>
        <v>92.94963287</v>
      </c>
      <c r="Q26" s="11" t="str">
        <f t="shared" si="3"/>
        <v/>
      </c>
      <c r="R26" s="11" t="str">
        <f t="shared" si="2"/>
        <v/>
      </c>
      <c r="S26" s="55" t="str">
        <f t="shared" si="4"/>
        <v/>
      </c>
    </row>
    <row r="27">
      <c r="A27" s="1" t="s">
        <v>231</v>
      </c>
      <c r="B27" s="52">
        <v>8.878796E7</v>
      </c>
      <c r="C27" s="53">
        <v>146273.41</v>
      </c>
      <c r="D27" s="53">
        <v>341492.2</v>
      </c>
      <c r="E27" s="52">
        <v>104923.0</v>
      </c>
      <c r="F27" s="52">
        <v>1165362.0</v>
      </c>
      <c r="G27" s="1">
        <v>260.0</v>
      </c>
      <c r="H27" s="1">
        <v>260.0</v>
      </c>
      <c r="I27" s="1">
        <v>100.0</v>
      </c>
      <c r="J27" s="1">
        <v>2.98</v>
      </c>
      <c r="K27" s="26">
        <v>1.0</v>
      </c>
      <c r="L27" s="1" t="s">
        <v>743</v>
      </c>
      <c r="M27" s="1" t="s">
        <v>187</v>
      </c>
      <c r="N27" s="1">
        <v>3.0</v>
      </c>
      <c r="O27" s="11"/>
      <c r="P27" s="11">
        <f t="shared" si="1"/>
        <v>79.95064532</v>
      </c>
      <c r="Q27" s="11" t="str">
        <f t="shared" si="3"/>
        <v/>
      </c>
      <c r="R27" s="11" t="str">
        <f t="shared" si="2"/>
        <v/>
      </c>
      <c r="S27" s="55" t="str">
        <f t="shared" si="4"/>
        <v/>
      </c>
    </row>
    <row r="28">
      <c r="A28" s="1" t="s">
        <v>202</v>
      </c>
      <c r="B28" s="52">
        <v>8.4043121E7</v>
      </c>
      <c r="C28" s="53">
        <v>138456.54</v>
      </c>
      <c r="D28" s="53">
        <v>542213.7</v>
      </c>
      <c r="E28" s="52">
        <v>310576.0</v>
      </c>
      <c r="F28" s="52">
        <v>1752159.0</v>
      </c>
      <c r="G28" s="1">
        <v>155.0</v>
      </c>
      <c r="H28" s="1">
        <v>155.0</v>
      </c>
      <c r="I28" s="1">
        <v>100.0</v>
      </c>
      <c r="J28" s="1">
        <v>4.16</v>
      </c>
      <c r="K28" s="26">
        <v>1.0</v>
      </c>
      <c r="L28" s="1" t="s">
        <v>744</v>
      </c>
      <c r="M28" s="1" t="s">
        <v>190</v>
      </c>
      <c r="N28" s="1">
        <v>3.0</v>
      </c>
      <c r="O28" s="11"/>
      <c r="P28" s="11">
        <f t="shared" si="1"/>
        <v>75.67807247</v>
      </c>
      <c r="Q28" s="11" t="str">
        <f t="shared" si="3"/>
        <v/>
      </c>
      <c r="R28" s="11" t="str">
        <f t="shared" si="2"/>
        <v/>
      </c>
      <c r="S28" s="55" t="str">
        <f t="shared" si="4"/>
        <v/>
      </c>
    </row>
    <row r="29">
      <c r="A29" s="1" t="s">
        <v>208</v>
      </c>
      <c r="B29" s="52">
        <v>5.1325817E7</v>
      </c>
      <c r="C29" s="53">
        <v>84556.54</v>
      </c>
      <c r="D29" s="53">
        <v>641572.7</v>
      </c>
      <c r="E29" s="52">
        <v>410589.0</v>
      </c>
      <c r="F29" s="52">
        <v>1571034.0</v>
      </c>
      <c r="G29" s="1">
        <v>80.0</v>
      </c>
      <c r="H29" s="1">
        <v>80.0</v>
      </c>
      <c r="I29" s="1">
        <v>100.0</v>
      </c>
      <c r="J29" s="1">
        <v>7.12</v>
      </c>
      <c r="K29" s="26">
        <v>1.0</v>
      </c>
      <c r="L29" s="1" t="s">
        <v>745</v>
      </c>
      <c r="M29" s="1" t="s">
        <v>210</v>
      </c>
      <c r="N29" s="1">
        <v>3.0</v>
      </c>
      <c r="O29" s="11"/>
      <c r="P29" s="11">
        <f t="shared" si="1"/>
        <v>46.21721706</v>
      </c>
      <c r="Q29" s="11" t="str">
        <f t="shared" si="3"/>
        <v/>
      </c>
      <c r="R29" s="11" t="str">
        <f t="shared" si="2"/>
        <v/>
      </c>
      <c r="S29" s="55" t="str">
        <f t="shared" si="4"/>
        <v/>
      </c>
    </row>
    <row r="30">
      <c r="A30" s="1" t="s">
        <v>437</v>
      </c>
      <c r="B30" s="52">
        <v>3.9772364E7</v>
      </c>
      <c r="C30" s="53">
        <v>65522.84</v>
      </c>
      <c r="D30" s="53">
        <v>451958.7</v>
      </c>
      <c r="E30" s="52">
        <v>244628.0</v>
      </c>
      <c r="F30" s="52">
        <v>1192118.0</v>
      </c>
      <c r="G30" s="1">
        <v>88.0</v>
      </c>
      <c r="H30" s="1">
        <v>88.0</v>
      </c>
      <c r="I30" s="1">
        <v>100.0</v>
      </c>
      <c r="J30" s="1">
        <v>7.16</v>
      </c>
      <c r="K30" s="26">
        <v>1.0</v>
      </c>
      <c r="L30" s="1" t="s">
        <v>746</v>
      </c>
      <c r="M30" s="1" t="s">
        <v>210</v>
      </c>
      <c r="N30" s="1">
        <v>2.0</v>
      </c>
      <c r="O30" s="11"/>
      <c r="P30" s="11">
        <f t="shared" si="1"/>
        <v>35.81370901</v>
      </c>
      <c r="Q30" s="11">
        <f t="shared" si="3"/>
        <v>35.4475912</v>
      </c>
      <c r="R30" s="11" t="str">
        <f t="shared" si="2"/>
        <v/>
      </c>
      <c r="S30" s="55">
        <f t="shared" si="4"/>
        <v>234.5870786</v>
      </c>
    </row>
    <row r="31">
      <c r="A31" s="1" t="s">
        <v>218</v>
      </c>
      <c r="B31" s="52">
        <v>2.283569E7</v>
      </c>
      <c r="C31" s="53">
        <v>37620.58</v>
      </c>
      <c r="D31" s="53">
        <v>1141785.0</v>
      </c>
      <c r="E31" s="52">
        <v>850823.0</v>
      </c>
      <c r="F31" s="52">
        <v>2185169.0</v>
      </c>
      <c r="G31" s="1">
        <v>20.0</v>
      </c>
      <c r="H31" s="1">
        <v>20.0</v>
      </c>
      <c r="I31" s="1">
        <v>100.0</v>
      </c>
      <c r="J31" s="1">
        <v>33.13</v>
      </c>
      <c r="K31" s="26">
        <v>1.0</v>
      </c>
      <c r="L31" s="1" t="s">
        <v>747</v>
      </c>
      <c r="M31" s="1" t="s">
        <v>193</v>
      </c>
      <c r="N31" s="1">
        <v>3.0</v>
      </c>
      <c r="O31" s="11"/>
      <c r="P31" s="11">
        <f t="shared" si="1"/>
        <v>20.56279161</v>
      </c>
      <c r="Q31" s="11" t="str">
        <f t="shared" si="3"/>
        <v/>
      </c>
      <c r="R31" s="11" t="str">
        <f t="shared" si="2"/>
        <v/>
      </c>
      <c r="S31" s="55" t="str">
        <f t="shared" si="4"/>
        <v/>
      </c>
    </row>
    <row r="32">
      <c r="A32" s="1" t="s">
        <v>469</v>
      </c>
      <c r="B32" s="52">
        <v>1.1862737E7</v>
      </c>
      <c r="C32" s="53">
        <v>19543.22</v>
      </c>
      <c r="D32" s="53">
        <v>119825.6</v>
      </c>
      <c r="E32" s="52">
        <v>89338.0</v>
      </c>
      <c r="F32" s="52">
        <v>236226.0</v>
      </c>
      <c r="G32" s="1">
        <v>99.0</v>
      </c>
      <c r="H32" s="1">
        <v>99.0</v>
      </c>
      <c r="I32" s="1">
        <v>100.0</v>
      </c>
      <c r="J32" s="1">
        <v>27.42</v>
      </c>
      <c r="K32" s="26">
        <v>1.0</v>
      </c>
      <c r="L32" s="1" t="s">
        <v>748</v>
      </c>
      <c r="M32" s="1" t="s">
        <v>190</v>
      </c>
      <c r="N32" s="1">
        <v>2.0</v>
      </c>
      <c r="O32" s="11"/>
      <c r="P32" s="11">
        <f t="shared" si="1"/>
        <v>10.68200332</v>
      </c>
      <c r="Q32" s="11">
        <f t="shared" si="3"/>
        <v>10.57280291</v>
      </c>
      <c r="R32" s="11"/>
      <c r="S32" s="55">
        <f t="shared" si="4"/>
        <v>69.96929446</v>
      </c>
    </row>
    <row r="33">
      <c r="A33" s="1" t="s">
        <v>233</v>
      </c>
      <c r="B33" s="52">
        <v>1.1601669E7</v>
      </c>
      <c r="C33" s="53">
        <v>19113.13</v>
      </c>
      <c r="D33" s="53">
        <v>1160167.0</v>
      </c>
      <c r="E33" s="52">
        <v>811685.0</v>
      </c>
      <c r="F33" s="52">
        <v>1720604.0</v>
      </c>
      <c r="G33" s="1">
        <v>10.0</v>
      </c>
      <c r="H33" s="1">
        <v>10.0</v>
      </c>
      <c r="I33" s="1">
        <v>100.0</v>
      </c>
      <c r="J33" s="1">
        <v>58.44</v>
      </c>
      <c r="K33" s="26">
        <v>1.0</v>
      </c>
      <c r="L33" s="1" t="s">
        <v>749</v>
      </c>
      <c r="M33" s="1" t="s">
        <v>187</v>
      </c>
      <c r="N33" s="1">
        <v>3.0</v>
      </c>
      <c r="O33" s="11"/>
      <c r="P33" s="11">
        <f t="shared" si="1"/>
        <v>10.44692318</v>
      </c>
      <c r="Q33" s="11" t="str">
        <f t="shared" si="3"/>
        <v/>
      </c>
      <c r="R33" s="11"/>
      <c r="S33" s="55" t="str">
        <f t="shared" si="4"/>
        <v/>
      </c>
    </row>
    <row r="34">
      <c r="A34" s="1" t="s">
        <v>477</v>
      </c>
      <c r="B34" s="52">
        <v>4453405.0</v>
      </c>
      <c r="C34" s="53">
        <v>7336.75</v>
      </c>
      <c r="D34" s="53">
        <v>41235.23</v>
      </c>
      <c r="E34" s="52">
        <v>24898.0</v>
      </c>
      <c r="F34" s="52">
        <v>86110.0</v>
      </c>
      <c r="G34" s="52">
        <v>108.0</v>
      </c>
      <c r="H34" s="52">
        <v>108.0</v>
      </c>
      <c r="I34" s="1">
        <v>100.0</v>
      </c>
      <c r="J34" s="1">
        <v>19.37</v>
      </c>
      <c r="K34" s="26">
        <v>1.0</v>
      </c>
      <c r="L34" s="1" t="s">
        <v>750</v>
      </c>
      <c r="M34" s="1" t="s">
        <v>190</v>
      </c>
      <c r="N34" s="1">
        <v>2.0</v>
      </c>
      <c r="O34" s="11"/>
      <c r="P34" s="11">
        <f t="shared" si="1"/>
        <v>4.010147142</v>
      </c>
      <c r="Q34" s="11">
        <f t="shared" si="3"/>
        <v>3.96915205</v>
      </c>
      <c r="S34" s="55">
        <f t="shared" si="4"/>
        <v>26.26727945</v>
      </c>
    </row>
    <row r="35">
      <c r="A35" s="1" t="s">
        <v>208</v>
      </c>
      <c r="B35" s="27">
        <v>3.02271319E8</v>
      </c>
      <c r="C35" s="61">
        <v>497975.81</v>
      </c>
      <c r="D35" s="61">
        <v>650045.9</v>
      </c>
      <c r="E35" s="27">
        <v>270592.0</v>
      </c>
      <c r="F35" s="27">
        <v>1921710.0</v>
      </c>
      <c r="G35" s="1">
        <v>465.0</v>
      </c>
      <c r="H35" s="1">
        <v>465.0</v>
      </c>
      <c r="I35" s="1">
        <v>100.0</v>
      </c>
      <c r="J35" s="1">
        <v>1.89</v>
      </c>
      <c r="K35" s="26">
        <v>1.0</v>
      </c>
      <c r="L35" s="1" t="s">
        <v>751</v>
      </c>
      <c r="M35" s="1" t="s">
        <v>210</v>
      </c>
      <c r="N35" s="1">
        <v>5.0</v>
      </c>
      <c r="O35" s="11"/>
      <c r="P35" s="11" t="str">
        <f t="shared" si="1"/>
        <v/>
      </c>
      <c r="Q35" s="11">
        <f t="shared" si="3"/>
        <v>269.4028974</v>
      </c>
      <c r="S35" s="55">
        <f t="shared" si="4"/>
        <v>1782.869767</v>
      </c>
    </row>
    <row r="36">
      <c r="A36" s="1" t="s">
        <v>348</v>
      </c>
      <c r="B36" s="27">
        <v>2.00900188E8</v>
      </c>
      <c r="C36" s="61">
        <v>330972.3</v>
      </c>
      <c r="D36" s="61">
        <v>102500.1</v>
      </c>
      <c r="E36" s="27">
        <v>39977.0</v>
      </c>
      <c r="F36" s="27">
        <v>366957.0</v>
      </c>
      <c r="G36" s="27">
        <v>1960.0</v>
      </c>
      <c r="H36" s="27">
        <v>1960.0</v>
      </c>
      <c r="I36" s="1">
        <v>100.0</v>
      </c>
      <c r="J36" s="1">
        <v>1.0</v>
      </c>
      <c r="K36" s="26">
        <v>1.0</v>
      </c>
      <c r="L36" s="1" t="s">
        <v>752</v>
      </c>
      <c r="M36" s="1" t="s">
        <v>156</v>
      </c>
      <c r="N36" s="1">
        <v>5.0</v>
      </c>
      <c r="O36" s="11"/>
      <c r="P36" s="11" t="str">
        <f t="shared" si="1"/>
        <v/>
      </c>
      <c r="Q36" s="11">
        <f t="shared" si="3"/>
        <v>179.0546745</v>
      </c>
      <c r="R36" s="11"/>
      <c r="S36" s="55">
        <f t="shared" si="4"/>
        <v>1184.958176</v>
      </c>
    </row>
    <row r="37">
      <c r="A37" s="1" t="s">
        <v>176</v>
      </c>
      <c r="B37" s="27">
        <v>1.46668042E9</v>
      </c>
      <c r="C37" s="61">
        <v>2416277.46</v>
      </c>
      <c r="D37" s="61">
        <v>1070570.0</v>
      </c>
      <c r="E37" s="27">
        <v>357917.0</v>
      </c>
      <c r="F37" s="27">
        <v>4073371.0</v>
      </c>
      <c r="G37" s="27">
        <v>1370.0</v>
      </c>
      <c r="H37" s="27">
        <v>1370.0</v>
      </c>
      <c r="I37" s="1">
        <v>100.0</v>
      </c>
      <c r="J37" s="1">
        <v>1.09</v>
      </c>
      <c r="K37" s="26">
        <v>1.0</v>
      </c>
      <c r="L37" s="1" t="s">
        <v>753</v>
      </c>
      <c r="M37" s="1" t="s">
        <v>156</v>
      </c>
      <c r="N37" s="1">
        <v>5.0</v>
      </c>
      <c r="O37" s="11"/>
      <c r="P37" s="11" t="str">
        <f t="shared" si="1"/>
        <v/>
      </c>
      <c r="Q37" s="11">
        <f t="shared" si="3"/>
        <v>1307.196325</v>
      </c>
      <c r="R37" s="11"/>
      <c r="S37" s="55">
        <f t="shared" si="4"/>
        <v>8650.837942</v>
      </c>
    </row>
    <row r="38">
      <c r="A38" s="1"/>
      <c r="B38" s="52"/>
      <c r="C38" s="53"/>
      <c r="D38" s="53"/>
      <c r="E38" s="52"/>
      <c r="F38" s="52"/>
      <c r="G38" s="1"/>
      <c r="H38" s="1"/>
      <c r="I38" s="1"/>
      <c r="J38" s="1"/>
      <c r="K38" s="26"/>
      <c r="L38" s="1"/>
      <c r="M38" s="1"/>
      <c r="N38" s="1"/>
      <c r="O38" s="11"/>
      <c r="P38" s="11">
        <f t="shared" si="1"/>
        <v>0</v>
      </c>
      <c r="Q38" s="11" t="str">
        <f t="shared" si="3"/>
        <v/>
      </c>
      <c r="R38" s="11"/>
      <c r="S38" s="55">
        <f t="shared" si="4"/>
        <v>0</v>
      </c>
    </row>
    <row r="39">
      <c r="A39" s="1"/>
      <c r="B39" s="52"/>
      <c r="C39" s="53"/>
      <c r="D39" s="53"/>
      <c r="E39" s="52"/>
      <c r="F39" s="52"/>
      <c r="G39" s="1"/>
      <c r="H39" s="1"/>
      <c r="I39" s="1"/>
      <c r="J39" s="1"/>
      <c r="K39" s="26"/>
      <c r="L39" s="1"/>
      <c r="M39" s="1"/>
      <c r="N39" s="1"/>
      <c r="O39" s="11"/>
      <c r="P39" s="11"/>
      <c r="Q39" s="11"/>
      <c r="R39" s="11"/>
      <c r="S39" s="55"/>
    </row>
    <row r="40">
      <c r="A40" s="1"/>
      <c r="B40" s="52"/>
      <c r="C40" s="53"/>
      <c r="D40" s="53"/>
      <c r="E40" s="52"/>
      <c r="F40" s="52"/>
      <c r="G40" s="1"/>
      <c r="H40" s="1"/>
      <c r="I40" s="1"/>
      <c r="J40" s="1"/>
      <c r="K40" s="26"/>
      <c r="L40" s="1"/>
      <c r="M40" s="1"/>
      <c r="N40" s="1"/>
      <c r="O40" s="11"/>
      <c r="P40" s="11"/>
      <c r="Q40" s="11"/>
      <c r="R40" s="11"/>
      <c r="S40" s="55"/>
    </row>
    <row r="41">
      <c r="A41" s="1">
        <f>(1157685-1096212)/13.89</f>
        <v>4425.701944</v>
      </c>
      <c r="B41" s="52"/>
      <c r="C41" s="53"/>
      <c r="D41" s="53"/>
      <c r="E41" s="52"/>
      <c r="F41" s="52"/>
      <c r="G41" s="1"/>
      <c r="H41" s="1"/>
      <c r="I41" s="1"/>
      <c r="J41" s="1"/>
      <c r="K41" s="26"/>
      <c r="L41" s="1"/>
      <c r="M41" s="1"/>
      <c r="N41" s="1"/>
      <c r="O41" s="11"/>
      <c r="P41" s="11"/>
      <c r="Q41" s="11"/>
      <c r="R41" s="11"/>
      <c r="S41" s="55"/>
    </row>
    <row r="42">
      <c r="A42" s="1"/>
      <c r="B42" s="52"/>
      <c r="C42" s="53"/>
      <c r="D42" s="53"/>
      <c r="E42" s="52"/>
      <c r="F42" s="52"/>
      <c r="G42" s="1"/>
      <c r="H42" s="1"/>
      <c r="I42" s="1"/>
      <c r="J42" s="1"/>
      <c r="K42" s="26"/>
      <c r="L42" s="1"/>
      <c r="M42" s="1"/>
      <c r="N42" s="1"/>
      <c r="O42" s="11"/>
      <c r="P42" s="11"/>
      <c r="Q42" s="11"/>
      <c r="R42" s="11"/>
      <c r="S42" s="55"/>
    </row>
    <row r="43">
      <c r="A43" s="1"/>
      <c r="B43" s="52"/>
      <c r="C43" s="53"/>
      <c r="D43" s="53"/>
      <c r="E43" s="52"/>
      <c r="F43" s="52"/>
      <c r="G43" s="1"/>
      <c r="H43" s="1"/>
      <c r="I43" s="1"/>
      <c r="J43" s="1"/>
      <c r="K43" s="26"/>
      <c r="L43" s="1"/>
      <c r="M43" s="1"/>
      <c r="N43" s="1"/>
      <c r="O43" s="11"/>
      <c r="P43" s="11"/>
      <c r="Q43" s="11"/>
      <c r="R43" s="11"/>
      <c r="S43" s="55"/>
    </row>
    <row r="44">
      <c r="A44" s="1"/>
      <c r="B44" s="52"/>
      <c r="C44" s="53"/>
      <c r="D44" s="53"/>
      <c r="E44" s="52"/>
      <c r="F44" s="52"/>
      <c r="G44" s="1"/>
      <c r="H44" s="1"/>
      <c r="I44" s="1"/>
      <c r="J44" s="1"/>
      <c r="K44" s="26"/>
      <c r="L44" s="1"/>
      <c r="M44" s="1"/>
      <c r="N44" s="1"/>
      <c r="O44" s="11"/>
      <c r="P44" s="11"/>
      <c r="Q44" s="11"/>
      <c r="R44" s="11"/>
      <c r="S44" s="55"/>
    </row>
    <row r="45">
      <c r="A45" s="1"/>
      <c r="B45" s="52"/>
      <c r="C45" s="53"/>
      <c r="D45" s="53"/>
      <c r="E45" s="52"/>
      <c r="F45" s="52"/>
      <c r="G45" s="1"/>
      <c r="H45" s="1"/>
      <c r="I45" s="1"/>
      <c r="J45" s="1"/>
      <c r="K45" s="26"/>
      <c r="L45" s="1"/>
      <c r="M45" s="1"/>
      <c r="N45" s="1"/>
      <c r="O45" s="11"/>
      <c r="P45" s="11"/>
      <c r="Q45" s="11"/>
      <c r="R45" s="11"/>
      <c r="S45" s="55"/>
    </row>
    <row r="46">
      <c r="A46" s="1"/>
      <c r="B46" s="52"/>
      <c r="C46" s="53"/>
      <c r="D46" s="53"/>
      <c r="E46" s="52"/>
      <c r="F46" s="52"/>
      <c r="G46" s="1"/>
      <c r="H46" s="1"/>
      <c r="I46" s="1"/>
      <c r="J46" s="1"/>
      <c r="K46" s="26"/>
      <c r="L46" s="1"/>
      <c r="M46" s="1"/>
      <c r="N46" s="1"/>
      <c r="O46" s="11"/>
      <c r="P46" s="11"/>
      <c r="Q46" s="11"/>
      <c r="R46" s="11"/>
      <c r="S46" s="55"/>
    </row>
    <row r="47">
      <c r="A47" s="1"/>
      <c r="B47" s="52"/>
      <c r="C47" s="53"/>
      <c r="D47" s="53"/>
      <c r="E47" s="52"/>
      <c r="F47" s="52"/>
      <c r="G47" s="1"/>
      <c r="H47" s="1"/>
      <c r="I47" s="1"/>
      <c r="J47" s="1"/>
      <c r="K47" s="26"/>
      <c r="L47" s="1"/>
      <c r="M47" s="1"/>
      <c r="N47" s="1"/>
      <c r="O47" s="11"/>
      <c r="P47" s="11"/>
      <c r="Q47" s="11"/>
      <c r="R47" s="11"/>
      <c r="S47" s="55"/>
    </row>
    <row r="48">
      <c r="A48" s="1"/>
      <c r="B48" s="52"/>
      <c r="C48" s="53"/>
      <c r="D48" s="53"/>
      <c r="E48" s="52"/>
      <c r="F48" s="52"/>
      <c r="G48" s="1"/>
      <c r="H48" s="1"/>
      <c r="I48" s="1"/>
      <c r="J48" s="1"/>
      <c r="K48" s="26"/>
      <c r="L48" s="1"/>
      <c r="M48" s="1"/>
      <c r="N48" s="1"/>
      <c r="O48" s="11"/>
      <c r="P48" s="11"/>
      <c r="Q48" s="11"/>
      <c r="R48" s="11"/>
      <c r="S48" s="55"/>
    </row>
    <row r="49">
      <c r="A49" s="1"/>
      <c r="B49" s="52">
        <f>204930000</f>
        <v>204930000</v>
      </c>
      <c r="C49" s="53">
        <f>B49*1.5*(1+0.014*5)</f>
        <v>328912650</v>
      </c>
      <c r="D49" s="53"/>
      <c r="E49" s="52"/>
      <c r="F49" s="52"/>
      <c r="G49" s="1"/>
      <c r="H49" s="1"/>
      <c r="I49" s="1"/>
      <c r="J49" s="1"/>
      <c r="K49" s="26"/>
      <c r="L49" s="1"/>
      <c r="M49" s="1"/>
      <c r="N49" s="1"/>
      <c r="O49" s="11"/>
      <c r="P49" s="11"/>
      <c r="Q49" s="11"/>
      <c r="R49" s="11"/>
      <c r="S49" s="55"/>
    </row>
    <row r="50">
      <c r="A50" s="1"/>
      <c r="B50" s="52"/>
      <c r="C50" s="53">
        <f>C49/180</f>
        <v>1827292.5</v>
      </c>
      <c r="D50" s="53"/>
      <c r="E50" s="52"/>
      <c r="F50" s="52"/>
      <c r="G50" s="1"/>
      <c r="H50" s="1"/>
      <c r="I50" s="1"/>
      <c r="J50" s="1"/>
      <c r="K50" s="26"/>
      <c r="L50" s="1"/>
      <c r="M50" s="1"/>
      <c r="N50" s="1"/>
      <c r="O50" s="11"/>
      <c r="P50" s="11"/>
      <c r="Q50" s="11"/>
      <c r="R50" s="11"/>
      <c r="S50" s="55"/>
    </row>
    <row r="51">
      <c r="A51" s="1"/>
      <c r="B51" s="52"/>
      <c r="C51" s="53"/>
      <c r="D51" s="53"/>
      <c r="E51" s="52"/>
      <c r="F51" s="52"/>
      <c r="G51" s="1"/>
      <c r="H51" s="1"/>
      <c r="I51" s="1"/>
      <c r="J51" s="1"/>
      <c r="K51" s="26"/>
      <c r="L51" s="1"/>
      <c r="M51" s="1"/>
      <c r="N51" s="1"/>
      <c r="O51" s="11"/>
      <c r="P51" s="11"/>
      <c r="Q51" s="11"/>
      <c r="R51" s="11"/>
      <c r="S51" s="55"/>
    </row>
    <row r="52">
      <c r="A52" s="1"/>
      <c r="B52" s="52"/>
      <c r="C52" s="53"/>
      <c r="D52" s="53"/>
      <c r="E52" s="52"/>
      <c r="F52" s="52"/>
      <c r="G52" s="1"/>
      <c r="H52" s="1"/>
      <c r="I52" s="1"/>
      <c r="J52" s="1"/>
      <c r="K52" s="26"/>
      <c r="L52" s="1"/>
      <c r="M52" s="1"/>
      <c r="N52" s="1"/>
      <c r="O52" s="11"/>
      <c r="P52" s="11"/>
      <c r="Q52" s="11"/>
      <c r="R52" s="11"/>
      <c r="S52" s="55"/>
    </row>
    <row r="53">
      <c r="A53" s="1"/>
      <c r="B53" s="52"/>
      <c r="C53" s="53"/>
      <c r="D53" s="53"/>
      <c r="E53" s="52"/>
      <c r="F53" s="52"/>
      <c r="G53" s="1"/>
      <c r="H53" s="1"/>
      <c r="I53" s="1"/>
      <c r="J53" s="1"/>
      <c r="K53" s="26"/>
      <c r="L53" s="1"/>
      <c r="M53" s="1"/>
      <c r="N53" s="1"/>
      <c r="O53" s="11"/>
      <c r="P53" s="11"/>
      <c r="Q53" s="11"/>
      <c r="R53" s="11"/>
      <c r="S53" s="55"/>
    </row>
    <row r="54">
      <c r="A54" s="1"/>
      <c r="B54" s="52"/>
      <c r="C54" s="53"/>
      <c r="D54" s="53"/>
      <c r="E54" s="52"/>
      <c r="F54" s="52"/>
      <c r="G54" s="1"/>
      <c r="H54" s="1"/>
      <c r="I54" s="1"/>
      <c r="J54" s="1"/>
      <c r="K54" s="26"/>
      <c r="L54" s="1"/>
      <c r="M54" s="1"/>
      <c r="N54" s="1"/>
      <c r="O54" s="11"/>
      <c r="P54" s="11"/>
      <c r="Q54" s="11"/>
      <c r="R54" s="11"/>
      <c r="S54" s="55"/>
    </row>
    <row r="55">
      <c r="A55" s="1"/>
      <c r="B55" s="52"/>
      <c r="C55" s="53"/>
      <c r="D55" s="53"/>
      <c r="E55" s="52"/>
      <c r="F55" s="52"/>
      <c r="G55" s="1"/>
      <c r="H55" s="1"/>
      <c r="I55" s="1"/>
      <c r="J55" s="1"/>
      <c r="K55" s="26"/>
      <c r="L55" s="1"/>
      <c r="M55" s="1"/>
      <c r="N55" s="1"/>
      <c r="O55" s="11"/>
      <c r="P55" s="11"/>
      <c r="Q55" s="11"/>
      <c r="R55" s="11"/>
      <c r="S55" s="55"/>
    </row>
    <row r="56">
      <c r="A56" s="1"/>
      <c r="B56" s="52"/>
      <c r="C56" s="53"/>
      <c r="D56" s="53"/>
      <c r="E56" s="52"/>
      <c r="F56" s="52"/>
      <c r="G56" s="1"/>
      <c r="H56" s="1"/>
      <c r="I56" s="1"/>
      <c r="J56" s="1"/>
      <c r="K56" s="26"/>
      <c r="L56" s="1"/>
      <c r="M56" s="1"/>
      <c r="N56" s="1"/>
      <c r="O56" s="11"/>
      <c r="P56" s="11"/>
      <c r="Q56" s="11"/>
      <c r="R56" s="11"/>
      <c r="S56" s="55"/>
    </row>
    <row r="57">
      <c r="A57" s="1"/>
      <c r="B57" s="52"/>
      <c r="C57" s="53"/>
      <c r="D57" s="53"/>
      <c r="E57" s="52"/>
      <c r="F57" s="52"/>
      <c r="G57" s="1"/>
      <c r="H57" s="1"/>
      <c r="I57" s="1"/>
      <c r="J57" s="1"/>
      <c r="K57" s="26"/>
      <c r="L57" s="1"/>
      <c r="M57" s="1"/>
      <c r="N57" s="1"/>
      <c r="O57" s="11"/>
      <c r="P57" s="11"/>
      <c r="Q57" s="11"/>
      <c r="R57" s="11"/>
      <c r="S57" s="55"/>
    </row>
    <row r="58">
      <c r="A58" s="1"/>
      <c r="B58" s="52"/>
      <c r="C58" s="53"/>
      <c r="D58" s="53"/>
      <c r="E58" s="52"/>
      <c r="F58" s="52"/>
      <c r="G58" s="1"/>
      <c r="H58" s="1"/>
      <c r="I58" s="1"/>
      <c r="J58" s="1"/>
      <c r="K58" s="26"/>
      <c r="L58" s="1"/>
      <c r="M58" s="1"/>
      <c r="N58" s="1"/>
      <c r="O58" s="11"/>
      <c r="P58" s="11"/>
      <c r="Q58" s="11"/>
      <c r="R58" s="11"/>
      <c r="S58" s="55"/>
    </row>
    <row r="59">
      <c r="A59" s="1"/>
      <c r="B59" s="52"/>
      <c r="C59" s="53"/>
      <c r="D59" s="53"/>
      <c r="E59" s="52"/>
      <c r="F59" s="52"/>
      <c r="G59" s="1"/>
      <c r="H59" s="1"/>
      <c r="I59" s="1"/>
      <c r="J59" s="1"/>
      <c r="K59" s="26"/>
      <c r="L59" s="1"/>
      <c r="M59" s="1"/>
      <c r="N59" s="1"/>
      <c r="O59" s="11"/>
      <c r="P59" s="11"/>
      <c r="Q59" s="11"/>
      <c r="R59" s="11"/>
      <c r="S59" s="55"/>
    </row>
    <row r="60">
      <c r="A60" s="1"/>
      <c r="B60" s="52"/>
      <c r="C60" s="53"/>
      <c r="D60" s="53"/>
      <c r="E60" s="52"/>
      <c r="F60" s="52"/>
      <c r="G60" s="1"/>
      <c r="H60" s="1"/>
      <c r="I60" s="1"/>
      <c r="J60" s="1"/>
      <c r="K60" s="26"/>
      <c r="L60" s="1"/>
      <c r="M60" s="1"/>
      <c r="N60" s="1"/>
      <c r="O60" s="11"/>
      <c r="P60" s="11"/>
      <c r="Q60" s="11"/>
      <c r="R60" s="11"/>
      <c r="S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11"/>
      <c r="P61" s="11"/>
      <c r="Q61" s="11"/>
      <c r="R61" s="11"/>
      <c r="S61" s="55"/>
    </row>
    <row r="62">
      <c r="A62" s="1"/>
      <c r="B62" s="52"/>
      <c r="C62" s="53"/>
      <c r="D62" s="53"/>
      <c r="E62" s="52"/>
      <c r="F62" s="52"/>
      <c r="G62" s="1"/>
      <c r="H62" s="1"/>
      <c r="I62" s="1"/>
      <c r="J62" s="1"/>
      <c r="K62" s="26"/>
      <c r="L62" s="1"/>
      <c r="M62" s="1"/>
      <c r="N62" s="1"/>
      <c r="O62" s="11"/>
      <c r="P62" s="11"/>
      <c r="Q62" s="11"/>
      <c r="R62" s="11"/>
      <c r="S62" s="55"/>
    </row>
    <row r="63">
      <c r="A63" s="1"/>
      <c r="B63" s="52"/>
      <c r="C63" s="53"/>
      <c r="D63" s="53"/>
      <c r="E63" s="52"/>
      <c r="F63" s="52"/>
      <c r="G63" s="1"/>
      <c r="H63" s="1"/>
      <c r="I63" s="1"/>
      <c r="J63" s="1"/>
      <c r="K63" s="26"/>
      <c r="L63" s="1"/>
      <c r="M63" s="1"/>
      <c r="N63" s="1"/>
      <c r="O63" s="11"/>
      <c r="P63" s="11"/>
      <c r="Q63" s="11"/>
      <c r="R63" s="11"/>
      <c r="S63" s="55"/>
    </row>
    <row r="64">
      <c r="A64" s="1"/>
      <c r="B64" s="52"/>
      <c r="C64" s="53"/>
      <c r="D64" s="53"/>
      <c r="E64" s="52"/>
      <c r="F64" s="52"/>
      <c r="G64" s="1"/>
      <c r="H64" s="1"/>
      <c r="I64" s="1"/>
      <c r="J64" s="1"/>
      <c r="K64" s="26"/>
      <c r="L64" s="1"/>
      <c r="M64" s="1"/>
      <c r="N64" s="1"/>
      <c r="O64" s="11"/>
      <c r="P64" s="11"/>
      <c r="Q64" s="11"/>
      <c r="R64" s="11"/>
      <c r="S64" s="55"/>
    </row>
    <row r="65">
      <c r="A65" s="1"/>
      <c r="B65" s="52"/>
      <c r="C65" s="53"/>
      <c r="D65" s="53"/>
      <c r="E65" s="52"/>
      <c r="F65" s="52"/>
      <c r="G65" s="1"/>
      <c r="H65" s="1"/>
      <c r="I65" s="1"/>
      <c r="J65" s="1"/>
      <c r="K65" s="26"/>
      <c r="L65" s="1"/>
      <c r="M65" s="1"/>
      <c r="N65" s="1"/>
      <c r="O65" s="11"/>
      <c r="P65" s="11"/>
      <c r="Q65" s="11"/>
      <c r="R65" s="11"/>
      <c r="S65" s="55"/>
    </row>
    <row r="66" ht="15.0" customHeight="1">
      <c r="A66" s="1"/>
      <c r="B66" s="52"/>
      <c r="C66" s="53"/>
      <c r="D66" s="53"/>
      <c r="E66" s="52"/>
      <c r="F66" s="52"/>
      <c r="G66" s="1"/>
      <c r="H66" s="1"/>
      <c r="I66" s="1"/>
      <c r="J66" s="1"/>
      <c r="K66" s="26"/>
      <c r="L66" s="1"/>
      <c r="M66" s="1"/>
      <c r="N66" s="1"/>
      <c r="O66" s="11"/>
      <c r="P66" s="11"/>
      <c r="Q66" s="11"/>
      <c r="R66" s="11"/>
      <c r="S66" s="55"/>
    </row>
    <row r="67">
      <c r="A67" s="1"/>
      <c r="B67" s="52"/>
      <c r="C67" s="53"/>
      <c r="D67" s="53"/>
      <c r="E67" s="52"/>
      <c r="F67" s="52"/>
      <c r="G67" s="1"/>
      <c r="H67" s="1"/>
      <c r="I67" s="1"/>
      <c r="J67" s="1"/>
      <c r="K67" s="26"/>
      <c r="L67" s="1"/>
      <c r="M67" s="1"/>
      <c r="N67" s="1"/>
      <c r="O67" s="11"/>
      <c r="P67" s="11"/>
      <c r="Q67" s="11"/>
      <c r="R67" s="11"/>
      <c r="S67" s="55"/>
    </row>
    <row r="68">
      <c r="A68" s="1"/>
      <c r="B68" s="52"/>
      <c r="C68" s="1"/>
      <c r="D68" s="53"/>
      <c r="E68" s="52"/>
      <c r="F68" s="52"/>
      <c r="G68" s="1"/>
      <c r="H68" s="1"/>
      <c r="I68" s="1"/>
      <c r="J68" s="1"/>
      <c r="K68" s="26"/>
      <c r="L68" s="1"/>
      <c r="M68" s="1"/>
      <c r="N68" s="1"/>
      <c r="O68" s="11"/>
      <c r="P68" s="11"/>
      <c r="Q68" s="11"/>
      <c r="R68" s="11"/>
      <c r="S68" s="55"/>
    </row>
    <row r="69">
      <c r="A69" s="1"/>
      <c r="B69" s="52"/>
      <c r="C69" s="1"/>
      <c r="D69" s="53"/>
      <c r="E69" s="52"/>
      <c r="F69" s="52"/>
      <c r="G69" s="1"/>
      <c r="H69" s="1"/>
      <c r="I69" s="1"/>
      <c r="J69" s="1"/>
      <c r="K69" s="26"/>
      <c r="L69" s="1"/>
      <c r="M69" s="1"/>
      <c r="N69" s="1"/>
      <c r="O69" s="11"/>
      <c r="P69" s="11"/>
      <c r="Q69" s="11"/>
      <c r="R69" s="11"/>
      <c r="S69" s="55"/>
    </row>
    <row r="70">
      <c r="A70" s="1"/>
      <c r="B70" s="52"/>
      <c r="C70" s="1"/>
      <c r="D70" s="53"/>
      <c r="E70" s="52"/>
      <c r="F70" s="52"/>
      <c r="G70" s="1"/>
      <c r="H70" s="1"/>
      <c r="I70" s="1"/>
      <c r="J70" s="1"/>
      <c r="K70" s="26"/>
      <c r="L70" s="1"/>
      <c r="M70" s="1"/>
      <c r="N70" s="1"/>
      <c r="O70" s="11"/>
      <c r="P70" s="11"/>
      <c r="Q70" s="11"/>
      <c r="R70" s="11"/>
      <c r="S70" s="55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55"/>
    </row>
    <row r="77">
      <c r="F77" s="21" t="s">
        <v>1</v>
      </c>
      <c r="G77" s="21" t="s">
        <v>550</v>
      </c>
    </row>
    <row r="78">
      <c r="F78" s="21" t="s">
        <v>23</v>
      </c>
      <c r="G78" s="47">
        <v>2440.266449082112</v>
      </c>
    </row>
    <row r="79">
      <c r="F79" s="21" t="s">
        <v>12</v>
      </c>
      <c r="G79" s="47">
        <v>1826.4548837420284</v>
      </c>
    </row>
    <row r="80">
      <c r="F80" s="21" t="s">
        <v>13</v>
      </c>
      <c r="G80" s="47">
        <v>4906.6351674116395</v>
      </c>
    </row>
    <row r="81">
      <c r="F81" s="21" t="s">
        <v>117</v>
      </c>
      <c r="G81" s="47">
        <v>72.00008750463765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116</v>
      </c>
      <c r="B1" s="40" t="s">
        <v>117</v>
      </c>
      <c r="C1" s="40" t="s">
        <v>23</v>
      </c>
      <c r="D1" s="40" t="s">
        <v>12</v>
      </c>
      <c r="E1" s="40" t="s">
        <v>24</v>
      </c>
      <c r="F1" s="40" t="s">
        <v>25</v>
      </c>
      <c r="G1" s="107" t="s">
        <v>26</v>
      </c>
      <c r="H1" s="21" t="s">
        <v>1</v>
      </c>
      <c r="I1" s="21" t="s">
        <v>550</v>
      </c>
      <c r="J1" s="1" t="s">
        <v>534</v>
      </c>
      <c r="K1" s="1"/>
    </row>
    <row r="2">
      <c r="A2" s="40" t="s">
        <v>111</v>
      </c>
      <c r="B2" s="42">
        <f>Channeler!B2</f>
        <v>20193.65333</v>
      </c>
      <c r="C2" s="108">
        <f>Channeler!C2</f>
        <v>17.62030333</v>
      </c>
      <c r="D2" s="108">
        <f>Channeler!D2</f>
        <v>16.51949333</v>
      </c>
      <c r="E2" s="108">
        <f>Channeler!E2</f>
        <v>3.421266667</v>
      </c>
      <c r="F2" s="42">
        <f>Channeler!F2</f>
        <v>1017.029</v>
      </c>
      <c r="G2" s="108">
        <f>Channeler!G2</f>
        <v>0.6069133333</v>
      </c>
      <c r="H2" s="21" t="s">
        <v>23</v>
      </c>
      <c r="I2" s="47">
        <f>SUM(P9:P998)</f>
        <v>5412.54472</v>
      </c>
      <c r="J2" s="26">
        <v>1.3</v>
      </c>
      <c r="K2" s="1">
        <v>30.8</v>
      </c>
      <c r="L2" s="1">
        <v>30.2</v>
      </c>
      <c r="M2">
        <f t="shared" ref="M2:M3" si="1">(K2-L2)*1.08*I2</f>
        <v>3507.328978</v>
      </c>
      <c r="T2">
        <f>I2*48.3*1.11</f>
        <v>290182.7601</v>
      </c>
    </row>
    <row r="3">
      <c r="A3" s="40" t="s">
        <v>112</v>
      </c>
      <c r="B3" s="42">
        <f>Channeler!B3</f>
        <v>17625</v>
      </c>
      <c r="C3" s="108">
        <f>Channeler!C3</f>
        <v>12.3</v>
      </c>
      <c r="D3" s="108">
        <f>Channeler!D3</f>
        <v>14.338</v>
      </c>
      <c r="E3" s="108">
        <f>Channeler!E3</f>
        <v>2.652</v>
      </c>
      <c r="F3" s="42">
        <f>Channeler!F3</f>
        <v>951.5</v>
      </c>
      <c r="G3" s="108">
        <f>Channeler!G3</f>
        <v>0.563</v>
      </c>
      <c r="H3" s="21" t="s">
        <v>12</v>
      </c>
      <c r="I3" s="47">
        <f>sum(Q9:Q998)</f>
        <v>2722.903813</v>
      </c>
      <c r="J3" s="45"/>
      <c r="K3" s="1">
        <v>31.0</v>
      </c>
      <c r="L3" s="1">
        <v>30.2</v>
      </c>
      <c r="M3">
        <f t="shared" si="1"/>
        <v>2352.588894</v>
      </c>
      <c r="N3" s="46" t="s">
        <v>124</v>
      </c>
      <c r="P3">
        <f>(20*1.08*I3+20*1.13*I2+15*I4)-(110*1.08*I3)</f>
        <v>19546.04522</v>
      </c>
      <c r="T3">
        <f>I4*60</f>
        <v>647555.1406</v>
      </c>
    </row>
    <row r="4">
      <c r="A4" s="40" t="s">
        <v>113</v>
      </c>
      <c r="B4" s="42">
        <f>Channeler!B4</f>
        <v>18794</v>
      </c>
      <c r="C4" s="108">
        <f>Channeler!C4</f>
        <v>17.3505</v>
      </c>
      <c r="D4" s="108">
        <f>Channeler!D4</f>
        <v>16.1285</v>
      </c>
      <c r="E4" s="108">
        <f>Channeler!E4</f>
        <v>3.372</v>
      </c>
      <c r="F4" s="42">
        <f>Channeler!F4</f>
        <v>1025.8</v>
      </c>
      <c r="G4" s="108">
        <f>Channeler!G4</f>
        <v>0.603</v>
      </c>
      <c r="H4" s="21" t="s">
        <v>13</v>
      </c>
      <c r="I4" s="47">
        <f>sum(R9:R998)</f>
        <v>10792.58568</v>
      </c>
      <c r="K4" s="1">
        <v>5.2</v>
      </c>
      <c r="L4" s="1"/>
      <c r="M4">
        <f>(K4-L4)*I4</f>
        <v>56121.44552</v>
      </c>
      <c r="N4" s="46" t="s">
        <v>125</v>
      </c>
      <c r="V4" s="1"/>
      <c r="W4" s="1"/>
      <c r="X4" s="1"/>
    </row>
    <row r="5">
      <c r="A5" s="40" t="s">
        <v>114</v>
      </c>
      <c r="B5" s="42">
        <f>Channeler!B5</f>
        <v>25787</v>
      </c>
      <c r="C5" s="108">
        <f>Channeler!C5</f>
        <v>22.844</v>
      </c>
      <c r="D5" s="108">
        <f>Channeler!D5</f>
        <v>20.377</v>
      </c>
      <c r="E5" s="108">
        <f>Channeler!E5</f>
        <v>4.242</v>
      </c>
      <c r="F5" s="42">
        <f>Channeler!F5</f>
        <v>1040.8</v>
      </c>
      <c r="G5" s="108">
        <f>Channeler!G5</f>
        <v>0.714</v>
      </c>
      <c r="H5" s="21" t="str">
        <f>B1</f>
        <v>Agility</v>
      </c>
      <c r="I5" s="47">
        <f>SUM(S9:S998)/500+0.008*I$2+0.008*I$3</f>
        <v>134.0277729</v>
      </c>
      <c r="K5" s="1">
        <v>335.0</v>
      </c>
      <c r="L5" s="1">
        <v>353.0</v>
      </c>
      <c r="M5">
        <f>(K5-L5)*1.28*I5</f>
        <v>-3087.999889</v>
      </c>
      <c r="N5" s="46" t="s">
        <v>126</v>
      </c>
      <c r="V5" s="1"/>
      <c r="X5" s="48"/>
    </row>
    <row r="6">
      <c r="A6" s="9"/>
      <c r="B6">
        <f>B2*0.0075</f>
        <v>151.4524</v>
      </c>
      <c r="C6">
        <f>B6*(1.05+0.05*2/3)*I3</f>
        <v>446756.1772</v>
      </c>
      <c r="D6" s="109">
        <f>Channeler!D2/(1+1/12)-Channeler!D2</f>
        <v>-1.270730256</v>
      </c>
      <c r="E6">
        <f>I3*93.81</f>
        <v>255435.6067</v>
      </c>
      <c r="H6" s="1" t="s">
        <v>128</v>
      </c>
      <c r="I6" s="47">
        <f>SUM(S9:S998)/500+0.008*I$2+(0.008+0.0075)*I$3</f>
        <v>154.4495515</v>
      </c>
      <c r="M6">
        <f>sum(M2:M5)</f>
        <v>58893.3635</v>
      </c>
      <c r="N6" s="46" t="s">
        <v>127</v>
      </c>
      <c r="O6" s="1"/>
      <c r="P6" s="1"/>
      <c r="V6" s="1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110"/>
      <c r="L7" s="49"/>
      <c r="M7" s="49"/>
      <c r="N7" s="49"/>
      <c r="O7" s="50"/>
      <c r="P7" s="50"/>
      <c r="Q7" s="51"/>
      <c r="R7" s="1"/>
      <c r="S7" s="1"/>
      <c r="V7" s="1"/>
    </row>
    <row r="8">
      <c r="A8" s="9" t="s">
        <v>754</v>
      </c>
      <c r="V8" s="1"/>
    </row>
    <row r="9">
      <c r="A9" s="49" t="s">
        <v>131</v>
      </c>
      <c r="B9" s="49" t="s">
        <v>89</v>
      </c>
      <c r="C9" s="49" t="s">
        <v>132</v>
      </c>
      <c r="D9" s="49" t="s">
        <v>111</v>
      </c>
      <c r="E9" s="49" t="s">
        <v>133</v>
      </c>
      <c r="F9" s="49" t="s">
        <v>134</v>
      </c>
      <c r="G9" s="49" t="s">
        <v>135</v>
      </c>
      <c r="H9" s="49" t="s">
        <v>136</v>
      </c>
      <c r="I9" s="49" t="s">
        <v>137</v>
      </c>
      <c r="J9" s="49" t="s">
        <v>138</v>
      </c>
      <c r="K9" s="49" t="s">
        <v>28</v>
      </c>
      <c r="L9" s="49" t="s">
        <v>139</v>
      </c>
      <c r="M9" s="49" t="s">
        <v>140</v>
      </c>
      <c r="N9" s="49" t="s">
        <v>141</v>
      </c>
      <c r="O9" s="50"/>
      <c r="P9" s="50" t="s">
        <v>142</v>
      </c>
      <c r="Q9" s="51" t="s">
        <v>143</v>
      </c>
      <c r="R9" s="1" t="s">
        <v>144</v>
      </c>
      <c r="S9" s="1" t="s">
        <v>37</v>
      </c>
      <c r="V9" s="1"/>
    </row>
    <row r="10">
      <c r="A10" s="1" t="s">
        <v>146</v>
      </c>
      <c r="B10" s="52">
        <v>6.446696033E9</v>
      </c>
      <c r="C10" s="53">
        <v>1.062058655E7</v>
      </c>
      <c r="D10" s="53">
        <v>1325662.0</v>
      </c>
      <c r="E10" s="52">
        <v>74264.0</v>
      </c>
      <c r="F10" s="52">
        <v>2.274655E7</v>
      </c>
      <c r="G10" s="52">
        <v>4863.0</v>
      </c>
      <c r="H10" s="52">
        <v>4863.0</v>
      </c>
      <c r="I10" s="1">
        <v>100.0</v>
      </c>
      <c r="J10" s="1">
        <v>1.02</v>
      </c>
      <c r="K10" s="26">
        <v>0.99</v>
      </c>
      <c r="L10" s="1" t="s">
        <v>755</v>
      </c>
      <c r="M10" s="1" t="s">
        <v>146</v>
      </c>
      <c r="N10" s="1">
        <v>100.0</v>
      </c>
      <c r="O10" s="11"/>
      <c r="P10" s="11" t="str">
        <f t="shared" ref="P10:P41" si="2">if($N10&lt;4,$C10*(($J$2+C$2+1%)/($J$2+C$2)-1),"")</f>
        <v/>
      </c>
      <c r="Q10" s="11" t="str">
        <f>if($N10=2,$C10*((1.5+D$2+1%)/(1.5+D$2)-1),"")</f>
        <v/>
      </c>
      <c r="R10" s="11" t="str">
        <f t="shared" ref="R10:R41" si="3">if($N10=1,$C10*((1+E$2+1%)/(1+E$2)-1),"")</f>
        <v/>
      </c>
      <c r="S10" s="55" t="str">
        <f>if($N10&lt;3,C10*((floor((log($B$2+500,2)*0.28-1.2)*100,0.001)/100)/(floor((log($B$2,2)*0.28-1.2)*100,0.001)/100)-1),"")</f>
        <v/>
      </c>
      <c r="V10" s="1"/>
      <c r="X10" s="56"/>
    </row>
    <row r="11">
      <c r="A11" s="1" t="s">
        <v>170</v>
      </c>
      <c r="B11" s="52">
        <v>2.896415789E9</v>
      </c>
      <c r="C11" s="53">
        <v>4771689.93</v>
      </c>
      <c r="D11" s="53">
        <v>3776292.0</v>
      </c>
      <c r="E11" s="52">
        <v>1417221.0</v>
      </c>
      <c r="F11" s="52">
        <v>1.1952858E7</v>
      </c>
      <c r="G11" s="52">
        <v>767.0</v>
      </c>
      <c r="H11" s="52">
        <v>767.0</v>
      </c>
      <c r="I11" s="1">
        <v>100.0</v>
      </c>
      <c r="J11" s="1">
        <v>3.23</v>
      </c>
      <c r="K11" s="26">
        <v>1.0</v>
      </c>
      <c r="L11" s="1" t="s">
        <v>756</v>
      </c>
      <c r="M11" s="1" t="s">
        <v>172</v>
      </c>
      <c r="N11" s="1">
        <v>1.0</v>
      </c>
      <c r="O11" s="11"/>
      <c r="P11" s="11">
        <f t="shared" si="2"/>
        <v>2521.994413</v>
      </c>
      <c r="Q11" s="11" t="str">
        <f t="shared" ref="Q11:Q22" si="4">if(OR($N11=2,$N11=5),$C11*((1.5+D$2+1%)/(1.5+D$2)-1),"")</f>
        <v/>
      </c>
      <c r="R11" s="11">
        <f t="shared" si="3"/>
        <v>10792.58568</v>
      </c>
      <c r="S11" s="55">
        <f t="shared" ref="S11:S41" si="5">if(OR($N11&lt;3,$N11=5),C11*((floor((log($B$2+500,2)*0.28-1.2)*100,0.001)/100)/(floor((log($B$2,2)*0.28-1.2)*100,0.001)/100)-1),"")</f>
        <v>16810.53201</v>
      </c>
      <c r="V11" s="1"/>
    </row>
    <row r="12">
      <c r="A12" s="1" t="s">
        <v>176</v>
      </c>
      <c r="B12" s="52">
        <v>3.44747698E8</v>
      </c>
      <c r="C12" s="53">
        <v>567953.37</v>
      </c>
      <c r="D12" s="53">
        <v>1090974.0</v>
      </c>
      <c r="E12" s="52">
        <v>490189.0</v>
      </c>
      <c r="F12" s="52">
        <v>3830219.0</v>
      </c>
      <c r="G12" s="52">
        <v>316.0</v>
      </c>
      <c r="H12" s="52">
        <v>316.0</v>
      </c>
      <c r="I12" s="1">
        <v>100.0</v>
      </c>
      <c r="J12" s="1">
        <v>2.39</v>
      </c>
      <c r="K12" s="26">
        <v>1.0</v>
      </c>
      <c r="L12" s="1" t="s">
        <v>757</v>
      </c>
      <c r="M12" s="1" t="s">
        <v>156</v>
      </c>
      <c r="N12" s="1">
        <v>3.0</v>
      </c>
      <c r="O12" s="11"/>
      <c r="P12" s="11">
        <f t="shared" si="2"/>
        <v>300.181958</v>
      </c>
      <c r="Q12" s="11" t="str">
        <f t="shared" si="4"/>
        <v/>
      </c>
      <c r="R12" s="11" t="str">
        <f t="shared" si="3"/>
        <v/>
      </c>
      <c r="S12" s="55" t="str">
        <f t="shared" si="5"/>
        <v/>
      </c>
      <c r="V12" s="1"/>
    </row>
    <row r="13">
      <c r="A13" s="1" t="s">
        <v>334</v>
      </c>
      <c r="B13" s="52">
        <v>2.77844913E8</v>
      </c>
      <c r="C13" s="53">
        <v>457734.62</v>
      </c>
      <c r="D13" s="53">
        <v>847088.2</v>
      </c>
      <c r="E13" s="52">
        <v>335245.0</v>
      </c>
      <c r="F13" s="52">
        <v>6322938.0</v>
      </c>
      <c r="G13" s="52">
        <v>328.0</v>
      </c>
      <c r="H13" s="52">
        <v>328.0</v>
      </c>
      <c r="I13" s="1">
        <v>100.0</v>
      </c>
      <c r="J13" s="1">
        <v>3.03</v>
      </c>
      <c r="K13" s="26">
        <v>1.0</v>
      </c>
      <c r="L13" s="1" t="s">
        <v>758</v>
      </c>
      <c r="M13" s="1" t="s">
        <v>187</v>
      </c>
      <c r="N13" s="1">
        <v>2.0</v>
      </c>
      <c r="O13" s="11"/>
      <c r="P13" s="11">
        <f t="shared" si="2"/>
        <v>241.9277386</v>
      </c>
      <c r="Q13" s="11">
        <f t="shared" si="4"/>
        <v>254.0219148</v>
      </c>
      <c r="R13" s="11" t="str">
        <f t="shared" si="3"/>
        <v/>
      </c>
      <c r="S13" s="55">
        <f t="shared" si="5"/>
        <v>1612.586441</v>
      </c>
      <c r="V13" s="1"/>
    </row>
    <row r="14">
      <c r="A14" s="1" t="s">
        <v>174</v>
      </c>
      <c r="B14" s="52">
        <v>2.67454438E8</v>
      </c>
      <c r="C14" s="53">
        <v>440616.87</v>
      </c>
      <c r="D14" s="53">
        <v>1364563.0</v>
      </c>
      <c r="E14" s="52">
        <v>577416.0</v>
      </c>
      <c r="F14" s="52">
        <v>7233806.0</v>
      </c>
      <c r="G14" s="52">
        <v>196.0</v>
      </c>
      <c r="H14" s="52">
        <v>196.0</v>
      </c>
      <c r="I14" s="1">
        <v>100.0</v>
      </c>
      <c r="J14" s="1">
        <v>3.19</v>
      </c>
      <c r="K14" s="26">
        <v>1.0</v>
      </c>
      <c r="L14" s="1" t="s">
        <v>759</v>
      </c>
      <c r="M14" s="1" t="s">
        <v>150</v>
      </c>
      <c r="N14" s="1">
        <v>3.0</v>
      </c>
      <c r="O14" s="11"/>
      <c r="P14" s="11">
        <f t="shared" si="2"/>
        <v>232.8804471</v>
      </c>
      <c r="Q14" s="11" t="str">
        <f t="shared" si="4"/>
        <v/>
      </c>
      <c r="R14" s="11" t="str">
        <f t="shared" si="3"/>
        <v/>
      </c>
      <c r="S14" s="55" t="str">
        <f t="shared" si="5"/>
        <v/>
      </c>
    </row>
    <row r="15">
      <c r="A15" s="1" t="s">
        <v>250</v>
      </c>
      <c r="B15" s="52">
        <v>2.67407499E8</v>
      </c>
      <c r="C15" s="53">
        <v>440539.54</v>
      </c>
      <c r="D15" s="53">
        <v>280595.5</v>
      </c>
      <c r="E15" s="52">
        <v>74264.0</v>
      </c>
      <c r="F15" s="52">
        <v>853129.0</v>
      </c>
      <c r="G15" s="1">
        <v>953.0</v>
      </c>
      <c r="H15" s="1">
        <v>953.0</v>
      </c>
      <c r="I15" s="1">
        <v>100.0</v>
      </c>
      <c r="J15" s="1">
        <v>1.54</v>
      </c>
      <c r="K15" s="26">
        <v>1.0</v>
      </c>
      <c r="L15" s="1" t="s">
        <v>760</v>
      </c>
      <c r="M15" s="1" t="s">
        <v>156</v>
      </c>
      <c r="N15" s="1">
        <v>3.0</v>
      </c>
      <c r="O15" s="11"/>
      <c r="P15" s="11">
        <f t="shared" si="2"/>
        <v>232.8395757</v>
      </c>
      <c r="Q15" s="11" t="str">
        <f t="shared" si="4"/>
        <v/>
      </c>
      <c r="R15" s="11" t="str">
        <f t="shared" si="3"/>
        <v/>
      </c>
      <c r="S15" s="55" t="str">
        <f t="shared" si="5"/>
        <v/>
      </c>
    </row>
    <row r="16">
      <c r="A16" s="1" t="s">
        <v>297</v>
      </c>
      <c r="B16" s="52">
        <v>2.45831977E8</v>
      </c>
      <c r="C16" s="53">
        <v>404995.02</v>
      </c>
      <c r="D16" s="53">
        <v>2458320.0</v>
      </c>
      <c r="E16" s="52">
        <v>1050951.0</v>
      </c>
      <c r="F16" s="52">
        <v>5235555.0</v>
      </c>
      <c r="G16" s="1">
        <v>100.0</v>
      </c>
      <c r="H16" s="1">
        <v>100.0</v>
      </c>
      <c r="I16" s="1">
        <v>100.0</v>
      </c>
      <c r="J16" s="1">
        <v>8.61</v>
      </c>
      <c r="K16" s="26">
        <v>1.0</v>
      </c>
      <c r="L16" s="1" t="s">
        <v>761</v>
      </c>
      <c r="M16" s="1" t="s">
        <v>187</v>
      </c>
      <c r="N16" s="1">
        <v>2.0</v>
      </c>
      <c r="O16" s="11"/>
      <c r="P16" s="11">
        <f t="shared" si="2"/>
        <v>214.0531327</v>
      </c>
      <c r="Q16" s="11">
        <f t="shared" si="4"/>
        <v>224.7538333</v>
      </c>
      <c r="R16" s="11" t="str">
        <f t="shared" si="3"/>
        <v/>
      </c>
      <c r="S16" s="55">
        <f t="shared" si="5"/>
        <v>1426.786285</v>
      </c>
    </row>
    <row r="17">
      <c r="A17" s="1" t="s">
        <v>322</v>
      </c>
      <c r="B17" s="52">
        <v>2.34768122E8</v>
      </c>
      <c r="C17" s="53">
        <v>386767.91</v>
      </c>
      <c r="D17" s="53">
        <v>844489.7</v>
      </c>
      <c r="E17" s="52">
        <v>336185.0</v>
      </c>
      <c r="F17" s="52">
        <v>5231768.0</v>
      </c>
      <c r="G17" s="1">
        <v>278.0</v>
      </c>
      <c r="H17" s="1">
        <v>278.0</v>
      </c>
      <c r="I17" s="1">
        <v>100.0</v>
      </c>
      <c r="J17" s="1">
        <v>3.03</v>
      </c>
      <c r="K17" s="26">
        <v>1.0</v>
      </c>
      <c r="L17" s="1" t="s">
        <v>762</v>
      </c>
      <c r="M17" s="1" t="s">
        <v>172</v>
      </c>
      <c r="N17" s="1">
        <v>2.0</v>
      </c>
      <c r="O17" s="11"/>
      <c r="P17" s="11">
        <f t="shared" si="2"/>
        <v>204.4195081</v>
      </c>
      <c r="Q17" s="11">
        <f t="shared" si="4"/>
        <v>214.6386154</v>
      </c>
      <c r="R17" s="11" t="str">
        <f t="shared" si="3"/>
        <v/>
      </c>
      <c r="S17" s="55">
        <f t="shared" si="5"/>
        <v>1362.572679</v>
      </c>
      <c r="V17" s="1"/>
      <c r="W17" s="1"/>
      <c r="X17" s="1"/>
    </row>
    <row r="18">
      <c r="A18" s="1" t="s">
        <v>228</v>
      </c>
      <c r="B18" s="52">
        <v>2.30591879E8</v>
      </c>
      <c r="C18" s="53">
        <v>379887.77</v>
      </c>
      <c r="D18" s="53">
        <v>4705957.0</v>
      </c>
      <c r="E18" s="52">
        <v>2895533.0</v>
      </c>
      <c r="F18" s="52">
        <v>7163908.0</v>
      </c>
      <c r="G18" s="1">
        <v>49.0</v>
      </c>
      <c r="H18" s="1">
        <v>49.0</v>
      </c>
      <c r="I18" s="1">
        <v>100.0</v>
      </c>
      <c r="J18" s="1">
        <v>13.65</v>
      </c>
      <c r="K18" s="26">
        <v>0.0</v>
      </c>
      <c r="L18" s="1" t="s">
        <v>149</v>
      </c>
      <c r="M18" s="1" t="s">
        <v>193</v>
      </c>
      <c r="N18" s="1">
        <v>4.0</v>
      </c>
      <c r="O18" s="11"/>
      <c r="P18" s="11" t="str">
        <f t="shared" si="2"/>
        <v/>
      </c>
      <c r="Q18" s="11" t="str">
        <f t="shared" si="4"/>
        <v/>
      </c>
      <c r="R18" s="11" t="str">
        <f t="shared" si="3"/>
        <v/>
      </c>
      <c r="S18" s="55" t="str">
        <f t="shared" si="5"/>
        <v/>
      </c>
      <c r="V18" s="1"/>
      <c r="W18" s="58"/>
      <c r="X18" s="58"/>
    </row>
    <row r="19">
      <c r="A19" s="1" t="s">
        <v>180</v>
      </c>
      <c r="B19" s="52">
        <v>2.17945794E8</v>
      </c>
      <c r="C19" s="53">
        <v>359054.03</v>
      </c>
      <c r="D19" s="53">
        <v>968647.9</v>
      </c>
      <c r="E19" s="52">
        <v>444071.0</v>
      </c>
      <c r="F19" s="52">
        <v>3392001.0</v>
      </c>
      <c r="G19" s="1">
        <v>225.0</v>
      </c>
      <c r="H19" s="1">
        <v>225.0</v>
      </c>
      <c r="I19" s="1">
        <v>100.0</v>
      </c>
      <c r="J19" s="1">
        <v>3.51</v>
      </c>
      <c r="K19" s="26">
        <v>1.0</v>
      </c>
      <c r="L19" s="1" t="s">
        <v>763</v>
      </c>
      <c r="M19" s="1" t="s">
        <v>182</v>
      </c>
      <c r="N19" s="1">
        <v>3.0</v>
      </c>
      <c r="O19" s="11"/>
      <c r="P19" s="11">
        <f t="shared" si="2"/>
        <v>189.7718148</v>
      </c>
      <c r="Q19" s="11" t="str">
        <f t="shared" si="4"/>
        <v/>
      </c>
      <c r="R19" s="11" t="str">
        <f t="shared" si="3"/>
        <v/>
      </c>
      <c r="S19" s="55" t="str">
        <f t="shared" si="5"/>
        <v/>
      </c>
      <c r="V19" s="1"/>
      <c r="W19" s="58"/>
      <c r="X19" s="58"/>
    </row>
    <row r="20">
      <c r="A20" s="1" t="s">
        <v>350</v>
      </c>
      <c r="B20" s="52">
        <v>1.89000812E8</v>
      </c>
      <c r="C20" s="53">
        <v>311368.72</v>
      </c>
      <c r="D20" s="53">
        <v>1766363.0</v>
      </c>
      <c r="E20" s="52">
        <v>1222244.0</v>
      </c>
      <c r="F20" s="52">
        <v>5075931.0</v>
      </c>
      <c r="G20" s="1">
        <v>107.0</v>
      </c>
      <c r="H20" s="1">
        <v>107.0</v>
      </c>
      <c r="I20" s="1">
        <v>100.0</v>
      </c>
      <c r="J20" s="1">
        <v>5.66</v>
      </c>
      <c r="K20" s="26">
        <v>1.0</v>
      </c>
      <c r="L20" s="1" t="s">
        <v>764</v>
      </c>
      <c r="M20" s="1" t="s">
        <v>172</v>
      </c>
      <c r="N20" s="1">
        <v>2.0</v>
      </c>
      <c r="O20" s="11"/>
      <c r="P20" s="11">
        <f t="shared" si="2"/>
        <v>164.5685666</v>
      </c>
      <c r="Q20" s="11">
        <f t="shared" si="4"/>
        <v>172.7954911</v>
      </c>
      <c r="R20" s="11" t="str">
        <f t="shared" si="3"/>
        <v/>
      </c>
      <c r="S20" s="55">
        <f t="shared" si="5"/>
        <v>1096.943413</v>
      </c>
      <c r="V20" s="1"/>
      <c r="W20" s="58"/>
      <c r="X20" s="58"/>
    </row>
    <row r="21">
      <c r="A21" s="1" t="s">
        <v>370</v>
      </c>
      <c r="B21" s="52">
        <v>1.87430815E8</v>
      </c>
      <c r="C21" s="53">
        <v>308782.23</v>
      </c>
      <c r="D21" s="53">
        <v>2372542.0</v>
      </c>
      <c r="E21" s="52">
        <v>1495084.0</v>
      </c>
      <c r="F21" s="52">
        <v>5388702.0</v>
      </c>
      <c r="G21" s="1">
        <v>79.0</v>
      </c>
      <c r="H21" s="1">
        <v>79.0</v>
      </c>
      <c r="I21" s="1">
        <v>100.0</v>
      </c>
      <c r="J21" s="1">
        <v>8.53</v>
      </c>
      <c r="K21" s="26">
        <v>1.0</v>
      </c>
      <c r="L21" s="1" t="s">
        <v>765</v>
      </c>
      <c r="M21" s="1" t="s">
        <v>210</v>
      </c>
      <c r="N21" s="1">
        <v>2.0</v>
      </c>
      <c r="O21" s="11"/>
      <c r="P21" s="11">
        <f t="shared" si="2"/>
        <v>163.201522</v>
      </c>
      <c r="Q21" s="11">
        <f t="shared" si="4"/>
        <v>171.3601067</v>
      </c>
      <c r="R21" s="11" t="str">
        <f t="shared" si="3"/>
        <v/>
      </c>
      <c r="S21" s="55">
        <f t="shared" si="5"/>
        <v>1087.83128</v>
      </c>
      <c r="V21" s="1"/>
      <c r="W21" s="58"/>
      <c r="X21" s="58"/>
    </row>
    <row r="22">
      <c r="A22" s="1" t="s">
        <v>360</v>
      </c>
      <c r="B22" s="52">
        <v>1.51759585E8</v>
      </c>
      <c r="C22" s="53">
        <v>250015.79</v>
      </c>
      <c r="D22" s="53">
        <v>1724541.0</v>
      </c>
      <c r="E22" s="52">
        <v>162961.0</v>
      </c>
      <c r="F22" s="52">
        <v>2.274655E7</v>
      </c>
      <c r="G22" s="1">
        <v>88.0</v>
      </c>
      <c r="H22" s="1">
        <v>88.0</v>
      </c>
      <c r="I22" s="1">
        <v>100.0</v>
      </c>
      <c r="J22" s="1">
        <v>8.61</v>
      </c>
      <c r="K22" s="26">
        <v>1.0</v>
      </c>
      <c r="L22" s="1" t="s">
        <v>766</v>
      </c>
      <c r="M22" s="1" t="s">
        <v>187</v>
      </c>
      <c r="N22" s="1">
        <v>2.0</v>
      </c>
      <c r="O22" s="11"/>
      <c r="P22" s="11">
        <f t="shared" si="2"/>
        <v>132.1415337</v>
      </c>
      <c r="Q22" s="11">
        <f t="shared" si="4"/>
        <v>138.7474028</v>
      </c>
      <c r="R22" s="11" t="str">
        <f t="shared" si="3"/>
        <v/>
      </c>
      <c r="S22" s="55">
        <f t="shared" si="5"/>
        <v>880.7987324</v>
      </c>
      <c r="V22" s="1"/>
      <c r="W22" s="58"/>
      <c r="X22" s="58"/>
    </row>
    <row r="23">
      <c r="A23" s="1" t="s">
        <v>188</v>
      </c>
      <c r="B23" s="52">
        <v>1.02390397E8</v>
      </c>
      <c r="C23" s="53">
        <v>168682.7</v>
      </c>
      <c r="D23" s="53">
        <v>1505741.0</v>
      </c>
      <c r="E23" s="52">
        <v>1091412.0</v>
      </c>
      <c r="F23" s="52">
        <v>2631859.0</v>
      </c>
      <c r="G23" s="52">
        <v>68.0</v>
      </c>
      <c r="H23" s="52">
        <v>68.0</v>
      </c>
      <c r="I23" s="1">
        <v>100.0</v>
      </c>
      <c r="J23" s="1">
        <v>9.72</v>
      </c>
      <c r="K23" s="26">
        <v>1.0</v>
      </c>
      <c r="L23" s="1" t="s">
        <v>767</v>
      </c>
      <c r="M23" s="1" t="s">
        <v>190</v>
      </c>
      <c r="N23" s="1">
        <v>3.0</v>
      </c>
      <c r="O23" s="11"/>
      <c r="P23" s="11">
        <f t="shared" si="2"/>
        <v>89.15433174</v>
      </c>
      <c r="Q23" s="11"/>
      <c r="R23" s="11" t="str">
        <f t="shared" si="3"/>
        <v/>
      </c>
      <c r="S23" s="55" t="str">
        <f t="shared" si="5"/>
        <v/>
      </c>
    </row>
    <row r="24">
      <c r="A24" s="1" t="s">
        <v>382</v>
      </c>
      <c r="B24" s="52">
        <v>1.02329811E8</v>
      </c>
      <c r="C24" s="53">
        <v>168582.88</v>
      </c>
      <c r="D24" s="53">
        <v>2006467.0</v>
      </c>
      <c r="E24" s="52">
        <v>1028034.0</v>
      </c>
      <c r="F24" s="52">
        <v>4135929.0</v>
      </c>
      <c r="G24" s="1">
        <v>51.0</v>
      </c>
      <c r="H24" s="1">
        <v>51.0</v>
      </c>
      <c r="I24" s="1">
        <v>100.0</v>
      </c>
      <c r="J24" s="1">
        <v>11.96</v>
      </c>
      <c r="K24" s="26">
        <v>1.0</v>
      </c>
      <c r="L24" s="1" t="s">
        <v>768</v>
      </c>
      <c r="M24" s="1" t="s">
        <v>193</v>
      </c>
      <c r="N24" s="1">
        <v>2.0</v>
      </c>
      <c r="O24" s="11"/>
      <c r="P24" s="11">
        <f t="shared" si="2"/>
        <v>89.1015736</v>
      </c>
      <c r="Q24" s="11">
        <f t="shared" ref="Q24:Q29" si="6">if(OR($N24=2,$N24=5),$C24*((1.5+D$2+1%)/(1.5+D$2)-1),"")</f>
        <v>93.55583805</v>
      </c>
      <c r="R24" s="11" t="str">
        <f t="shared" si="3"/>
        <v/>
      </c>
      <c r="S24" s="55">
        <f t="shared" si="5"/>
        <v>593.9128365</v>
      </c>
    </row>
    <row r="25">
      <c r="A25" s="1" t="s">
        <v>386</v>
      </c>
      <c r="B25" s="52">
        <v>9.3557528E7</v>
      </c>
      <c r="C25" s="53">
        <v>154131.02</v>
      </c>
      <c r="D25" s="53">
        <v>677953.1</v>
      </c>
      <c r="E25" s="52">
        <v>287783.0</v>
      </c>
      <c r="F25" s="52">
        <v>2161606.0</v>
      </c>
      <c r="G25" s="1">
        <v>138.0</v>
      </c>
      <c r="H25" s="1">
        <v>138.0</v>
      </c>
      <c r="I25" s="1">
        <v>100.0</v>
      </c>
      <c r="J25" s="1">
        <v>4.52</v>
      </c>
      <c r="K25" s="26">
        <v>1.0</v>
      </c>
      <c r="L25" s="1" t="s">
        <v>769</v>
      </c>
      <c r="M25" s="1" t="s">
        <v>210</v>
      </c>
      <c r="N25" s="1">
        <v>2.0</v>
      </c>
      <c r="O25" s="11"/>
      <c r="P25" s="11">
        <f t="shared" si="2"/>
        <v>81.46329226</v>
      </c>
      <c r="Q25" s="11">
        <f t="shared" si="6"/>
        <v>85.53571244</v>
      </c>
      <c r="R25" s="11" t="str">
        <f t="shared" si="3"/>
        <v/>
      </c>
      <c r="S25" s="55">
        <f t="shared" si="5"/>
        <v>542.9993323</v>
      </c>
    </row>
    <row r="26">
      <c r="A26" s="1" t="s">
        <v>202</v>
      </c>
      <c r="B26" s="52">
        <v>8.3552141E7</v>
      </c>
      <c r="C26" s="53">
        <v>137647.68</v>
      </c>
      <c r="D26" s="53">
        <v>522200.9</v>
      </c>
      <c r="E26" s="52">
        <v>293096.0</v>
      </c>
      <c r="F26" s="52">
        <v>1249132.0</v>
      </c>
      <c r="G26" s="52">
        <v>160.0</v>
      </c>
      <c r="H26" s="52">
        <v>160.0</v>
      </c>
      <c r="I26" s="1">
        <v>100.0</v>
      </c>
      <c r="J26" s="1">
        <v>3.83</v>
      </c>
      <c r="K26" s="26">
        <v>1.0</v>
      </c>
      <c r="L26" s="1" t="s">
        <v>770</v>
      </c>
      <c r="M26" s="1" t="s">
        <v>190</v>
      </c>
      <c r="N26" s="1">
        <v>3.0</v>
      </c>
      <c r="O26" s="11"/>
      <c r="P26" s="11">
        <f t="shared" si="2"/>
        <v>72.75130719</v>
      </c>
      <c r="Q26" s="11" t="str">
        <f t="shared" si="6"/>
        <v/>
      </c>
      <c r="R26" s="11" t="str">
        <f t="shared" si="3"/>
        <v/>
      </c>
      <c r="S26" s="55" t="str">
        <f t="shared" si="5"/>
        <v/>
      </c>
    </row>
    <row r="27">
      <c r="A27" s="1" t="s">
        <v>231</v>
      </c>
      <c r="B27" s="52">
        <v>8.0565177E7</v>
      </c>
      <c r="C27" s="53">
        <v>132726.82</v>
      </c>
      <c r="D27" s="53">
        <v>344295.6</v>
      </c>
      <c r="E27" s="52">
        <v>182498.0</v>
      </c>
      <c r="F27" s="52">
        <v>1045283.0</v>
      </c>
      <c r="G27" s="1">
        <v>234.0</v>
      </c>
      <c r="H27" s="1">
        <v>234.0</v>
      </c>
      <c r="I27" s="1">
        <v>100.0</v>
      </c>
      <c r="J27" s="1">
        <v>3.3</v>
      </c>
      <c r="K27" s="26">
        <v>1.0</v>
      </c>
      <c r="L27" s="1" t="s">
        <v>771</v>
      </c>
      <c r="M27" s="1" t="s">
        <v>187</v>
      </c>
      <c r="N27" s="1">
        <v>3.0</v>
      </c>
      <c r="O27" s="11"/>
      <c r="P27" s="11">
        <f t="shared" si="2"/>
        <v>70.15047151</v>
      </c>
      <c r="Q27" s="11" t="str">
        <f t="shared" si="6"/>
        <v/>
      </c>
      <c r="R27" s="11" t="str">
        <f t="shared" si="3"/>
        <v/>
      </c>
      <c r="S27" s="55" t="str">
        <f t="shared" si="5"/>
        <v/>
      </c>
    </row>
    <row r="28">
      <c r="A28" s="1" t="s">
        <v>229</v>
      </c>
      <c r="B28" s="52">
        <v>7.7008426E7</v>
      </c>
      <c r="C28" s="53">
        <v>126867.26</v>
      </c>
      <c r="D28" s="53">
        <v>1375150.0</v>
      </c>
      <c r="E28" s="52">
        <v>752664.0</v>
      </c>
      <c r="F28" s="52">
        <v>3824382.0</v>
      </c>
      <c r="G28" s="1">
        <v>56.0</v>
      </c>
      <c r="H28" s="1">
        <v>56.0</v>
      </c>
      <c r="I28" s="1">
        <v>100.0</v>
      </c>
      <c r="J28" s="1">
        <v>10.38</v>
      </c>
      <c r="K28" s="26">
        <v>1.0</v>
      </c>
      <c r="L28" s="1" t="s">
        <v>772</v>
      </c>
      <c r="M28" s="1" t="s">
        <v>187</v>
      </c>
      <c r="N28" s="1">
        <v>3.0</v>
      </c>
      <c r="O28" s="11"/>
      <c r="P28" s="11">
        <f t="shared" si="2"/>
        <v>67.05350214</v>
      </c>
      <c r="Q28" s="11" t="str">
        <f t="shared" si="6"/>
        <v/>
      </c>
      <c r="R28" s="11" t="str">
        <f t="shared" si="3"/>
        <v/>
      </c>
      <c r="S28" s="55" t="str">
        <f t="shared" si="5"/>
        <v/>
      </c>
    </row>
    <row r="29">
      <c r="A29" s="1" t="s">
        <v>235</v>
      </c>
      <c r="B29" s="52">
        <v>7.6963306E7</v>
      </c>
      <c r="C29" s="53">
        <v>126792.93</v>
      </c>
      <c r="D29" s="53">
        <v>785339.8</v>
      </c>
      <c r="E29" s="52">
        <v>443468.0</v>
      </c>
      <c r="F29" s="52">
        <v>2398755.0</v>
      </c>
      <c r="G29" s="1">
        <v>98.0</v>
      </c>
      <c r="H29" s="1">
        <v>98.0</v>
      </c>
      <c r="I29" s="1">
        <v>100.0</v>
      </c>
      <c r="J29" s="1">
        <v>6.28</v>
      </c>
      <c r="K29" s="26">
        <v>1.0</v>
      </c>
      <c r="L29" s="1" t="s">
        <v>773</v>
      </c>
      <c r="M29" s="1" t="s">
        <v>187</v>
      </c>
      <c r="N29" s="1">
        <v>3.0</v>
      </c>
      <c r="O29" s="11"/>
      <c r="P29" s="11">
        <f t="shared" si="2"/>
        <v>67.0142163</v>
      </c>
      <c r="Q29" s="11" t="str">
        <f t="shared" si="6"/>
        <v/>
      </c>
      <c r="R29" s="11" t="str">
        <f t="shared" si="3"/>
        <v/>
      </c>
      <c r="S29" s="55" t="str">
        <f t="shared" si="5"/>
        <v/>
      </c>
    </row>
    <row r="30">
      <c r="A30" s="1" t="s">
        <v>409</v>
      </c>
      <c r="B30" s="52">
        <v>6.4779427E7</v>
      </c>
      <c r="C30" s="53">
        <v>106720.64</v>
      </c>
      <c r="D30" s="53">
        <v>2089659.0</v>
      </c>
      <c r="E30" s="52">
        <v>1363951.0</v>
      </c>
      <c r="F30" s="52">
        <v>5195221.0</v>
      </c>
      <c r="G30" s="1">
        <v>31.0</v>
      </c>
      <c r="H30" s="1">
        <v>31.0</v>
      </c>
      <c r="I30" s="1">
        <v>100.0</v>
      </c>
      <c r="J30" s="1">
        <v>19.13</v>
      </c>
      <c r="K30" s="26">
        <v>1.0</v>
      </c>
      <c r="L30" s="1" t="s">
        <v>774</v>
      </c>
      <c r="M30" s="1" t="s">
        <v>187</v>
      </c>
      <c r="N30" s="1">
        <v>2.0</v>
      </c>
      <c r="O30" s="11"/>
      <c r="P30" s="11">
        <f t="shared" si="2"/>
        <v>56.40535361</v>
      </c>
      <c r="Q30" s="11"/>
      <c r="R30" s="11" t="str">
        <f t="shared" si="3"/>
        <v/>
      </c>
      <c r="S30" s="55">
        <f t="shared" si="5"/>
        <v>375.9738712</v>
      </c>
    </row>
    <row r="31">
      <c r="A31" s="1" t="s">
        <v>419</v>
      </c>
      <c r="B31" s="52">
        <v>5.1870622E7</v>
      </c>
      <c r="C31" s="53">
        <v>85454.07</v>
      </c>
      <c r="D31" s="53">
        <v>1673246.0</v>
      </c>
      <c r="E31" s="52">
        <v>1007711.0</v>
      </c>
      <c r="F31" s="52">
        <v>6509626.0</v>
      </c>
      <c r="G31" s="1">
        <v>31.0</v>
      </c>
      <c r="H31" s="1">
        <v>31.0</v>
      </c>
      <c r="I31" s="1">
        <v>100.0</v>
      </c>
      <c r="J31" s="1">
        <v>19.23</v>
      </c>
      <c r="K31" s="26">
        <v>1.0</v>
      </c>
      <c r="L31" s="1" t="s">
        <v>775</v>
      </c>
      <c r="M31" s="1" t="s">
        <v>172</v>
      </c>
      <c r="N31" s="1">
        <v>2.0</v>
      </c>
      <c r="O31" s="11"/>
      <c r="P31" s="11">
        <f t="shared" si="2"/>
        <v>45.16527483</v>
      </c>
      <c r="Q31" s="11">
        <f t="shared" ref="Q31:Q41" si="7">if(OR($N31=2,$N31=5),$C31*((1.5+D$2+1%)/(1.5+D$2)-1),"")</f>
        <v>47.42312584</v>
      </c>
      <c r="R31" s="11" t="str">
        <f t="shared" si="3"/>
        <v/>
      </c>
      <c r="S31" s="55">
        <f t="shared" si="5"/>
        <v>301.0523317</v>
      </c>
    </row>
    <row r="32">
      <c r="A32" s="1" t="s">
        <v>218</v>
      </c>
      <c r="B32" s="52">
        <v>4.9575326E7</v>
      </c>
      <c r="C32" s="53">
        <v>81672.7</v>
      </c>
      <c r="D32" s="53">
        <v>1239383.0</v>
      </c>
      <c r="E32" s="52">
        <v>880529.0</v>
      </c>
      <c r="F32" s="52">
        <v>2321949.0</v>
      </c>
      <c r="G32" s="1">
        <v>40.0</v>
      </c>
      <c r="H32" s="1">
        <v>40.0</v>
      </c>
      <c r="I32" s="1">
        <v>100.0</v>
      </c>
      <c r="J32" s="1">
        <v>21.7</v>
      </c>
      <c r="K32" s="26">
        <v>1.0</v>
      </c>
      <c r="L32" s="1" t="s">
        <v>776</v>
      </c>
      <c r="M32" s="1" t="s">
        <v>193</v>
      </c>
      <c r="N32" s="1">
        <v>3.0</v>
      </c>
      <c r="O32" s="11"/>
      <c r="P32" s="11">
        <f t="shared" si="2"/>
        <v>43.16669694</v>
      </c>
      <c r="Q32" s="11" t="str">
        <f t="shared" si="7"/>
        <v/>
      </c>
      <c r="R32" s="11" t="str">
        <f t="shared" si="3"/>
        <v/>
      </c>
      <c r="S32" s="55" t="str">
        <f t="shared" si="5"/>
        <v/>
      </c>
    </row>
    <row r="33">
      <c r="A33" s="1" t="s">
        <v>208</v>
      </c>
      <c r="B33" s="52">
        <v>4.7720294E7</v>
      </c>
      <c r="C33" s="53">
        <v>78616.63</v>
      </c>
      <c r="D33" s="53">
        <v>672116.9</v>
      </c>
      <c r="E33" s="52">
        <v>467165.0</v>
      </c>
      <c r="F33" s="52">
        <v>1885517.0</v>
      </c>
      <c r="G33" s="1">
        <v>71.0</v>
      </c>
      <c r="H33" s="1">
        <v>71.0</v>
      </c>
      <c r="I33" s="1">
        <v>100.0</v>
      </c>
      <c r="J33" s="1">
        <v>8.65</v>
      </c>
      <c r="K33" s="26">
        <v>1.0</v>
      </c>
      <c r="L33" s="1" t="s">
        <v>777</v>
      </c>
      <c r="M33" s="1" t="s">
        <v>210</v>
      </c>
      <c r="N33" s="1">
        <v>3.0</v>
      </c>
      <c r="O33" s="11"/>
      <c r="P33" s="11">
        <f t="shared" si="2"/>
        <v>41.55146385</v>
      </c>
      <c r="Q33" s="11" t="str">
        <f t="shared" si="7"/>
        <v/>
      </c>
      <c r="R33" s="11" t="str">
        <f t="shared" si="3"/>
        <v/>
      </c>
      <c r="S33" s="55" t="str">
        <f t="shared" si="5"/>
        <v/>
      </c>
    </row>
    <row r="34">
      <c r="A34" s="1" t="s">
        <v>443</v>
      </c>
      <c r="B34" s="52">
        <v>3.6869978E7</v>
      </c>
      <c r="C34" s="53">
        <v>60741.31</v>
      </c>
      <c r="D34" s="53">
        <v>245799.8</v>
      </c>
      <c r="E34" s="52">
        <v>124827.0</v>
      </c>
      <c r="F34" s="52">
        <v>1224287.0</v>
      </c>
      <c r="G34" s="1">
        <v>150.0</v>
      </c>
      <c r="H34" s="1">
        <v>150.0</v>
      </c>
      <c r="I34" s="1">
        <v>100.0</v>
      </c>
      <c r="J34" s="1">
        <v>5.69</v>
      </c>
      <c r="K34" s="26">
        <v>1.0</v>
      </c>
      <c r="L34" s="1" t="s">
        <v>778</v>
      </c>
      <c r="M34" s="1" t="s">
        <v>187</v>
      </c>
      <c r="N34" s="1">
        <v>2.0</v>
      </c>
      <c r="O34" s="11"/>
      <c r="P34" s="11">
        <f t="shared" si="2"/>
        <v>32.10377177</v>
      </c>
      <c r="Q34" s="11">
        <f t="shared" si="7"/>
        <v>33.70866698</v>
      </c>
      <c r="R34" s="11" t="str">
        <f t="shared" si="3"/>
        <v/>
      </c>
      <c r="S34" s="55">
        <f t="shared" si="5"/>
        <v>213.9899598</v>
      </c>
    </row>
    <row r="35">
      <c r="A35" s="1" t="s">
        <v>435</v>
      </c>
      <c r="B35" s="52">
        <v>3.2618161E7</v>
      </c>
      <c r="C35" s="53">
        <v>53736.67</v>
      </c>
      <c r="D35" s="53">
        <v>195318.3</v>
      </c>
      <c r="E35" s="52">
        <v>96351.0</v>
      </c>
      <c r="F35" s="52">
        <v>409378.0</v>
      </c>
      <c r="G35" s="1">
        <v>167.0</v>
      </c>
      <c r="H35" s="1">
        <v>167.0</v>
      </c>
      <c r="I35" s="1">
        <v>100.0</v>
      </c>
      <c r="J35" s="1">
        <v>3.72</v>
      </c>
      <c r="K35" s="26">
        <v>1.0</v>
      </c>
      <c r="L35" s="1" t="s">
        <v>779</v>
      </c>
      <c r="M35" s="1" t="s">
        <v>156</v>
      </c>
      <c r="N35" s="1">
        <v>2.0</v>
      </c>
      <c r="O35" s="11"/>
      <c r="P35" s="11">
        <f t="shared" si="2"/>
        <v>28.40159011</v>
      </c>
      <c r="Q35" s="11">
        <f t="shared" si="7"/>
        <v>29.82141007</v>
      </c>
      <c r="R35" s="11" t="str">
        <f t="shared" si="3"/>
        <v/>
      </c>
      <c r="S35" s="55">
        <f t="shared" si="5"/>
        <v>189.3128063</v>
      </c>
    </row>
    <row r="36">
      <c r="A36" s="1" t="s">
        <v>447</v>
      </c>
      <c r="B36" s="52">
        <v>2.7698785E7</v>
      </c>
      <c r="C36" s="53">
        <v>45632.27</v>
      </c>
      <c r="D36" s="53">
        <v>364457.7</v>
      </c>
      <c r="E36" s="52">
        <v>258419.0</v>
      </c>
      <c r="F36" s="52">
        <v>536711.0</v>
      </c>
      <c r="G36" s="1">
        <v>76.0</v>
      </c>
      <c r="H36" s="1">
        <v>76.0</v>
      </c>
      <c r="I36" s="1">
        <v>100.0</v>
      </c>
      <c r="J36" s="1">
        <v>7.25</v>
      </c>
      <c r="K36" s="26">
        <v>1.0</v>
      </c>
      <c r="L36" s="1" t="s">
        <v>780</v>
      </c>
      <c r="M36" s="1" t="s">
        <v>187</v>
      </c>
      <c r="N36" s="1">
        <v>2.0</v>
      </c>
      <c r="O36" s="11"/>
      <c r="P36" s="11">
        <f t="shared" si="2"/>
        <v>24.11814927</v>
      </c>
      <c r="Q36" s="11">
        <f t="shared" si="7"/>
        <v>25.32383633</v>
      </c>
      <c r="R36" s="11" t="str">
        <f t="shared" si="3"/>
        <v/>
      </c>
      <c r="S36" s="55">
        <f t="shared" si="5"/>
        <v>160.7612286</v>
      </c>
    </row>
    <row r="37">
      <c r="A37" s="1" t="s">
        <v>233</v>
      </c>
      <c r="B37" s="27">
        <v>7997333.0</v>
      </c>
      <c r="C37" s="61">
        <v>13175.18</v>
      </c>
      <c r="D37" s="61">
        <v>1332889.0</v>
      </c>
      <c r="E37" s="27">
        <v>1042084.0</v>
      </c>
      <c r="F37" s="27">
        <v>1526604.0</v>
      </c>
      <c r="G37" s="1">
        <v>6.0</v>
      </c>
      <c r="H37" s="1">
        <v>6.0</v>
      </c>
      <c r="I37" s="1">
        <v>100.0</v>
      </c>
      <c r="J37" s="1">
        <v>90.8</v>
      </c>
      <c r="K37" s="26">
        <v>1.0</v>
      </c>
      <c r="L37" s="1" t="s">
        <v>478</v>
      </c>
      <c r="M37" s="1" t="s">
        <v>187</v>
      </c>
      <c r="N37" s="1">
        <v>3.0</v>
      </c>
      <c r="O37" s="11"/>
      <c r="P37" s="11">
        <f t="shared" si="2"/>
        <v>6.963514151</v>
      </c>
      <c r="Q37" s="11" t="str">
        <f t="shared" si="7"/>
        <v/>
      </c>
      <c r="R37" s="11" t="str">
        <f t="shared" si="3"/>
        <v/>
      </c>
      <c r="S37" s="55" t="str">
        <f t="shared" si="5"/>
        <v/>
      </c>
    </row>
    <row r="38">
      <c r="A38" s="1" t="s">
        <v>301</v>
      </c>
      <c r="B38" s="27">
        <v>3.44041847E8</v>
      </c>
      <c r="C38" s="61">
        <v>566790.52</v>
      </c>
      <c r="D38" s="61">
        <v>2123715.0</v>
      </c>
      <c r="E38" s="27">
        <v>1177674.0</v>
      </c>
      <c r="F38" s="27">
        <v>6583172.0</v>
      </c>
      <c r="G38" s="1">
        <v>162.0</v>
      </c>
      <c r="H38" s="1">
        <v>162.0</v>
      </c>
      <c r="I38" s="1">
        <v>100.0</v>
      </c>
      <c r="J38" s="1">
        <v>4.2</v>
      </c>
      <c r="K38" s="26">
        <v>1.0</v>
      </c>
      <c r="L38" s="1" t="s">
        <v>567</v>
      </c>
      <c r="M38" s="1" t="s">
        <v>247</v>
      </c>
      <c r="N38" s="1">
        <v>5.0</v>
      </c>
      <c r="O38" s="11"/>
      <c r="P38" s="11" t="str">
        <f t="shared" si="2"/>
        <v/>
      </c>
      <c r="Q38" s="11">
        <f t="shared" si="7"/>
        <v>314.5429838</v>
      </c>
      <c r="R38" s="11" t="str">
        <f t="shared" si="3"/>
        <v/>
      </c>
      <c r="S38" s="55">
        <f t="shared" si="5"/>
        <v>1996.787369</v>
      </c>
    </row>
    <row r="39">
      <c r="A39" s="1" t="s">
        <v>218</v>
      </c>
      <c r="B39" s="27">
        <v>3.17741215E8</v>
      </c>
      <c r="C39" s="61">
        <v>523461.64</v>
      </c>
      <c r="D39" s="61">
        <v>1527602.0</v>
      </c>
      <c r="E39" s="27">
        <v>603897.0</v>
      </c>
      <c r="F39" s="27">
        <v>6344667.0</v>
      </c>
      <c r="G39" s="1">
        <v>208.0</v>
      </c>
      <c r="H39" s="1">
        <v>208.0</v>
      </c>
      <c r="I39" s="1">
        <v>100.0</v>
      </c>
      <c r="J39" s="1">
        <v>8.36</v>
      </c>
      <c r="K39" s="26">
        <v>1.0</v>
      </c>
      <c r="L39" s="1" t="s">
        <v>781</v>
      </c>
      <c r="M39" s="1" t="s">
        <v>193</v>
      </c>
      <c r="N39" s="1">
        <v>5.0</v>
      </c>
      <c r="O39" s="11"/>
      <c r="P39" s="11" t="str">
        <f t="shared" si="2"/>
        <v/>
      </c>
      <c r="Q39" s="11">
        <f t="shared" si="7"/>
        <v>290.4974243</v>
      </c>
      <c r="R39" s="11" t="str">
        <f t="shared" si="3"/>
        <v/>
      </c>
      <c r="S39" s="55">
        <f t="shared" si="5"/>
        <v>1844.14092</v>
      </c>
    </row>
    <row r="40">
      <c r="A40" s="1" t="s">
        <v>188</v>
      </c>
      <c r="B40" s="27">
        <v>6.84902405E8</v>
      </c>
      <c r="C40" s="61">
        <v>1128340.04</v>
      </c>
      <c r="D40" s="61">
        <v>1508596.0</v>
      </c>
      <c r="E40" s="27">
        <v>922275.0</v>
      </c>
      <c r="F40" s="27">
        <v>4380218.0</v>
      </c>
      <c r="G40" s="1">
        <v>454.0</v>
      </c>
      <c r="H40" s="1">
        <v>454.0</v>
      </c>
      <c r="I40" s="1">
        <v>100.0</v>
      </c>
      <c r="J40" s="1">
        <v>5.27</v>
      </c>
      <c r="K40" s="26">
        <v>1.0</v>
      </c>
      <c r="L40" s="1" t="s">
        <v>782</v>
      </c>
      <c r="M40" s="1" t="s">
        <v>190</v>
      </c>
      <c r="N40" s="1">
        <v>5.0</v>
      </c>
      <c r="O40" s="11"/>
      <c r="P40" s="11" t="str">
        <f t="shared" si="2"/>
        <v/>
      </c>
      <c r="Q40" s="11">
        <f t="shared" si="7"/>
        <v>626.1774508</v>
      </c>
      <c r="R40" s="11" t="str">
        <f t="shared" si="3"/>
        <v/>
      </c>
      <c r="S40" s="55">
        <f t="shared" si="5"/>
        <v>3975.11084</v>
      </c>
    </row>
    <row r="41">
      <c r="A41" s="1"/>
      <c r="B41" s="52"/>
      <c r="C41" s="53"/>
      <c r="D41" s="53"/>
      <c r="E41" s="52"/>
      <c r="F41" s="52"/>
      <c r="G41" s="1"/>
      <c r="H41" s="1"/>
      <c r="I41" s="1"/>
      <c r="J41" s="1"/>
      <c r="K41" s="26"/>
      <c r="L41" s="1"/>
      <c r="M41" s="1"/>
      <c r="N41" s="1"/>
      <c r="O41" s="11"/>
      <c r="P41" s="11">
        <f t="shared" si="2"/>
        <v>0</v>
      </c>
      <c r="Q41" s="11" t="str">
        <f t="shared" si="7"/>
        <v/>
      </c>
      <c r="R41" s="11" t="str">
        <f t="shared" si="3"/>
        <v/>
      </c>
      <c r="S41" s="55">
        <f t="shared" si="5"/>
        <v>0</v>
      </c>
    </row>
    <row r="42">
      <c r="A42" s="1"/>
      <c r="B42" s="52"/>
      <c r="C42" s="53"/>
      <c r="D42" s="53"/>
      <c r="E42" s="52"/>
      <c r="F42" s="52"/>
      <c r="G42" s="1"/>
      <c r="H42" s="1"/>
      <c r="I42" s="1"/>
      <c r="J42" s="1"/>
      <c r="K42" s="26"/>
      <c r="L42" s="1"/>
      <c r="M42" s="1"/>
      <c r="N42" s="1"/>
      <c r="O42" s="11"/>
      <c r="P42" s="11"/>
      <c r="Q42" s="11"/>
      <c r="R42" s="11"/>
      <c r="S42" s="55"/>
    </row>
    <row r="43">
      <c r="A43" s="1"/>
      <c r="B43" s="52"/>
      <c r="C43" s="53"/>
      <c r="D43" s="53"/>
      <c r="E43" s="52"/>
      <c r="F43" s="52"/>
      <c r="G43" s="1"/>
      <c r="H43" s="1"/>
      <c r="I43" s="1"/>
      <c r="J43" s="1"/>
      <c r="K43" s="26"/>
      <c r="L43" s="1"/>
      <c r="M43" s="1"/>
      <c r="N43" s="1"/>
      <c r="O43" s="11"/>
      <c r="P43" s="11"/>
      <c r="Q43" s="11"/>
      <c r="R43" s="11"/>
      <c r="S43" s="55"/>
    </row>
    <row r="44">
      <c r="A44" s="1"/>
      <c r="B44" s="52"/>
      <c r="C44" s="53"/>
      <c r="D44" s="53"/>
      <c r="E44" s="52"/>
      <c r="F44" s="52"/>
      <c r="G44" s="1"/>
      <c r="H44" s="1"/>
      <c r="I44" s="1"/>
      <c r="J44" s="1"/>
      <c r="K44" s="26"/>
      <c r="L44" s="1"/>
      <c r="M44" s="1"/>
      <c r="N44" s="1"/>
      <c r="O44" s="11"/>
      <c r="P44" s="11"/>
      <c r="Q44" s="11"/>
      <c r="R44" s="11"/>
      <c r="S44" s="55"/>
    </row>
    <row r="45">
      <c r="A45" s="1"/>
      <c r="B45" s="52"/>
      <c r="C45" s="53"/>
      <c r="D45" s="53"/>
      <c r="E45" s="52"/>
      <c r="F45" s="52"/>
      <c r="G45" s="1"/>
      <c r="H45" s="1"/>
      <c r="I45" s="1"/>
      <c r="J45" s="1"/>
      <c r="K45" s="26"/>
      <c r="L45" s="1"/>
      <c r="M45" s="1"/>
      <c r="N45" s="1"/>
      <c r="O45" s="11"/>
      <c r="P45" s="11"/>
      <c r="Q45" s="11"/>
      <c r="R45" s="11"/>
      <c r="S45" s="55"/>
    </row>
    <row r="46">
      <c r="A46" s="1"/>
      <c r="B46" s="52"/>
      <c r="C46" s="53"/>
      <c r="D46" s="53"/>
      <c r="E46" s="52"/>
      <c r="F46" s="52"/>
      <c r="G46" s="1"/>
      <c r="H46" s="1"/>
      <c r="I46" s="1"/>
      <c r="J46" s="1"/>
      <c r="K46" s="26"/>
      <c r="L46" s="1"/>
      <c r="M46" s="1"/>
      <c r="N46" s="1"/>
      <c r="O46" s="11"/>
      <c r="P46" s="11"/>
      <c r="Q46" s="11"/>
      <c r="R46" s="11"/>
      <c r="S46" s="55"/>
    </row>
    <row r="47">
      <c r="A47" s="1"/>
      <c r="B47" s="52"/>
      <c r="C47" s="53"/>
      <c r="D47" s="53"/>
      <c r="E47" s="52"/>
      <c r="F47" s="52"/>
      <c r="G47" s="1"/>
      <c r="H47" s="1"/>
      <c r="I47" s="1"/>
      <c r="J47" s="1"/>
      <c r="K47" s="26"/>
      <c r="L47" s="1"/>
      <c r="M47" s="1"/>
      <c r="N47" s="1"/>
      <c r="O47" s="11"/>
      <c r="P47" s="11"/>
      <c r="Q47" s="11"/>
      <c r="R47" s="11"/>
      <c r="S47" s="55"/>
    </row>
    <row r="48">
      <c r="A48" s="1"/>
      <c r="B48" s="52"/>
      <c r="C48" s="53"/>
      <c r="D48" s="53"/>
      <c r="E48" s="52"/>
      <c r="F48" s="52"/>
      <c r="G48" s="1"/>
      <c r="H48" s="1"/>
      <c r="I48" s="1"/>
      <c r="J48" s="1"/>
      <c r="K48" s="26"/>
      <c r="L48" s="1"/>
      <c r="M48" s="1"/>
      <c r="N48" s="1"/>
      <c r="O48" s="11"/>
      <c r="P48" s="11"/>
      <c r="Q48" s="11"/>
      <c r="R48" s="11"/>
      <c r="S48" s="55"/>
    </row>
    <row r="49">
      <c r="A49" s="1"/>
      <c r="B49" s="52"/>
      <c r="C49" s="53"/>
      <c r="D49" s="53"/>
      <c r="E49" s="52"/>
      <c r="F49" s="52"/>
      <c r="G49" s="1"/>
      <c r="H49" s="1"/>
      <c r="I49" s="1"/>
      <c r="J49" s="1"/>
      <c r="K49" s="26"/>
      <c r="L49" s="1"/>
      <c r="M49" s="1"/>
      <c r="N49" s="1"/>
      <c r="O49" s="11"/>
      <c r="P49" s="11"/>
      <c r="Q49" s="11"/>
      <c r="R49" s="11"/>
      <c r="S49" s="55"/>
    </row>
    <row r="50">
      <c r="A50" s="1"/>
      <c r="B50" s="52"/>
      <c r="C50" s="53"/>
      <c r="D50" s="53"/>
      <c r="E50" s="52"/>
      <c r="F50" s="52"/>
      <c r="G50" s="1"/>
      <c r="H50" s="1"/>
      <c r="I50" s="1"/>
      <c r="J50" s="1"/>
      <c r="K50" s="26"/>
      <c r="L50" s="1"/>
      <c r="M50" s="1"/>
      <c r="N50" s="1"/>
      <c r="O50" s="11"/>
      <c r="P50" s="11"/>
      <c r="Q50" s="11"/>
      <c r="R50" s="11"/>
      <c r="S50" s="55"/>
    </row>
    <row r="51">
      <c r="A51" s="1"/>
      <c r="B51" s="52"/>
      <c r="C51" s="53"/>
      <c r="D51" s="53"/>
      <c r="E51" s="52"/>
      <c r="F51" s="52"/>
      <c r="G51" s="1"/>
      <c r="H51" s="1"/>
      <c r="I51" s="1"/>
      <c r="J51" s="1"/>
      <c r="K51" s="26"/>
      <c r="L51" s="1"/>
      <c r="M51" s="1"/>
      <c r="N51" s="1"/>
      <c r="O51" s="11"/>
      <c r="P51" s="11"/>
      <c r="Q51" s="11"/>
      <c r="R51" s="11"/>
      <c r="S51" s="55"/>
    </row>
    <row r="52">
      <c r="A52" s="1"/>
      <c r="B52" s="52"/>
      <c r="C52" s="53"/>
      <c r="D52" s="53"/>
      <c r="E52" s="52"/>
      <c r="F52" s="52"/>
      <c r="G52" s="1"/>
      <c r="H52" s="1"/>
      <c r="I52" s="1"/>
      <c r="J52" s="1"/>
      <c r="K52" s="26"/>
      <c r="L52" s="1"/>
      <c r="M52" s="1"/>
      <c r="N52" s="1"/>
      <c r="O52" s="11"/>
      <c r="P52" s="11"/>
      <c r="Q52" s="11"/>
      <c r="R52" s="11"/>
      <c r="S52" s="55"/>
    </row>
    <row r="53">
      <c r="A53" s="1"/>
      <c r="B53" s="52"/>
      <c r="C53" s="53"/>
      <c r="D53" s="53"/>
      <c r="E53" s="52"/>
      <c r="F53" s="52"/>
      <c r="G53" s="1"/>
      <c r="H53" s="1"/>
      <c r="I53" s="1"/>
      <c r="J53" s="1"/>
      <c r="K53" s="26"/>
      <c r="L53" s="1"/>
      <c r="M53" s="1"/>
      <c r="N53" s="1"/>
      <c r="O53" s="11"/>
      <c r="P53" s="11"/>
      <c r="Q53" s="11"/>
      <c r="R53" s="11"/>
      <c r="S53" s="55"/>
    </row>
    <row r="54">
      <c r="A54" s="1"/>
      <c r="B54" s="52"/>
      <c r="C54" s="53"/>
      <c r="D54" s="53"/>
      <c r="E54" s="52"/>
      <c r="F54" s="52"/>
      <c r="G54" s="1"/>
      <c r="H54" s="1"/>
      <c r="I54" s="1"/>
      <c r="J54" s="1"/>
      <c r="K54" s="26"/>
      <c r="L54" s="1"/>
      <c r="M54" s="1"/>
      <c r="N54" s="1"/>
      <c r="O54" s="11"/>
      <c r="P54" s="11"/>
      <c r="Q54" s="11"/>
      <c r="R54" s="11"/>
      <c r="S54" s="55"/>
    </row>
    <row r="55">
      <c r="A55" s="1"/>
      <c r="B55" s="52"/>
      <c r="C55" s="53"/>
      <c r="D55" s="53"/>
      <c r="E55" s="52"/>
      <c r="F55" s="52"/>
      <c r="G55" s="1"/>
      <c r="H55" s="1"/>
      <c r="I55" s="1"/>
      <c r="J55" s="1"/>
      <c r="K55" s="26"/>
      <c r="L55" s="1"/>
      <c r="M55" s="1"/>
      <c r="N55" s="1"/>
      <c r="O55" s="11"/>
      <c r="P55" s="11"/>
      <c r="Q55" s="11"/>
      <c r="R55" s="11"/>
      <c r="S55" s="55"/>
    </row>
    <row r="56">
      <c r="A56" s="1"/>
      <c r="B56" s="52"/>
      <c r="C56" s="53"/>
      <c r="D56" s="53"/>
      <c r="E56" s="52"/>
      <c r="F56" s="52"/>
      <c r="G56" s="1"/>
      <c r="H56" s="1"/>
      <c r="I56" s="1"/>
      <c r="J56" s="1"/>
      <c r="K56" s="26"/>
      <c r="L56" s="1"/>
      <c r="M56" s="1"/>
      <c r="N56" s="1"/>
      <c r="O56" s="11"/>
      <c r="P56" s="11"/>
      <c r="Q56" s="11"/>
      <c r="R56" s="11"/>
      <c r="S56" s="55"/>
    </row>
    <row r="57">
      <c r="A57" s="1"/>
      <c r="B57" s="52"/>
      <c r="C57" s="53"/>
      <c r="D57" s="53"/>
      <c r="E57" s="52"/>
      <c r="F57" s="52"/>
      <c r="G57" s="1"/>
      <c r="H57" s="1"/>
      <c r="I57" s="1"/>
      <c r="J57" s="1"/>
      <c r="K57" s="26"/>
      <c r="L57" s="1"/>
      <c r="M57" s="1"/>
      <c r="N57" s="1"/>
      <c r="O57" s="11"/>
      <c r="P57" s="11"/>
      <c r="Q57" s="11"/>
      <c r="R57" s="11"/>
      <c r="S57" s="55"/>
    </row>
    <row r="58">
      <c r="A58" s="1"/>
      <c r="B58" s="52"/>
      <c r="C58" s="53"/>
      <c r="D58" s="53"/>
      <c r="E58" s="52"/>
      <c r="F58" s="52"/>
      <c r="G58" s="1"/>
      <c r="H58" s="1"/>
      <c r="I58" s="1"/>
      <c r="J58" s="1"/>
      <c r="K58" s="26"/>
      <c r="L58" s="1"/>
      <c r="M58" s="1"/>
      <c r="N58" s="1"/>
      <c r="O58" s="11"/>
      <c r="P58" s="11"/>
      <c r="Q58" s="11"/>
      <c r="R58" s="11"/>
      <c r="S58" s="55"/>
    </row>
    <row r="59">
      <c r="A59" s="1"/>
      <c r="B59" s="52"/>
      <c r="C59" s="53"/>
      <c r="D59" s="53"/>
      <c r="E59" s="52"/>
      <c r="F59" s="52"/>
      <c r="G59" s="1"/>
      <c r="H59" s="1"/>
      <c r="I59" s="1"/>
      <c r="J59" s="1"/>
      <c r="K59" s="26"/>
      <c r="L59" s="1"/>
      <c r="M59" s="1"/>
      <c r="N59" s="1"/>
      <c r="O59" s="11"/>
      <c r="P59" s="11"/>
      <c r="Q59" s="11"/>
      <c r="R59" s="11"/>
      <c r="S59" s="55"/>
    </row>
    <row r="60">
      <c r="A60" s="1"/>
      <c r="B60" s="52"/>
      <c r="C60" s="53"/>
      <c r="D60" s="53"/>
      <c r="E60" s="52"/>
      <c r="F60" s="52"/>
      <c r="G60" s="1"/>
      <c r="H60" s="1"/>
      <c r="I60" s="1"/>
      <c r="J60" s="1"/>
      <c r="K60" s="26"/>
      <c r="L60" s="1"/>
      <c r="M60" s="1"/>
      <c r="N60" s="1"/>
      <c r="O60" s="11"/>
      <c r="P60" s="11"/>
      <c r="Q60" s="11"/>
      <c r="R60" s="11"/>
      <c r="S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11"/>
      <c r="P61" s="11"/>
      <c r="Q61" s="11"/>
      <c r="R61" s="11"/>
      <c r="S61" s="55"/>
    </row>
    <row r="62">
      <c r="A62" s="1"/>
      <c r="B62" s="52"/>
      <c r="C62" s="53"/>
      <c r="D62" s="53"/>
      <c r="E62" s="52"/>
      <c r="F62" s="52"/>
      <c r="G62" s="1"/>
      <c r="H62" s="1"/>
      <c r="I62" s="1"/>
      <c r="J62" s="1"/>
      <c r="K62" s="26"/>
      <c r="L62" s="1"/>
      <c r="M62" s="1"/>
      <c r="N62" s="1"/>
      <c r="O62" s="11"/>
      <c r="P62" s="11"/>
      <c r="Q62" s="11"/>
      <c r="R62" s="11"/>
      <c r="S62" s="55"/>
    </row>
    <row r="63">
      <c r="A63" s="1"/>
      <c r="B63" s="52"/>
      <c r="C63" s="53"/>
      <c r="D63" s="53"/>
      <c r="E63" s="52"/>
      <c r="F63" s="52"/>
      <c r="G63" s="1"/>
      <c r="H63" s="1"/>
      <c r="I63" s="1"/>
      <c r="J63" s="1"/>
      <c r="K63" s="26"/>
      <c r="L63" s="1"/>
      <c r="M63" s="1"/>
      <c r="N63" s="1"/>
      <c r="O63" s="11"/>
      <c r="P63" s="11"/>
      <c r="Q63" s="11"/>
      <c r="R63" s="11"/>
      <c r="S63" s="55"/>
    </row>
    <row r="64">
      <c r="A64" s="1"/>
      <c r="B64" s="52"/>
      <c r="C64" s="53"/>
      <c r="D64" s="53"/>
      <c r="E64" s="52"/>
      <c r="F64" s="52"/>
      <c r="G64" s="1"/>
      <c r="H64" s="1"/>
      <c r="I64" s="1"/>
      <c r="J64" s="1"/>
      <c r="K64" s="26"/>
      <c r="L64" s="1"/>
      <c r="M64" s="1"/>
      <c r="N64" s="1"/>
      <c r="O64" s="11"/>
      <c r="P64" s="11"/>
      <c r="Q64" s="11"/>
      <c r="R64" s="11"/>
      <c r="S64" s="55"/>
    </row>
    <row r="65">
      <c r="A65" s="1"/>
      <c r="B65" s="52"/>
      <c r="C65" s="53"/>
      <c r="D65" s="53"/>
      <c r="E65" s="52"/>
      <c r="F65" s="52"/>
      <c r="G65" s="1"/>
      <c r="H65" s="1"/>
      <c r="I65" s="1"/>
      <c r="J65" s="1"/>
      <c r="K65" s="26"/>
      <c r="L65" s="1"/>
      <c r="M65" s="1"/>
      <c r="N65" s="1"/>
      <c r="O65" s="11"/>
      <c r="P65" s="11"/>
      <c r="Q65" s="11"/>
      <c r="R65" s="11"/>
      <c r="S65" s="55"/>
    </row>
    <row r="66" ht="15.0" customHeight="1">
      <c r="A66" s="1"/>
      <c r="B66" s="52"/>
      <c r="C66" s="53"/>
      <c r="D66" s="53"/>
      <c r="E66" s="52"/>
      <c r="F66" s="52"/>
      <c r="G66" s="1"/>
      <c r="H66" s="1"/>
      <c r="I66" s="1"/>
      <c r="J66" s="1"/>
      <c r="K66" s="26"/>
      <c r="L66" s="1"/>
      <c r="M66" s="1"/>
      <c r="N66" s="1"/>
      <c r="O66" s="11"/>
      <c r="P66" s="11"/>
      <c r="Q66" s="11"/>
      <c r="R66" s="11"/>
      <c r="S66" s="55"/>
    </row>
    <row r="67">
      <c r="A67" s="1"/>
      <c r="B67" s="52"/>
      <c r="C67" s="53"/>
      <c r="D67" s="53"/>
      <c r="E67" s="52"/>
      <c r="F67" s="52"/>
      <c r="G67" s="1"/>
      <c r="H67" s="1"/>
      <c r="I67" s="1"/>
      <c r="J67" s="1"/>
      <c r="K67" s="26"/>
      <c r="L67" s="1"/>
      <c r="M67" s="1"/>
      <c r="N67" s="1"/>
      <c r="O67" s="11"/>
      <c r="P67" s="11"/>
      <c r="Q67" s="11"/>
      <c r="R67" s="11"/>
      <c r="S67" s="55"/>
    </row>
    <row r="68">
      <c r="A68" s="1"/>
      <c r="B68" s="52"/>
      <c r="C68" s="1"/>
      <c r="D68" s="53"/>
      <c r="E68" s="52"/>
      <c r="F68" s="52"/>
      <c r="G68" s="1"/>
      <c r="H68" s="1"/>
      <c r="I68" s="1"/>
      <c r="J68" s="1"/>
      <c r="K68" s="26"/>
      <c r="L68" s="1"/>
      <c r="M68" s="1"/>
      <c r="N68" s="1"/>
      <c r="O68" s="11"/>
      <c r="P68" s="11"/>
      <c r="Q68" s="11"/>
      <c r="R68" s="11"/>
      <c r="S68" s="55"/>
    </row>
    <row r="69">
      <c r="A69" s="1"/>
      <c r="B69" s="52"/>
      <c r="C69" s="1"/>
      <c r="D69" s="53"/>
      <c r="E69" s="52"/>
      <c r="F69" s="52"/>
      <c r="G69" s="1"/>
      <c r="H69" s="1"/>
      <c r="I69" s="1"/>
      <c r="J69" s="1"/>
      <c r="K69" s="26"/>
      <c r="L69" s="1"/>
      <c r="M69" s="1"/>
      <c r="N69" s="1"/>
      <c r="O69" s="11"/>
      <c r="P69" s="11"/>
      <c r="Q69" s="11"/>
      <c r="R69" s="11"/>
      <c r="S69" s="55"/>
    </row>
    <row r="70">
      <c r="A70" s="1"/>
      <c r="B70" s="52"/>
      <c r="C70" s="1"/>
      <c r="D70" s="53"/>
      <c r="E70" s="52"/>
      <c r="F70" s="52"/>
      <c r="G70" s="1"/>
      <c r="H70" s="1"/>
      <c r="I70" s="1"/>
      <c r="J70" s="1"/>
      <c r="K70" s="26"/>
      <c r="L70" s="1"/>
      <c r="M70" s="1"/>
      <c r="N70" s="1"/>
      <c r="O70" s="11"/>
      <c r="P70" s="11"/>
      <c r="Q70" s="11"/>
      <c r="R70" s="11"/>
      <c r="S70" s="55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1"/>
      <c r="P71" s="11"/>
      <c r="Q71" s="11"/>
      <c r="R71" s="11"/>
      <c r="S71" s="5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116</v>
      </c>
      <c r="B1" s="1" t="s">
        <v>117</v>
      </c>
      <c r="C1" s="1" t="s">
        <v>23</v>
      </c>
      <c r="D1" s="1" t="s">
        <v>12</v>
      </c>
      <c r="E1" s="1" t="s">
        <v>24</v>
      </c>
      <c r="F1" s="1" t="s">
        <v>25</v>
      </c>
      <c r="G1" s="1" t="s">
        <v>26</v>
      </c>
      <c r="H1" s="21" t="s">
        <v>1</v>
      </c>
      <c r="I1" s="21" t="s">
        <v>550</v>
      </c>
      <c r="J1" s="1" t="s">
        <v>534</v>
      </c>
      <c r="K1" s="1" t="s">
        <v>119</v>
      </c>
      <c r="L1">
        <f>sum(S:S)+0.008*$I$3+(0.008+0.0075)*$I$4</f>
        <v>43912.79185</v>
      </c>
    </row>
    <row r="2">
      <c r="A2" s="1" t="s">
        <v>111</v>
      </c>
      <c r="B2" s="42">
        <f>Berserker!B2</f>
        <v>20982.72667</v>
      </c>
      <c r="C2" s="43">
        <f>Berserker!C2</f>
        <v>15.61704333</v>
      </c>
      <c r="D2" s="43">
        <f>Berserker!D2</f>
        <v>18.69858333</v>
      </c>
      <c r="E2" s="43">
        <f>Berserker!E2</f>
        <v>3.510013333</v>
      </c>
      <c r="F2" s="42">
        <f>Berserker!F2</f>
        <v>1077.433333</v>
      </c>
      <c r="G2" s="43">
        <f>Berserker!G2</f>
        <v>0.7122033333</v>
      </c>
      <c r="H2" s="21" t="s">
        <v>23</v>
      </c>
      <c r="I2" s="47">
        <f>SUM(P10:P999)</f>
        <v>8564.18582</v>
      </c>
      <c r="J2" s="26">
        <v>1.5</v>
      </c>
      <c r="K2" s="1" t="s">
        <v>121</v>
      </c>
      <c r="L2">
        <f>sum(S:S)+0.008*$I$3+0.008*$I$4</f>
        <v>43781.65463</v>
      </c>
    </row>
    <row r="3">
      <c r="A3" s="1" t="s">
        <v>112</v>
      </c>
      <c r="B3" s="42">
        <f>Berserker!B3</f>
        <v>18897</v>
      </c>
      <c r="C3" s="43">
        <f>Berserker!C3</f>
        <v>12.49</v>
      </c>
      <c r="D3" s="43">
        <f>Berserker!D3</f>
        <v>16.314</v>
      </c>
      <c r="E3" s="43">
        <f>Berserker!E3</f>
        <v>2.324</v>
      </c>
      <c r="F3" s="42">
        <f>Berserker!F3</f>
        <v>1061.6</v>
      </c>
      <c r="G3" s="43">
        <f>Berserker!G3</f>
        <v>0.677</v>
      </c>
      <c r="H3" s="21" t="s">
        <v>12</v>
      </c>
      <c r="I3" s="47">
        <f>sum(Q10:Q999)</f>
        <v>2499.730752</v>
      </c>
      <c r="J3" s="45">
        <f>I2*110*1.11</f>
        <v>1045687.089</v>
      </c>
      <c r="K3">
        <f>I3*35</f>
        <v>87490.57631</v>
      </c>
      <c r="N3" s="46" t="s">
        <v>124</v>
      </c>
    </row>
    <row r="4">
      <c r="A4" s="1" t="s">
        <v>113</v>
      </c>
      <c r="B4" s="42">
        <f>Berserker!B4</f>
        <v>19562</v>
      </c>
      <c r="C4" s="43">
        <f>Berserker!C4</f>
        <v>15.198</v>
      </c>
      <c r="D4" s="43">
        <f>Berserker!D4</f>
        <v>18.4445</v>
      </c>
      <c r="E4" s="43">
        <f>Berserker!E4</f>
        <v>3.476</v>
      </c>
      <c r="F4" s="42">
        <f>Berserker!F4</f>
        <v>1076.6</v>
      </c>
      <c r="G4" s="43">
        <f>Berserker!G4</f>
        <v>0.708</v>
      </c>
      <c r="H4" s="21" t="s">
        <v>13</v>
      </c>
      <c r="I4" s="47">
        <f>sum(R10:R999)</f>
        <v>17484.96186</v>
      </c>
      <c r="J4">
        <f>I4*115</f>
        <v>2010770.613</v>
      </c>
      <c r="K4">
        <f>I2*12</f>
        <v>102770.2298</v>
      </c>
      <c r="M4">
        <f>I3*1.05*(60-11)-11*I2*1.1</f>
        <v>24984.49875</v>
      </c>
      <c r="N4" s="46" t="s">
        <v>125</v>
      </c>
      <c r="V4" s="1"/>
      <c r="W4" s="1"/>
      <c r="X4" s="1"/>
    </row>
    <row r="5">
      <c r="A5" s="1" t="s">
        <v>114</v>
      </c>
      <c r="B5" s="42">
        <f>Berserker!B5</f>
        <v>26840</v>
      </c>
      <c r="C5" s="43">
        <f>Berserker!C5</f>
        <v>19.701</v>
      </c>
      <c r="D5" s="43">
        <f>Berserker!D5</f>
        <v>22.431</v>
      </c>
      <c r="E5" s="43">
        <f>Berserker!E5</f>
        <v>4.618</v>
      </c>
      <c r="F5" s="42">
        <f>Berserker!F5</f>
        <v>1086.6</v>
      </c>
      <c r="G5" s="43">
        <f>Berserker!G5</f>
        <v>0.81</v>
      </c>
      <c r="H5" s="21" t="str">
        <f>B1</f>
        <v>Agility</v>
      </c>
      <c r="I5" s="47">
        <f>SUM(S10:S999)/500+0.008*I$2+0.008*I$3</f>
        <v>175.7548868</v>
      </c>
      <c r="J5">
        <f>J4*18/120</f>
        <v>301615.592</v>
      </c>
      <c r="K5">
        <f>I3*42</f>
        <v>104988.6916</v>
      </c>
      <c r="N5" s="46" t="s">
        <v>126</v>
      </c>
      <c r="V5" s="1"/>
      <c r="X5" s="48"/>
    </row>
    <row r="6">
      <c r="A6" s="9"/>
      <c r="H6" s="1" t="s">
        <v>128</v>
      </c>
      <c r="I6" s="47">
        <f>SUM(S10:S999)/500+0.008*I$2+(0.008+0.0075)*I$3</f>
        <v>194.5028674</v>
      </c>
      <c r="N6" s="46" t="s">
        <v>127</v>
      </c>
      <c r="O6" s="1"/>
      <c r="P6" s="1"/>
      <c r="V6" s="1"/>
    </row>
    <row r="7">
      <c r="A7" s="49"/>
      <c r="B7" s="49"/>
      <c r="C7" s="49"/>
      <c r="D7" s="49"/>
      <c r="E7" s="49"/>
      <c r="F7" s="49"/>
      <c r="G7" s="49"/>
      <c r="H7" s="49"/>
      <c r="I7" s="49">
        <f>28.6*1.1*I2+17*I3</f>
        <v>311924.7087</v>
      </c>
      <c r="J7" s="49">
        <f>I2*110*1.1</f>
        <v>1036266.484</v>
      </c>
      <c r="K7" s="49"/>
      <c r="L7" s="49">
        <f>75*10*1.28</f>
        <v>960</v>
      </c>
      <c r="M7" s="49"/>
      <c r="N7" s="49"/>
      <c r="O7" s="50"/>
      <c r="P7" s="50"/>
      <c r="Q7" s="51"/>
      <c r="R7" s="1"/>
      <c r="S7" s="1"/>
      <c r="V7" s="1"/>
    </row>
    <row r="8">
      <c r="A8" s="9"/>
      <c r="V8" s="1"/>
    </row>
    <row r="9">
      <c r="A9" s="9" t="s">
        <v>783</v>
      </c>
      <c r="V9" s="1"/>
    </row>
    <row r="10">
      <c r="A10" s="49" t="s">
        <v>131</v>
      </c>
      <c r="B10" s="49" t="s">
        <v>89</v>
      </c>
      <c r="C10" s="49" t="s">
        <v>132</v>
      </c>
      <c r="D10" s="49" t="s">
        <v>111</v>
      </c>
      <c r="E10" s="49" t="s">
        <v>133</v>
      </c>
      <c r="F10" s="49" t="s">
        <v>134</v>
      </c>
      <c r="G10" s="49" t="s">
        <v>135</v>
      </c>
      <c r="H10" s="49" t="s">
        <v>136</v>
      </c>
      <c r="I10" s="49" t="s">
        <v>137</v>
      </c>
      <c r="J10" s="49" t="s">
        <v>138</v>
      </c>
      <c r="K10" s="49" t="s">
        <v>28</v>
      </c>
      <c r="L10" s="49" t="s">
        <v>139</v>
      </c>
      <c r="M10" s="49" t="s">
        <v>140</v>
      </c>
      <c r="N10" s="49" t="s">
        <v>141</v>
      </c>
      <c r="O10" s="50"/>
      <c r="P10" s="50" t="s">
        <v>142</v>
      </c>
      <c r="Q10" s="51" t="s">
        <v>143</v>
      </c>
      <c r="R10" s="1" t="s">
        <v>144</v>
      </c>
      <c r="S10" s="1" t="s">
        <v>37</v>
      </c>
      <c r="V10" s="1"/>
    </row>
    <row r="11">
      <c r="A11" s="1" t="s">
        <v>146</v>
      </c>
      <c r="B11" s="52">
        <v>1.0356283479E10</v>
      </c>
      <c r="C11" s="53">
        <v>1.706142254E7</v>
      </c>
      <c r="D11" s="53">
        <v>1491615.0</v>
      </c>
      <c r="E11" s="52">
        <v>13435.0</v>
      </c>
      <c r="F11" s="52">
        <v>2.2821247E7</v>
      </c>
      <c r="G11" s="52">
        <v>6943.0</v>
      </c>
      <c r="H11" s="52">
        <v>7102.0</v>
      </c>
      <c r="I11" s="1">
        <v>97.76</v>
      </c>
      <c r="J11" s="1">
        <v>1.0</v>
      </c>
      <c r="K11" s="26">
        <v>0.98</v>
      </c>
      <c r="L11" s="1" t="s">
        <v>784</v>
      </c>
      <c r="M11" s="1" t="s">
        <v>146</v>
      </c>
      <c r="N11" s="1">
        <v>100.0</v>
      </c>
      <c r="O11" s="11"/>
      <c r="P11" s="11" t="str">
        <f t="shared" ref="P11:P56" si="1">if($N11&lt;4,$C11*(($J$2+C$2+1%)/($J$2+C$2)-1),"")</f>
        <v/>
      </c>
      <c r="Q11" s="11" t="str">
        <f>if($N11=2,$C11*((1.5+D$2+1%)/(1.5+D$2)-1),"")</f>
        <v/>
      </c>
      <c r="R11" s="11" t="str">
        <f t="shared" ref="R11:R54" si="2">if($N11=1,$C11*((1+E$2+1%)/(1+E$2)-1),"")</f>
        <v/>
      </c>
      <c r="S11" s="55" t="str">
        <f>if($N11&lt;3,C11*((floor((log($B$2+500,2)*0.28-1.2)*100,0.001)/100)/(floor((log($B$2,2)*0.28-1.2)*100,0.001)/100)-1),"")</f>
        <v/>
      </c>
      <c r="V11" s="1"/>
      <c r="X11" s="56"/>
    </row>
    <row r="12">
      <c r="A12" s="1" t="s">
        <v>243</v>
      </c>
      <c r="B12" s="52">
        <v>2.4803845E9</v>
      </c>
      <c r="C12" s="53">
        <v>4086300.66</v>
      </c>
      <c r="D12" s="53">
        <v>3579199.0</v>
      </c>
      <c r="E12" s="52">
        <v>13435.0</v>
      </c>
      <c r="F12" s="52">
        <v>1.5744358E7</v>
      </c>
      <c r="G12" s="52">
        <v>693.0</v>
      </c>
      <c r="H12" s="52">
        <v>750.0</v>
      </c>
      <c r="I12" s="1">
        <v>92.4</v>
      </c>
      <c r="J12" s="1">
        <v>3.25</v>
      </c>
      <c r="K12" s="26">
        <v>1.0</v>
      </c>
      <c r="L12" s="1" t="s">
        <v>785</v>
      </c>
      <c r="M12" s="1" t="s">
        <v>210</v>
      </c>
      <c r="N12" s="1">
        <v>1.0</v>
      </c>
      <c r="O12" s="11"/>
      <c r="P12" s="11">
        <f t="shared" si="1"/>
        <v>2387.27015</v>
      </c>
      <c r="Q12" s="11" t="str">
        <f t="shared" ref="Q12:Q56" si="3">if(OR($N12=2,$N12=5),$C12*((1.5+D$2+1%)/(1.5+D$2)-1),"")</f>
        <v/>
      </c>
      <c r="R12" s="11">
        <f t="shared" si="2"/>
        <v>9060.506828</v>
      </c>
      <c r="S12" s="55">
        <f t="shared" ref="S12:S56" si="4">if(OR($N12&lt;3,$N12=5),C12*((floor((log($B$2+500,2)*0.28-1.2)*100,0.001)/100)/(floor((log($B$2,2)*0.28-1.2)*100,0.001)/100)-1),"")</f>
        <v>13780.73898</v>
      </c>
      <c r="V12" s="1"/>
    </row>
    <row r="13">
      <c r="A13" s="1" t="s">
        <v>250</v>
      </c>
      <c r="B13" s="52">
        <v>2.306260351E9</v>
      </c>
      <c r="C13" s="53">
        <v>3799440.45</v>
      </c>
      <c r="D13" s="53">
        <v>3637635.0</v>
      </c>
      <c r="E13" s="52">
        <v>1110865.0</v>
      </c>
      <c r="F13" s="52">
        <v>1.3700498E7</v>
      </c>
      <c r="G13" s="52">
        <v>634.0</v>
      </c>
      <c r="H13" s="52">
        <v>700.0</v>
      </c>
      <c r="I13" s="1">
        <v>90.57</v>
      </c>
      <c r="J13" s="1">
        <v>3.95</v>
      </c>
      <c r="K13" s="26">
        <v>1.0</v>
      </c>
      <c r="L13" s="1" t="s">
        <v>786</v>
      </c>
      <c r="M13" s="1" t="s">
        <v>156</v>
      </c>
      <c r="N13" s="1">
        <v>1.0</v>
      </c>
      <c r="O13" s="11"/>
      <c r="P13" s="11">
        <f t="shared" si="1"/>
        <v>2219.682673</v>
      </c>
      <c r="Q13" s="11" t="str">
        <f t="shared" si="3"/>
        <v/>
      </c>
      <c r="R13" s="11">
        <f t="shared" si="2"/>
        <v>8424.455027</v>
      </c>
      <c r="S13" s="55">
        <f t="shared" si="4"/>
        <v>12813.32469</v>
      </c>
      <c r="V13" s="1"/>
    </row>
    <row r="14">
      <c r="A14" s="1" t="s">
        <v>257</v>
      </c>
      <c r="B14" s="52">
        <v>1.170591535E9</v>
      </c>
      <c r="C14" s="53">
        <v>1928486.88</v>
      </c>
      <c r="D14" s="53">
        <v>1.829049E7</v>
      </c>
      <c r="E14" s="52">
        <v>1.3922554E7</v>
      </c>
      <c r="F14" s="52">
        <v>2.2821247E7</v>
      </c>
      <c r="G14" s="52">
        <v>64.0</v>
      </c>
      <c r="H14" s="52">
        <v>64.0</v>
      </c>
      <c r="I14" s="1">
        <v>100.0</v>
      </c>
      <c r="J14" s="1">
        <v>17.72</v>
      </c>
      <c r="K14" s="26">
        <v>0.0</v>
      </c>
      <c r="L14" s="1" t="s">
        <v>149</v>
      </c>
      <c r="M14" s="1" t="s">
        <v>187</v>
      </c>
      <c r="N14" s="1">
        <v>4.0</v>
      </c>
      <c r="O14" s="11"/>
      <c r="P14" s="11" t="str">
        <f t="shared" si="1"/>
        <v/>
      </c>
      <c r="Q14" s="11" t="str">
        <f t="shared" si="3"/>
        <v/>
      </c>
      <c r="R14" s="11" t="str">
        <f t="shared" si="2"/>
        <v/>
      </c>
      <c r="S14" s="55" t="str">
        <f t="shared" si="4"/>
        <v/>
      </c>
      <c r="V14" s="1"/>
    </row>
    <row r="15">
      <c r="A15" s="1" t="s">
        <v>291</v>
      </c>
      <c r="B15" s="52">
        <v>4.38702046E8</v>
      </c>
      <c r="C15" s="53">
        <v>722738.13</v>
      </c>
      <c r="D15" s="53">
        <v>2675013.0</v>
      </c>
      <c r="E15" s="52">
        <v>1273182.0</v>
      </c>
      <c r="F15" s="52">
        <v>1.3967069E7</v>
      </c>
      <c r="G15" s="52">
        <v>164.0</v>
      </c>
      <c r="H15" s="52">
        <v>164.0</v>
      </c>
      <c r="I15" s="1">
        <v>100.0</v>
      </c>
      <c r="J15" s="1">
        <v>5.25</v>
      </c>
      <c r="K15" s="26">
        <v>1.0</v>
      </c>
      <c r="L15" s="1" t="s">
        <v>787</v>
      </c>
      <c r="M15" s="1" t="s">
        <v>190</v>
      </c>
      <c r="N15" s="1">
        <v>2.0</v>
      </c>
      <c r="O15" s="11"/>
      <c r="P15" s="11">
        <f t="shared" si="1"/>
        <v>422.2330434</v>
      </c>
      <c r="Q15" s="11">
        <f t="shared" si="3"/>
        <v>357.8162478</v>
      </c>
      <c r="R15" s="11" t="str">
        <f t="shared" si="2"/>
        <v/>
      </c>
      <c r="S15" s="55">
        <f t="shared" si="4"/>
        <v>2437.379515</v>
      </c>
    </row>
    <row r="16">
      <c r="A16" s="1" t="s">
        <v>228</v>
      </c>
      <c r="B16" s="52">
        <v>2.87464076E8</v>
      </c>
      <c r="C16" s="53">
        <v>473581.67</v>
      </c>
      <c r="D16" s="53">
        <v>4791068.0</v>
      </c>
      <c r="E16" s="52">
        <v>2895533.0</v>
      </c>
      <c r="F16" s="52">
        <v>7163908.0</v>
      </c>
      <c r="G16" s="1">
        <v>60.0</v>
      </c>
      <c r="H16" s="1">
        <v>60.0</v>
      </c>
      <c r="I16" s="1">
        <v>100.0</v>
      </c>
      <c r="J16" s="1">
        <v>12.0</v>
      </c>
      <c r="K16" s="26">
        <v>0.0</v>
      </c>
      <c r="L16" s="1" t="s">
        <v>149</v>
      </c>
      <c r="M16" s="1" t="s">
        <v>193</v>
      </c>
      <c r="N16" s="1">
        <v>4.0</v>
      </c>
      <c r="O16" s="11"/>
      <c r="P16" s="11" t="str">
        <f t="shared" si="1"/>
        <v/>
      </c>
      <c r="Q16" s="11" t="str">
        <f t="shared" si="3"/>
        <v/>
      </c>
      <c r="R16" s="11" t="str">
        <f t="shared" si="2"/>
        <v/>
      </c>
      <c r="S16" s="55" t="str">
        <f t="shared" si="4"/>
        <v/>
      </c>
    </row>
    <row r="17">
      <c r="A17" s="1" t="s">
        <v>174</v>
      </c>
      <c r="B17" s="52">
        <v>2.74384168E8</v>
      </c>
      <c r="C17" s="53">
        <v>452033.23</v>
      </c>
      <c r="D17" s="53">
        <v>1241557.0</v>
      </c>
      <c r="E17" s="52">
        <v>614083.0</v>
      </c>
      <c r="F17" s="52">
        <v>4995301.0</v>
      </c>
      <c r="G17" s="1">
        <v>221.0</v>
      </c>
      <c r="H17" s="1">
        <v>221.0</v>
      </c>
      <c r="I17" s="1">
        <v>100.0</v>
      </c>
      <c r="J17" s="1">
        <v>3.15</v>
      </c>
      <c r="K17" s="26">
        <v>1.0</v>
      </c>
      <c r="L17" s="1" t="s">
        <v>788</v>
      </c>
      <c r="M17" s="1" t="s">
        <v>150</v>
      </c>
      <c r="N17" s="1">
        <v>3.0</v>
      </c>
      <c r="O17" s="11"/>
      <c r="P17" s="11">
        <f t="shared" si="1"/>
        <v>264.0837096</v>
      </c>
      <c r="Q17" s="11" t="str">
        <f t="shared" si="3"/>
        <v/>
      </c>
      <c r="R17" s="11" t="str">
        <f t="shared" si="2"/>
        <v/>
      </c>
      <c r="S17" s="55" t="str">
        <f t="shared" si="4"/>
        <v/>
      </c>
    </row>
    <row r="18">
      <c r="A18" s="1" t="s">
        <v>316</v>
      </c>
      <c r="B18" s="52">
        <v>2.67882594E8</v>
      </c>
      <c r="C18" s="53">
        <v>441322.23</v>
      </c>
      <c r="D18" s="53">
        <v>5151589.0</v>
      </c>
      <c r="E18" s="52">
        <v>745546.0</v>
      </c>
      <c r="F18" s="52">
        <v>1.6644177E7</v>
      </c>
      <c r="G18" s="1">
        <v>52.0</v>
      </c>
      <c r="H18" s="1">
        <v>52.0</v>
      </c>
      <c r="I18" s="1">
        <v>100.0</v>
      </c>
      <c r="J18" s="1">
        <v>11.65</v>
      </c>
      <c r="K18" s="26">
        <v>1.0</v>
      </c>
      <c r="L18" s="1" t="s">
        <v>789</v>
      </c>
      <c r="M18" s="1" t="s">
        <v>210</v>
      </c>
      <c r="N18" s="1">
        <v>2.0</v>
      </c>
      <c r="O18" s="11"/>
      <c r="P18" s="11">
        <f t="shared" si="1"/>
        <v>257.8262036</v>
      </c>
      <c r="Q18" s="11">
        <f t="shared" si="3"/>
        <v>218.4916747</v>
      </c>
      <c r="R18" s="11" t="str">
        <f t="shared" si="2"/>
        <v/>
      </c>
      <c r="S18" s="55">
        <f t="shared" si="4"/>
        <v>1488.325741</v>
      </c>
      <c r="V18" s="1"/>
      <c r="W18" s="1"/>
      <c r="X18" s="1"/>
    </row>
    <row r="19">
      <c r="A19" s="1" t="s">
        <v>176</v>
      </c>
      <c r="B19" s="52">
        <v>2.56647573E8</v>
      </c>
      <c r="C19" s="53">
        <v>422813.14</v>
      </c>
      <c r="D19" s="53">
        <v>1082901.0</v>
      </c>
      <c r="E19" s="52">
        <v>456065.0</v>
      </c>
      <c r="F19" s="52">
        <v>3431944.0</v>
      </c>
      <c r="G19" s="1">
        <v>237.0</v>
      </c>
      <c r="H19" s="1">
        <v>237.0</v>
      </c>
      <c r="I19" s="1">
        <v>100.0</v>
      </c>
      <c r="J19" s="1">
        <v>2.77</v>
      </c>
      <c r="K19" s="26">
        <v>1.0</v>
      </c>
      <c r="L19" s="1" t="s">
        <v>790</v>
      </c>
      <c r="M19" s="1" t="s">
        <v>156</v>
      </c>
      <c r="N19" s="1">
        <v>3.0</v>
      </c>
      <c r="O19" s="11"/>
      <c r="P19" s="11">
        <f t="shared" si="1"/>
        <v>247.0129518</v>
      </c>
      <c r="Q19" s="11" t="str">
        <f t="shared" si="3"/>
        <v/>
      </c>
      <c r="R19" s="11" t="str">
        <f t="shared" si="2"/>
        <v/>
      </c>
      <c r="S19" s="55" t="str">
        <f t="shared" si="4"/>
        <v/>
      </c>
      <c r="V19" s="1"/>
      <c r="W19" s="58"/>
      <c r="X19" s="58"/>
    </row>
    <row r="20">
      <c r="A20" s="1" t="s">
        <v>180</v>
      </c>
      <c r="B20" s="52">
        <v>2.47109424E8</v>
      </c>
      <c r="C20" s="53">
        <v>407099.55</v>
      </c>
      <c r="D20" s="53">
        <v>885696.9</v>
      </c>
      <c r="E20" s="52">
        <v>472813.0</v>
      </c>
      <c r="F20" s="52">
        <v>2619816.0</v>
      </c>
      <c r="G20" s="52">
        <v>279.0</v>
      </c>
      <c r="H20" s="52">
        <v>279.0</v>
      </c>
      <c r="I20" s="1">
        <v>100.0</v>
      </c>
      <c r="J20" s="1">
        <v>2.89</v>
      </c>
      <c r="K20" s="26">
        <v>1.0</v>
      </c>
      <c r="L20" s="1" t="s">
        <v>791</v>
      </c>
      <c r="M20" s="1" t="s">
        <v>182</v>
      </c>
      <c r="N20" s="1">
        <v>3.0</v>
      </c>
      <c r="O20" s="11"/>
      <c r="P20" s="11">
        <f t="shared" si="1"/>
        <v>237.8328676</v>
      </c>
      <c r="Q20" s="11" t="str">
        <f t="shared" si="3"/>
        <v/>
      </c>
      <c r="R20" s="11" t="str">
        <f t="shared" si="2"/>
        <v/>
      </c>
      <c r="S20" s="55" t="str">
        <f t="shared" si="4"/>
        <v/>
      </c>
      <c r="V20" s="1"/>
      <c r="W20" s="58"/>
      <c r="X20" s="58"/>
    </row>
    <row r="21">
      <c r="A21" s="1" t="s">
        <v>330</v>
      </c>
      <c r="B21" s="52">
        <v>2.42595365E8</v>
      </c>
      <c r="C21" s="53">
        <v>399662.87</v>
      </c>
      <c r="D21" s="53">
        <v>572158.9</v>
      </c>
      <c r="E21" s="52">
        <v>209881.0</v>
      </c>
      <c r="F21" s="52">
        <v>2314200.0</v>
      </c>
      <c r="G21" s="1">
        <v>424.0</v>
      </c>
      <c r="H21" s="1">
        <v>424.0</v>
      </c>
      <c r="I21" s="1">
        <v>100.0</v>
      </c>
      <c r="J21" s="1">
        <v>1.87</v>
      </c>
      <c r="K21" s="26">
        <v>1.0</v>
      </c>
      <c r="L21" s="1" t="s">
        <v>792</v>
      </c>
      <c r="M21" s="1" t="s">
        <v>210</v>
      </c>
      <c r="N21" s="1">
        <v>2.0</v>
      </c>
      <c r="O21" s="11"/>
      <c r="P21" s="11">
        <f t="shared" si="1"/>
        <v>233.4882621</v>
      </c>
      <c r="Q21" s="11">
        <f t="shared" si="3"/>
        <v>197.8667827</v>
      </c>
      <c r="R21" s="11" t="str">
        <f t="shared" si="2"/>
        <v/>
      </c>
      <c r="S21" s="55">
        <f t="shared" si="4"/>
        <v>1347.83271</v>
      </c>
      <c r="V21" s="1"/>
      <c r="W21" s="58"/>
      <c r="X21" s="58"/>
    </row>
    <row r="22">
      <c r="A22" s="1" t="s">
        <v>340</v>
      </c>
      <c r="B22" s="52">
        <v>2.30329665E8</v>
      </c>
      <c r="C22" s="53">
        <v>379455.79</v>
      </c>
      <c r="D22" s="53">
        <v>1706146.0</v>
      </c>
      <c r="E22" s="52">
        <v>16851.0</v>
      </c>
      <c r="F22" s="52">
        <v>6108843.0</v>
      </c>
      <c r="G22" s="1">
        <v>135.0</v>
      </c>
      <c r="H22" s="1">
        <v>135.0</v>
      </c>
      <c r="I22" s="1">
        <v>100.0</v>
      </c>
      <c r="J22" s="1">
        <v>5.8</v>
      </c>
      <c r="K22" s="26">
        <v>1.0</v>
      </c>
      <c r="L22" s="1" t="s">
        <v>793</v>
      </c>
      <c r="M22" s="1" t="s">
        <v>190</v>
      </c>
      <c r="N22" s="1">
        <v>2.0</v>
      </c>
      <c r="O22" s="11"/>
      <c r="P22" s="11">
        <f t="shared" si="1"/>
        <v>221.6830224</v>
      </c>
      <c r="Q22" s="11">
        <f t="shared" si="3"/>
        <v>187.8625762</v>
      </c>
      <c r="R22" s="11" t="str">
        <f t="shared" si="2"/>
        <v/>
      </c>
      <c r="S22" s="55">
        <f t="shared" si="4"/>
        <v>1279.685866</v>
      </c>
      <c r="V22" s="1"/>
      <c r="W22" s="58"/>
      <c r="X22" s="58"/>
    </row>
    <row r="23">
      <c r="A23" s="1" t="s">
        <v>348</v>
      </c>
      <c r="B23" s="52">
        <v>2.00900188E8</v>
      </c>
      <c r="C23" s="53">
        <v>330972.3</v>
      </c>
      <c r="D23" s="53">
        <v>102500.1</v>
      </c>
      <c r="E23" s="52">
        <v>39977.0</v>
      </c>
      <c r="F23" s="52">
        <v>366957.0</v>
      </c>
      <c r="G23" s="27">
        <v>1960.0</v>
      </c>
      <c r="H23" s="27">
        <v>1960.0</v>
      </c>
      <c r="I23" s="1">
        <v>100.0</v>
      </c>
      <c r="J23" s="1">
        <v>1.0</v>
      </c>
      <c r="K23" s="26">
        <v>1.0</v>
      </c>
      <c r="L23" s="1" t="s">
        <v>752</v>
      </c>
      <c r="M23" s="1" t="s">
        <v>156</v>
      </c>
      <c r="N23" s="1">
        <v>3.0</v>
      </c>
      <c r="O23" s="11"/>
      <c r="P23" s="11">
        <f t="shared" si="1"/>
        <v>193.3583351</v>
      </c>
      <c r="Q23" s="11" t="str">
        <f t="shared" si="3"/>
        <v/>
      </c>
      <c r="R23" s="11" t="str">
        <f t="shared" si="2"/>
        <v/>
      </c>
      <c r="S23" s="55" t="str">
        <f t="shared" si="4"/>
        <v/>
      </c>
      <c r="V23" s="1"/>
      <c r="W23" s="58"/>
      <c r="X23" s="58"/>
    </row>
    <row r="24">
      <c r="A24" s="1" t="s">
        <v>372</v>
      </c>
      <c r="B24" s="52">
        <v>1.57915758E8</v>
      </c>
      <c r="C24" s="53">
        <v>260157.76</v>
      </c>
      <c r="D24" s="53">
        <v>6579824.0</v>
      </c>
      <c r="E24" s="52">
        <v>3638324.0</v>
      </c>
      <c r="F24" s="52">
        <v>1.1180547E7</v>
      </c>
      <c r="G24" s="1">
        <v>24.0</v>
      </c>
      <c r="H24" s="1">
        <v>24.0</v>
      </c>
      <c r="I24" s="1">
        <v>100.0</v>
      </c>
      <c r="J24" s="1">
        <v>25.0</v>
      </c>
      <c r="K24" s="26">
        <v>1.0</v>
      </c>
      <c r="L24" s="1" t="s">
        <v>794</v>
      </c>
      <c r="M24" s="1" t="s">
        <v>210</v>
      </c>
      <c r="N24" s="1">
        <v>2.0</v>
      </c>
      <c r="O24" s="11"/>
      <c r="P24" s="11">
        <f t="shared" si="1"/>
        <v>151.987557</v>
      </c>
      <c r="Q24" s="11">
        <f t="shared" si="3"/>
        <v>128.8000033</v>
      </c>
      <c r="R24" s="11" t="str">
        <f t="shared" si="2"/>
        <v/>
      </c>
      <c r="S24" s="55">
        <f t="shared" si="4"/>
        <v>877.3623096</v>
      </c>
    </row>
    <row r="25">
      <c r="A25" s="1" t="s">
        <v>378</v>
      </c>
      <c r="B25" s="52">
        <v>1.52349791E8</v>
      </c>
      <c r="C25" s="53">
        <v>250988.12</v>
      </c>
      <c r="D25" s="53">
        <v>1218798.0</v>
      </c>
      <c r="E25" s="52">
        <v>342811.0</v>
      </c>
      <c r="F25" s="52">
        <v>3739204.0</v>
      </c>
      <c r="G25" s="1">
        <v>125.0</v>
      </c>
      <c r="H25" s="1">
        <v>125.0</v>
      </c>
      <c r="I25" s="1">
        <v>100.0</v>
      </c>
      <c r="J25" s="1">
        <v>6.06</v>
      </c>
      <c r="K25" s="26">
        <v>1.0</v>
      </c>
      <c r="L25" s="1" t="s">
        <v>795</v>
      </c>
      <c r="M25" s="1" t="s">
        <v>210</v>
      </c>
      <c r="N25" s="1">
        <v>2.0</v>
      </c>
      <c r="O25" s="11"/>
      <c r="P25" s="11">
        <f t="shared" si="1"/>
        <v>146.6305337</v>
      </c>
      <c r="Q25" s="11">
        <f t="shared" si="3"/>
        <v>124.2602592</v>
      </c>
      <c r="R25" s="11" t="str">
        <f t="shared" si="2"/>
        <v/>
      </c>
      <c r="S25" s="55">
        <f t="shared" si="4"/>
        <v>846.4383943</v>
      </c>
    </row>
    <row r="26">
      <c r="A26" s="1" t="s">
        <v>229</v>
      </c>
      <c r="B26" s="52">
        <v>1.46904599E8</v>
      </c>
      <c r="C26" s="53">
        <v>242017.46</v>
      </c>
      <c r="D26" s="53">
        <v>1614336.0</v>
      </c>
      <c r="E26" s="52">
        <v>750828.0</v>
      </c>
      <c r="F26" s="52">
        <v>8257957.0</v>
      </c>
      <c r="G26" s="1">
        <v>91.0</v>
      </c>
      <c r="H26" s="1">
        <v>91.0</v>
      </c>
      <c r="I26" s="1">
        <v>100.0</v>
      </c>
      <c r="J26" s="1">
        <v>6.74</v>
      </c>
      <c r="K26" s="26">
        <v>1.0</v>
      </c>
      <c r="L26" s="1" t="s">
        <v>796</v>
      </c>
      <c r="M26" s="1" t="s">
        <v>187</v>
      </c>
      <c r="N26" s="1">
        <v>3.0</v>
      </c>
      <c r="O26" s="11"/>
      <c r="P26" s="11">
        <f t="shared" si="1"/>
        <v>141.3897571</v>
      </c>
      <c r="Q26" s="11" t="str">
        <f t="shared" si="3"/>
        <v/>
      </c>
      <c r="R26" s="11" t="str">
        <f t="shared" si="2"/>
        <v/>
      </c>
      <c r="S26" s="55" t="str">
        <f t="shared" si="4"/>
        <v/>
      </c>
    </row>
    <row r="27">
      <c r="A27" s="1" t="s">
        <v>188</v>
      </c>
      <c r="B27" s="52">
        <v>1.22160339E8</v>
      </c>
      <c r="C27" s="53">
        <v>201252.62</v>
      </c>
      <c r="D27" s="53">
        <v>1437180.0</v>
      </c>
      <c r="E27" s="52">
        <v>948207.0</v>
      </c>
      <c r="F27" s="52">
        <v>4000802.0</v>
      </c>
      <c r="G27" s="1">
        <v>85.0</v>
      </c>
      <c r="H27" s="1">
        <v>85.0</v>
      </c>
      <c r="I27" s="1">
        <v>100.0</v>
      </c>
      <c r="J27" s="1">
        <v>7.07</v>
      </c>
      <c r="K27" s="26">
        <v>1.0</v>
      </c>
      <c r="L27" s="1" t="s">
        <v>797</v>
      </c>
      <c r="M27" s="1" t="s">
        <v>190</v>
      </c>
      <c r="N27" s="1">
        <v>3.0</v>
      </c>
      <c r="O27" s="11"/>
      <c r="P27" s="11">
        <f t="shared" si="1"/>
        <v>117.5744059</v>
      </c>
      <c r="Q27" s="11" t="str">
        <f t="shared" si="3"/>
        <v/>
      </c>
      <c r="R27" s="11" t="str">
        <f t="shared" si="2"/>
        <v/>
      </c>
      <c r="S27" s="55" t="str">
        <f t="shared" si="4"/>
        <v/>
      </c>
    </row>
    <row r="28">
      <c r="A28" s="1" t="s">
        <v>362</v>
      </c>
      <c r="B28" s="52">
        <v>1.13542735E8</v>
      </c>
      <c r="C28" s="53">
        <v>187055.58</v>
      </c>
      <c r="D28" s="53">
        <v>3440689.0</v>
      </c>
      <c r="E28" s="52">
        <v>1952133.0</v>
      </c>
      <c r="F28" s="52">
        <v>8605316.0</v>
      </c>
      <c r="G28" s="1">
        <v>33.0</v>
      </c>
      <c r="H28" s="1">
        <v>35.0</v>
      </c>
      <c r="I28" s="1">
        <v>94.29</v>
      </c>
      <c r="J28" s="1">
        <v>17.15</v>
      </c>
      <c r="K28" s="26">
        <v>1.0</v>
      </c>
      <c r="L28" s="1" t="s">
        <v>798</v>
      </c>
      <c r="M28" s="1" t="s">
        <v>210</v>
      </c>
      <c r="N28" s="1">
        <v>2.0</v>
      </c>
      <c r="O28" s="11"/>
      <c r="P28" s="11">
        <f t="shared" si="1"/>
        <v>109.2803099</v>
      </c>
      <c r="Q28" s="11">
        <f t="shared" si="3"/>
        <v>92.60826708</v>
      </c>
      <c r="R28" s="11" t="str">
        <f t="shared" si="2"/>
        <v/>
      </c>
      <c r="S28" s="55">
        <f t="shared" si="4"/>
        <v>630.8307532</v>
      </c>
    </row>
    <row r="29">
      <c r="A29" s="1" t="s">
        <v>202</v>
      </c>
      <c r="B29" s="52">
        <v>1.05398251E8</v>
      </c>
      <c r="C29" s="53">
        <v>173637.98</v>
      </c>
      <c r="D29" s="53">
        <v>592125.0</v>
      </c>
      <c r="E29" s="52">
        <v>265645.0</v>
      </c>
      <c r="F29" s="52">
        <v>1754542.0</v>
      </c>
      <c r="G29" s="1">
        <v>178.0</v>
      </c>
      <c r="H29" s="1">
        <v>178.0</v>
      </c>
      <c r="I29" s="1">
        <v>100.0</v>
      </c>
      <c r="J29" s="1">
        <v>3.55</v>
      </c>
      <c r="K29" s="26">
        <v>1.0</v>
      </c>
      <c r="L29" s="1" t="s">
        <v>799</v>
      </c>
      <c r="M29" s="1" t="s">
        <v>190</v>
      </c>
      <c r="N29" s="1">
        <v>3.0</v>
      </c>
      <c r="O29" s="11"/>
      <c r="P29" s="11">
        <f t="shared" si="1"/>
        <v>101.441573</v>
      </c>
      <c r="Q29" s="11" t="str">
        <f t="shared" si="3"/>
        <v/>
      </c>
      <c r="R29" s="11" t="str">
        <f t="shared" si="2"/>
        <v/>
      </c>
      <c r="S29" s="55" t="str">
        <f t="shared" si="4"/>
        <v/>
      </c>
    </row>
    <row r="30">
      <c r="A30" s="1" t="s">
        <v>398</v>
      </c>
      <c r="B30" s="52">
        <v>1.03739223E8</v>
      </c>
      <c r="C30" s="53">
        <v>170904.82</v>
      </c>
      <c r="D30" s="53">
        <v>1646654.0</v>
      </c>
      <c r="E30" s="52">
        <v>939897.0</v>
      </c>
      <c r="F30" s="52">
        <v>3804998.0</v>
      </c>
      <c r="G30" s="1">
        <v>63.0</v>
      </c>
      <c r="H30" s="1">
        <v>63.0</v>
      </c>
      <c r="I30" s="1">
        <v>100.0</v>
      </c>
      <c r="J30" s="1">
        <v>9.5</v>
      </c>
      <c r="K30" s="26">
        <v>1.0</v>
      </c>
      <c r="L30" s="1" t="s">
        <v>800</v>
      </c>
      <c r="M30" s="1" t="s">
        <v>210</v>
      </c>
      <c r="N30" s="1">
        <v>2.0</v>
      </c>
      <c r="O30" s="11"/>
      <c r="P30" s="11">
        <f t="shared" si="1"/>
        <v>99.84482523</v>
      </c>
      <c r="Q30" s="11">
        <f t="shared" si="3"/>
        <v>84.61228056</v>
      </c>
      <c r="R30" s="11" t="str">
        <f t="shared" si="2"/>
        <v/>
      </c>
      <c r="S30" s="55">
        <f t="shared" si="4"/>
        <v>576.3635403</v>
      </c>
    </row>
    <row r="31">
      <c r="A31" s="1" t="s">
        <v>235</v>
      </c>
      <c r="B31" s="52">
        <v>9.8751478E7</v>
      </c>
      <c r="C31" s="53">
        <v>162687.77</v>
      </c>
      <c r="D31" s="53">
        <v>695432.9</v>
      </c>
      <c r="E31" s="52">
        <v>321287.0</v>
      </c>
      <c r="F31" s="52">
        <v>1687377.0</v>
      </c>
      <c r="G31" s="1">
        <v>142.0</v>
      </c>
      <c r="H31" s="1">
        <v>142.0</v>
      </c>
      <c r="I31" s="1">
        <v>100.0</v>
      </c>
      <c r="J31" s="1">
        <v>4.65</v>
      </c>
      <c r="K31" s="26">
        <v>1.0</v>
      </c>
      <c r="L31" s="1" t="s">
        <v>801</v>
      </c>
      <c r="M31" s="1" t="s">
        <v>187</v>
      </c>
      <c r="N31" s="1">
        <v>3.0</v>
      </c>
      <c r="O31" s="11"/>
      <c r="P31" s="11">
        <f t="shared" si="1"/>
        <v>95.04431743</v>
      </c>
      <c r="Q31" s="11" t="str">
        <f t="shared" si="3"/>
        <v/>
      </c>
      <c r="R31" s="11" t="str">
        <f t="shared" si="2"/>
        <v/>
      </c>
      <c r="S31" s="55" t="str">
        <f t="shared" si="4"/>
        <v/>
      </c>
    </row>
    <row r="32">
      <c r="A32" s="1" t="s">
        <v>388</v>
      </c>
      <c r="B32" s="52">
        <v>9.8649447E7</v>
      </c>
      <c r="C32" s="53">
        <v>162519.68</v>
      </c>
      <c r="D32" s="53">
        <v>401014.0</v>
      </c>
      <c r="E32" s="52">
        <v>165958.0</v>
      </c>
      <c r="F32" s="52">
        <v>1931472.0</v>
      </c>
      <c r="G32" s="1">
        <v>246.0</v>
      </c>
      <c r="H32" s="1">
        <v>250.0</v>
      </c>
      <c r="I32" s="1">
        <v>98.4</v>
      </c>
      <c r="J32" s="1">
        <v>4.16</v>
      </c>
      <c r="K32" s="26">
        <v>1.0</v>
      </c>
      <c r="L32" s="1" t="s">
        <v>802</v>
      </c>
      <c r="M32" s="1" t="s">
        <v>210</v>
      </c>
      <c r="N32" s="1">
        <v>2.0</v>
      </c>
      <c r="O32" s="11"/>
      <c r="P32" s="11">
        <f t="shared" si="1"/>
        <v>94.94611706</v>
      </c>
      <c r="Q32" s="11">
        <f t="shared" si="3"/>
        <v>80.46093002</v>
      </c>
      <c r="R32" s="11" t="str">
        <f t="shared" si="2"/>
        <v/>
      </c>
      <c r="S32" s="55">
        <f t="shared" si="4"/>
        <v>548.0852918</v>
      </c>
    </row>
    <row r="33">
      <c r="A33" s="1" t="s">
        <v>404</v>
      </c>
      <c r="B33" s="52">
        <v>9.0869342E7</v>
      </c>
      <c r="C33" s="53">
        <v>149702.38</v>
      </c>
      <c r="D33" s="53">
        <v>9086934.0</v>
      </c>
      <c r="E33" s="52">
        <v>5933463.0</v>
      </c>
      <c r="F33" s="52">
        <v>1.5328894E7</v>
      </c>
      <c r="G33" s="1">
        <v>10.0</v>
      </c>
      <c r="H33" s="1">
        <v>10.0</v>
      </c>
      <c r="I33" s="1">
        <v>100.0</v>
      </c>
      <c r="J33" s="1">
        <v>62.0</v>
      </c>
      <c r="K33" s="26">
        <v>1.0</v>
      </c>
      <c r="L33" s="1" t="s">
        <v>749</v>
      </c>
      <c r="M33" s="1" t="s">
        <v>210</v>
      </c>
      <c r="N33" s="1">
        <v>2.0</v>
      </c>
      <c r="O33" s="11"/>
      <c r="P33" s="11">
        <f t="shared" si="1"/>
        <v>87.4580832</v>
      </c>
      <c r="Q33" s="11">
        <f t="shared" si="3"/>
        <v>74.11528696</v>
      </c>
      <c r="R33" s="11" t="str">
        <f t="shared" si="2"/>
        <v/>
      </c>
      <c r="S33" s="55">
        <f t="shared" si="4"/>
        <v>504.8599199</v>
      </c>
    </row>
    <row r="34">
      <c r="A34" s="1" t="s">
        <v>231</v>
      </c>
      <c r="B34" s="52">
        <v>8.4521669E7</v>
      </c>
      <c r="C34" s="53">
        <v>139244.92</v>
      </c>
      <c r="D34" s="53">
        <v>302945.1</v>
      </c>
      <c r="E34" s="52">
        <v>100469.0</v>
      </c>
      <c r="F34" s="52">
        <v>953982.0</v>
      </c>
      <c r="G34" s="1">
        <v>279.0</v>
      </c>
      <c r="H34" s="1">
        <v>279.0</v>
      </c>
      <c r="I34" s="1">
        <v>100.0</v>
      </c>
      <c r="J34" s="1">
        <v>2.67</v>
      </c>
      <c r="K34" s="26">
        <v>1.0</v>
      </c>
      <c r="L34" s="1" t="s">
        <v>803</v>
      </c>
      <c r="M34" s="1" t="s">
        <v>187</v>
      </c>
      <c r="N34" s="1">
        <v>3.0</v>
      </c>
      <c r="O34" s="11"/>
      <c r="P34" s="11">
        <f t="shared" si="1"/>
        <v>81.34869866</v>
      </c>
      <c r="Q34" s="11" t="str">
        <f t="shared" si="3"/>
        <v/>
      </c>
      <c r="R34" s="11" t="str">
        <f t="shared" si="2"/>
        <v/>
      </c>
      <c r="S34" s="55" t="str">
        <f t="shared" si="4"/>
        <v/>
      </c>
    </row>
    <row r="35">
      <c r="A35" s="1" t="s">
        <v>208</v>
      </c>
      <c r="B35" s="52">
        <v>5.9685447E7</v>
      </c>
      <c r="C35" s="53">
        <v>98328.58</v>
      </c>
      <c r="D35" s="53">
        <v>615313.9</v>
      </c>
      <c r="E35" s="52">
        <v>389275.0</v>
      </c>
      <c r="F35" s="52">
        <v>1921710.0</v>
      </c>
      <c r="G35" s="1">
        <v>97.0</v>
      </c>
      <c r="H35" s="1">
        <v>97.0</v>
      </c>
      <c r="I35" s="1">
        <v>100.0</v>
      </c>
      <c r="J35" s="1">
        <v>6.33</v>
      </c>
      <c r="K35" s="26">
        <v>1.0</v>
      </c>
      <c r="L35" s="1" t="s">
        <v>804</v>
      </c>
      <c r="M35" s="1" t="s">
        <v>210</v>
      </c>
      <c r="N35" s="1">
        <v>3.0</v>
      </c>
      <c r="O35" s="11"/>
      <c r="P35" s="11">
        <f t="shared" si="1"/>
        <v>57.44483909</v>
      </c>
      <c r="Q35" s="11" t="str">
        <f t="shared" si="3"/>
        <v/>
      </c>
      <c r="R35" s="11" t="str">
        <f t="shared" si="2"/>
        <v/>
      </c>
      <c r="S35" s="55" t="str">
        <f t="shared" si="4"/>
        <v/>
      </c>
    </row>
    <row r="36">
      <c r="A36" s="1" t="s">
        <v>415</v>
      </c>
      <c r="B36" s="52">
        <v>5.8738775E7</v>
      </c>
      <c r="C36" s="53">
        <v>96768.99</v>
      </c>
      <c r="D36" s="53">
        <v>903673.5</v>
      </c>
      <c r="E36" s="52">
        <v>511582.0</v>
      </c>
      <c r="F36" s="52">
        <v>1696785.0</v>
      </c>
      <c r="G36" s="1">
        <v>65.0</v>
      </c>
      <c r="H36" s="1">
        <v>72.0</v>
      </c>
      <c r="I36" s="1">
        <v>90.28</v>
      </c>
      <c r="J36" s="1">
        <v>17.27</v>
      </c>
      <c r="K36" s="26">
        <v>1.0</v>
      </c>
      <c r="L36" s="1" t="s">
        <v>805</v>
      </c>
      <c r="M36" s="1" t="s">
        <v>210</v>
      </c>
      <c r="N36" s="1">
        <v>2.0</v>
      </c>
      <c r="O36" s="11"/>
      <c r="P36" s="11">
        <f t="shared" si="1"/>
        <v>56.53370627</v>
      </c>
      <c r="Q36" s="11">
        <f t="shared" si="3"/>
        <v>47.90880053</v>
      </c>
      <c r="R36" s="11" t="str">
        <f t="shared" si="2"/>
        <v/>
      </c>
      <c r="S36" s="55">
        <f t="shared" si="4"/>
        <v>326.3460777</v>
      </c>
    </row>
    <row r="37">
      <c r="A37" s="1" t="s">
        <v>425</v>
      </c>
      <c r="B37" s="52">
        <v>5.5272014E7</v>
      </c>
      <c r="C37" s="53">
        <v>91057.68</v>
      </c>
      <c r="D37" s="53">
        <v>9212003.0</v>
      </c>
      <c r="E37" s="52">
        <v>4732869.0</v>
      </c>
      <c r="F37" s="52">
        <v>1.5816839E7</v>
      </c>
      <c r="G37" s="1">
        <v>6.0</v>
      </c>
      <c r="H37" s="1">
        <v>7.0</v>
      </c>
      <c r="I37" s="1">
        <v>85.71</v>
      </c>
      <c r="J37" s="1">
        <v>92.0</v>
      </c>
      <c r="K37" s="26">
        <v>1.0</v>
      </c>
      <c r="L37" s="1" t="s">
        <v>806</v>
      </c>
      <c r="M37" s="1" t="s">
        <v>210</v>
      </c>
      <c r="N37" s="1">
        <v>2.0</v>
      </c>
      <c r="O37" s="11"/>
      <c r="P37" s="11">
        <f t="shared" si="1"/>
        <v>53.19708447</v>
      </c>
      <c r="Q37" s="11">
        <f t="shared" si="3"/>
        <v>45.08122104</v>
      </c>
      <c r="R37" s="11" t="str">
        <f t="shared" si="2"/>
        <v/>
      </c>
      <c r="S37" s="55">
        <f t="shared" si="4"/>
        <v>307.085118</v>
      </c>
    </row>
    <row r="38">
      <c r="A38" s="1" t="s">
        <v>427</v>
      </c>
      <c r="B38" s="52">
        <v>5.4403359E7</v>
      </c>
      <c r="C38" s="53">
        <v>89626.62</v>
      </c>
      <c r="D38" s="53">
        <v>2590636.0</v>
      </c>
      <c r="E38" s="52">
        <v>1280639.0</v>
      </c>
      <c r="F38" s="52">
        <v>1.0922565E7</v>
      </c>
      <c r="G38" s="1">
        <v>21.0</v>
      </c>
      <c r="H38" s="1">
        <v>23.0</v>
      </c>
      <c r="I38" s="1">
        <v>91.3</v>
      </c>
      <c r="J38" s="1">
        <v>26.41</v>
      </c>
      <c r="K38" s="26">
        <v>1.0</v>
      </c>
      <c r="L38" s="1" t="s">
        <v>807</v>
      </c>
      <c r="M38" s="1" t="s">
        <v>210</v>
      </c>
      <c r="N38" s="1">
        <v>2.0</v>
      </c>
      <c r="O38" s="11"/>
      <c r="P38" s="11">
        <f t="shared" si="1"/>
        <v>52.36104055</v>
      </c>
      <c r="Q38" s="11">
        <f t="shared" si="3"/>
        <v>44.37272581</v>
      </c>
      <c r="R38" s="11" t="str">
        <f t="shared" si="2"/>
        <v/>
      </c>
      <c r="S38" s="55">
        <f t="shared" si="4"/>
        <v>302.2589767</v>
      </c>
    </row>
    <row r="39">
      <c r="A39" s="1" t="s">
        <v>417</v>
      </c>
      <c r="B39" s="52">
        <v>5.3872497E7</v>
      </c>
      <c r="C39" s="53">
        <v>88752.05</v>
      </c>
      <c r="D39" s="53">
        <v>309612.0</v>
      </c>
      <c r="E39" s="52">
        <v>139293.0</v>
      </c>
      <c r="F39" s="52">
        <v>714112.0</v>
      </c>
      <c r="G39" s="1">
        <v>174.0</v>
      </c>
      <c r="H39" s="1">
        <v>174.0</v>
      </c>
      <c r="I39" s="1">
        <v>100.0</v>
      </c>
      <c r="J39" s="1">
        <v>10.18</v>
      </c>
      <c r="K39" s="26">
        <v>1.0</v>
      </c>
      <c r="L39" s="1" t="s">
        <v>808</v>
      </c>
      <c r="M39" s="1" t="s">
        <v>210</v>
      </c>
      <c r="N39" s="1">
        <v>2.0</v>
      </c>
      <c r="O39" s="11"/>
      <c r="P39" s="11">
        <f t="shared" si="1"/>
        <v>51.85010534</v>
      </c>
      <c r="Q39" s="11">
        <f t="shared" si="3"/>
        <v>43.93974</v>
      </c>
      <c r="R39" s="11" t="str">
        <f t="shared" si="2"/>
        <v/>
      </c>
      <c r="S39" s="55">
        <f t="shared" si="4"/>
        <v>299.3095557</v>
      </c>
    </row>
    <row r="40">
      <c r="A40" s="1" t="s">
        <v>413</v>
      </c>
      <c r="B40" s="52">
        <v>5.326296E7</v>
      </c>
      <c r="C40" s="53">
        <v>87747.87</v>
      </c>
      <c r="D40" s="53">
        <v>951124.3</v>
      </c>
      <c r="E40" s="52">
        <v>447186.0</v>
      </c>
      <c r="F40" s="52">
        <v>2083903.0</v>
      </c>
      <c r="G40" s="1">
        <v>56.0</v>
      </c>
      <c r="H40" s="1">
        <v>64.0</v>
      </c>
      <c r="I40" s="1">
        <v>87.5</v>
      </c>
      <c r="J40" s="1">
        <v>9.33</v>
      </c>
      <c r="K40" s="26">
        <v>1.0</v>
      </c>
      <c r="L40" s="1" t="s">
        <v>809</v>
      </c>
      <c r="M40" s="1" t="s">
        <v>210</v>
      </c>
      <c r="N40" s="1">
        <v>2.0</v>
      </c>
      <c r="O40" s="11"/>
      <c r="P40" s="11">
        <f t="shared" si="1"/>
        <v>51.26345029</v>
      </c>
      <c r="Q40" s="11">
        <f t="shared" si="3"/>
        <v>43.44258632</v>
      </c>
      <c r="R40" s="11" t="str">
        <f t="shared" si="2"/>
        <v/>
      </c>
      <c r="S40" s="55">
        <f t="shared" si="4"/>
        <v>295.9230349</v>
      </c>
    </row>
    <row r="41">
      <c r="A41" s="1" t="s">
        <v>421</v>
      </c>
      <c r="B41" s="52">
        <v>5.2615523E7</v>
      </c>
      <c r="C41" s="53">
        <v>86681.26</v>
      </c>
      <c r="D41" s="53">
        <v>891788.6</v>
      </c>
      <c r="E41" s="52">
        <v>427841.0</v>
      </c>
      <c r="F41" s="52">
        <v>2150543.0</v>
      </c>
      <c r="G41" s="1">
        <v>59.0</v>
      </c>
      <c r="H41" s="1">
        <v>62.0</v>
      </c>
      <c r="I41" s="1">
        <v>95.16</v>
      </c>
      <c r="J41" s="1">
        <v>10.05</v>
      </c>
      <c r="K41" s="26">
        <v>1.0</v>
      </c>
      <c r="L41" s="1" t="s">
        <v>810</v>
      </c>
      <c r="M41" s="1" t="s">
        <v>210</v>
      </c>
      <c r="N41" s="1">
        <v>2.0</v>
      </c>
      <c r="O41" s="11"/>
      <c r="P41" s="11">
        <f t="shared" si="1"/>
        <v>50.64032281</v>
      </c>
      <c r="Q41" s="11">
        <f t="shared" si="3"/>
        <v>42.91452453</v>
      </c>
      <c r="R41" s="11" t="str">
        <f t="shared" si="2"/>
        <v/>
      </c>
      <c r="S41" s="55">
        <f t="shared" si="4"/>
        <v>292.3259736</v>
      </c>
    </row>
    <row r="42">
      <c r="A42" s="1" t="s">
        <v>429</v>
      </c>
      <c r="B42" s="52">
        <v>4.7910529E7</v>
      </c>
      <c r="C42" s="53">
        <v>78930.03</v>
      </c>
      <c r="D42" s="53">
        <v>684436.1</v>
      </c>
      <c r="E42" s="52">
        <v>305556.0</v>
      </c>
      <c r="F42" s="52">
        <v>3629014.0</v>
      </c>
      <c r="G42" s="1">
        <v>70.0</v>
      </c>
      <c r="H42" s="1">
        <v>70.0</v>
      </c>
      <c r="I42" s="1">
        <v>100.0</v>
      </c>
      <c r="J42" s="1">
        <v>8.62</v>
      </c>
      <c r="K42" s="26">
        <v>1.0</v>
      </c>
      <c r="L42" s="1" t="s">
        <v>811</v>
      </c>
      <c r="M42" s="1" t="s">
        <v>210</v>
      </c>
      <c r="N42" s="1">
        <v>2.0</v>
      </c>
      <c r="O42" s="11"/>
      <c r="P42" s="11">
        <f t="shared" si="1"/>
        <v>46.11195314</v>
      </c>
      <c r="Q42" s="11">
        <f t="shared" si="3"/>
        <v>39.07701283</v>
      </c>
      <c r="R42" s="11" t="str">
        <f t="shared" si="2"/>
        <v/>
      </c>
      <c r="S42" s="55">
        <f t="shared" si="4"/>
        <v>266.1855384</v>
      </c>
    </row>
    <row r="43">
      <c r="A43" s="1" t="s">
        <v>407</v>
      </c>
      <c r="B43" s="52">
        <v>4.3810967E7</v>
      </c>
      <c r="C43" s="53">
        <v>72176.22</v>
      </c>
      <c r="D43" s="53">
        <v>2920731.0</v>
      </c>
      <c r="E43" s="52">
        <v>1913271.0</v>
      </c>
      <c r="F43" s="52">
        <v>3791948.0</v>
      </c>
      <c r="G43" s="1">
        <v>15.0</v>
      </c>
      <c r="H43" s="1">
        <v>17.0</v>
      </c>
      <c r="I43" s="1">
        <v>88.24</v>
      </c>
      <c r="J43" s="1">
        <v>34.5</v>
      </c>
      <c r="K43" s="26">
        <v>1.0</v>
      </c>
      <c r="L43" s="1" t="s">
        <v>226</v>
      </c>
      <c r="M43" s="1" t="s">
        <v>210</v>
      </c>
      <c r="N43" s="1">
        <v>2.0</v>
      </c>
      <c r="O43" s="11"/>
      <c r="P43" s="11">
        <f t="shared" si="1"/>
        <v>42.16628923</v>
      </c>
      <c r="Q43" s="11">
        <f t="shared" si="3"/>
        <v>35.73330803</v>
      </c>
      <c r="R43" s="11" t="str">
        <f t="shared" si="2"/>
        <v/>
      </c>
      <c r="S43" s="55">
        <f t="shared" si="4"/>
        <v>243.4088265</v>
      </c>
    </row>
    <row r="44">
      <c r="A44" s="1" t="s">
        <v>433</v>
      </c>
      <c r="B44" s="52">
        <v>4.0662287E7</v>
      </c>
      <c r="C44" s="53">
        <v>66988.94</v>
      </c>
      <c r="D44" s="53">
        <v>1270697.0</v>
      </c>
      <c r="E44" s="52">
        <v>576862.0</v>
      </c>
      <c r="F44" s="52">
        <v>3601822.0</v>
      </c>
      <c r="G44" s="1">
        <v>32.0</v>
      </c>
      <c r="H44" s="1">
        <v>33.0</v>
      </c>
      <c r="I44" s="1">
        <v>96.97</v>
      </c>
      <c r="J44" s="1">
        <v>55.5</v>
      </c>
      <c r="K44" s="26">
        <v>1.0</v>
      </c>
      <c r="L44" s="1" t="s">
        <v>812</v>
      </c>
      <c r="M44" s="1" t="s">
        <v>210</v>
      </c>
      <c r="N44" s="1">
        <v>2.0</v>
      </c>
      <c r="O44" s="11"/>
      <c r="P44" s="11">
        <f t="shared" si="1"/>
        <v>39.13581259</v>
      </c>
      <c r="Q44" s="11">
        <f t="shared" si="3"/>
        <v>33.16516752</v>
      </c>
      <c r="R44" s="11" t="str">
        <f t="shared" si="2"/>
        <v/>
      </c>
      <c r="S44" s="55">
        <f t="shared" si="4"/>
        <v>225.9151182</v>
      </c>
    </row>
    <row r="45">
      <c r="A45" s="1" t="s">
        <v>218</v>
      </c>
      <c r="B45" s="52">
        <v>2.5926579E7</v>
      </c>
      <c r="C45" s="53">
        <v>42712.65</v>
      </c>
      <c r="D45" s="53">
        <v>1296329.0</v>
      </c>
      <c r="E45" s="52">
        <v>817106.0</v>
      </c>
      <c r="F45" s="52">
        <v>2826674.0</v>
      </c>
      <c r="G45" s="1">
        <v>20.0</v>
      </c>
      <c r="H45" s="1">
        <v>20.0</v>
      </c>
      <c r="I45" s="1">
        <v>100.0</v>
      </c>
      <c r="J45" s="1">
        <v>31.0</v>
      </c>
      <c r="K45" s="26">
        <v>1.0</v>
      </c>
      <c r="L45" s="1" t="s">
        <v>813</v>
      </c>
      <c r="M45" s="1" t="s">
        <v>193</v>
      </c>
      <c r="N45" s="1">
        <v>3.0</v>
      </c>
      <c r="O45" s="11"/>
      <c r="P45" s="11">
        <f t="shared" si="1"/>
        <v>24.9532873</v>
      </c>
      <c r="Q45" s="11" t="str">
        <f t="shared" si="3"/>
        <v/>
      </c>
      <c r="R45" s="11" t="str">
        <f t="shared" si="2"/>
        <v/>
      </c>
      <c r="S45" s="55" t="str">
        <f t="shared" si="4"/>
        <v/>
      </c>
    </row>
    <row r="46">
      <c r="A46" s="1" t="s">
        <v>455</v>
      </c>
      <c r="B46" s="52">
        <v>2.4083278E7</v>
      </c>
      <c r="C46" s="53">
        <v>39675.91</v>
      </c>
      <c r="D46" s="53">
        <v>602081.9</v>
      </c>
      <c r="E46" s="52">
        <v>379292.0</v>
      </c>
      <c r="F46" s="52">
        <v>1216831.0</v>
      </c>
      <c r="G46" s="1">
        <v>40.0</v>
      </c>
      <c r="H46" s="1">
        <v>40.0</v>
      </c>
      <c r="I46" s="1">
        <v>100.0</v>
      </c>
      <c r="J46" s="1">
        <v>21.07</v>
      </c>
      <c r="K46" s="26">
        <v>1.0</v>
      </c>
      <c r="L46" s="1" t="s">
        <v>814</v>
      </c>
      <c r="M46" s="1" t="s">
        <v>210</v>
      </c>
      <c r="N46" s="1">
        <v>2.0</v>
      </c>
      <c r="O46" s="11"/>
      <c r="P46" s="11">
        <f t="shared" si="1"/>
        <v>23.17918418</v>
      </c>
      <c r="Q46" s="11">
        <f t="shared" si="3"/>
        <v>19.6429172</v>
      </c>
      <c r="R46" s="11" t="str">
        <f t="shared" si="2"/>
        <v/>
      </c>
      <c r="S46" s="55">
        <f t="shared" si="4"/>
        <v>133.8039966</v>
      </c>
    </row>
    <row r="47">
      <c r="A47" s="1" t="s">
        <v>439</v>
      </c>
      <c r="B47" s="52">
        <v>2.3878622E7</v>
      </c>
      <c r="C47" s="53">
        <v>39338.75</v>
      </c>
      <c r="D47" s="53">
        <v>852807.9</v>
      </c>
      <c r="E47" s="52">
        <v>536159.0</v>
      </c>
      <c r="F47" s="52">
        <v>1530662.0</v>
      </c>
      <c r="G47" s="1">
        <v>28.0</v>
      </c>
      <c r="H47" s="1">
        <v>31.0</v>
      </c>
      <c r="I47" s="1">
        <v>90.32</v>
      </c>
      <c r="J47" s="1">
        <v>19.07</v>
      </c>
      <c r="K47" s="26">
        <v>1.0</v>
      </c>
      <c r="L47" s="1" t="s">
        <v>403</v>
      </c>
      <c r="M47" s="1" t="s">
        <v>210</v>
      </c>
      <c r="N47" s="1">
        <v>2.0</v>
      </c>
      <c r="O47" s="11"/>
      <c r="P47" s="11">
        <f t="shared" si="1"/>
        <v>22.98221091</v>
      </c>
      <c r="Q47" s="11">
        <f t="shared" si="3"/>
        <v>19.4759946</v>
      </c>
      <c r="R47" s="11" t="str">
        <f t="shared" si="2"/>
        <v/>
      </c>
      <c r="S47" s="55">
        <f t="shared" si="4"/>
        <v>132.6669501</v>
      </c>
    </row>
    <row r="48">
      <c r="A48" s="1" t="s">
        <v>445</v>
      </c>
      <c r="B48" s="52">
        <v>2.2611966E7</v>
      </c>
      <c r="C48" s="53">
        <v>37252.0</v>
      </c>
      <c r="D48" s="53">
        <v>1615140.0</v>
      </c>
      <c r="E48" s="52">
        <v>1078644.0</v>
      </c>
      <c r="F48" s="52">
        <v>2211786.0</v>
      </c>
      <c r="G48" s="1">
        <v>14.0</v>
      </c>
      <c r="H48" s="1">
        <v>16.0</v>
      </c>
      <c r="I48" s="1">
        <v>87.5</v>
      </c>
      <c r="J48" s="1">
        <v>36.87</v>
      </c>
      <c r="K48" s="26">
        <v>1.0</v>
      </c>
      <c r="L48" s="1" t="s">
        <v>214</v>
      </c>
      <c r="M48" s="1" t="s">
        <v>210</v>
      </c>
      <c r="N48" s="1">
        <v>2.0</v>
      </c>
      <c r="O48" s="11"/>
      <c r="P48" s="11">
        <f t="shared" si="1"/>
        <v>21.76310434</v>
      </c>
      <c r="Q48" s="11">
        <f t="shared" si="3"/>
        <v>18.44287759</v>
      </c>
      <c r="R48" s="11" t="str">
        <f t="shared" si="2"/>
        <v/>
      </c>
      <c r="S48" s="55">
        <f t="shared" si="4"/>
        <v>125.629544</v>
      </c>
    </row>
    <row r="49">
      <c r="A49" s="1" t="s">
        <v>452</v>
      </c>
      <c r="B49" s="52">
        <v>2.0131904E7</v>
      </c>
      <c r="C49" s="53">
        <v>33166.23</v>
      </c>
      <c r="D49" s="53">
        <v>1830173.0</v>
      </c>
      <c r="E49" s="52">
        <v>1309307.0</v>
      </c>
      <c r="F49" s="52">
        <v>2845962.0</v>
      </c>
      <c r="G49" s="1">
        <v>11.0</v>
      </c>
      <c r="H49" s="1">
        <v>12.0</v>
      </c>
      <c r="I49" s="1">
        <v>91.67</v>
      </c>
      <c r="J49" s="1">
        <v>51.36</v>
      </c>
      <c r="K49" s="26">
        <v>1.0</v>
      </c>
      <c r="L49" s="1" t="s">
        <v>815</v>
      </c>
      <c r="M49" s="1" t="s">
        <v>190</v>
      </c>
      <c r="N49" s="1">
        <v>2.0</v>
      </c>
      <c r="O49" s="11"/>
      <c r="P49" s="11">
        <f t="shared" si="1"/>
        <v>19.37614421</v>
      </c>
      <c r="Q49" s="11">
        <f t="shared" si="3"/>
        <v>16.42007732</v>
      </c>
      <c r="R49" s="11" t="str">
        <f t="shared" si="2"/>
        <v/>
      </c>
      <c r="S49" s="55">
        <f t="shared" si="4"/>
        <v>111.8505946</v>
      </c>
    </row>
    <row r="50">
      <c r="A50" s="1" t="s">
        <v>816</v>
      </c>
      <c r="B50" s="52">
        <v>1.7165763E7</v>
      </c>
      <c r="C50" s="53">
        <v>28279.68</v>
      </c>
      <c r="D50" s="53">
        <v>780262.0</v>
      </c>
      <c r="E50" s="52">
        <v>390170.0</v>
      </c>
      <c r="F50" s="52">
        <v>1847882.0</v>
      </c>
      <c r="G50" s="1">
        <v>22.0</v>
      </c>
      <c r="H50" s="1">
        <v>22.0</v>
      </c>
      <c r="I50" s="1">
        <v>100.0</v>
      </c>
      <c r="J50" s="1">
        <v>26.62</v>
      </c>
      <c r="K50" s="26">
        <v>1.0</v>
      </c>
      <c r="L50" s="1" t="s">
        <v>817</v>
      </c>
      <c r="M50" s="1" t="s">
        <v>210</v>
      </c>
      <c r="N50" s="1">
        <v>2.0</v>
      </c>
      <c r="O50" s="11"/>
      <c r="P50" s="11">
        <f t="shared" si="1"/>
        <v>16.52135795</v>
      </c>
      <c r="Q50" s="11">
        <f t="shared" si="3"/>
        <v>14.00082349</v>
      </c>
      <c r="R50" s="11" t="str">
        <f t="shared" si="2"/>
        <v/>
      </c>
      <c r="S50" s="55">
        <f t="shared" si="4"/>
        <v>95.37107545</v>
      </c>
    </row>
    <row r="51">
      <c r="A51" s="1" t="s">
        <v>457</v>
      </c>
      <c r="B51" s="52">
        <v>1.0490182E7</v>
      </c>
      <c r="C51" s="53">
        <v>17282.01</v>
      </c>
      <c r="D51" s="53">
        <v>2098037.0</v>
      </c>
      <c r="E51" s="52">
        <v>1500388.0</v>
      </c>
      <c r="F51" s="52">
        <v>3002397.0</v>
      </c>
      <c r="G51" s="1">
        <v>5.0</v>
      </c>
      <c r="H51" s="1">
        <v>5.0</v>
      </c>
      <c r="I51" s="1">
        <v>100.0</v>
      </c>
      <c r="J51" s="1">
        <v>110.5</v>
      </c>
      <c r="K51" s="26">
        <v>1.0</v>
      </c>
      <c r="L51" s="1" t="s">
        <v>226</v>
      </c>
      <c r="M51" s="1" t="s">
        <v>210</v>
      </c>
      <c r="N51" s="1">
        <v>2.0</v>
      </c>
      <c r="O51" s="11"/>
      <c r="P51" s="11">
        <f t="shared" si="1"/>
        <v>10.09637568</v>
      </c>
      <c r="Q51" s="11">
        <f t="shared" si="3"/>
        <v>8.556050548</v>
      </c>
      <c r="R51" s="11" t="str">
        <f t="shared" si="2"/>
        <v/>
      </c>
      <c r="S51" s="55">
        <f t="shared" si="4"/>
        <v>58.28226768</v>
      </c>
    </row>
    <row r="52">
      <c r="A52" s="1" t="s">
        <v>233</v>
      </c>
      <c r="B52" s="52">
        <v>8768467.0</v>
      </c>
      <c r="C52" s="53">
        <v>14445.58</v>
      </c>
      <c r="D52" s="53">
        <v>1461411.0</v>
      </c>
      <c r="E52" s="52">
        <v>996627.0</v>
      </c>
      <c r="F52" s="52">
        <v>1967267.0</v>
      </c>
      <c r="G52" s="27">
        <v>6.0</v>
      </c>
      <c r="H52" s="27">
        <v>6.0</v>
      </c>
      <c r="I52" s="1">
        <v>100.0</v>
      </c>
      <c r="J52" s="1">
        <v>84.4</v>
      </c>
      <c r="K52" s="26">
        <v>1.0</v>
      </c>
      <c r="L52" s="1" t="s">
        <v>818</v>
      </c>
      <c r="M52" s="1" t="s">
        <v>187</v>
      </c>
      <c r="N52" s="1">
        <v>3.0</v>
      </c>
      <c r="O52" s="11"/>
      <c r="P52" s="11">
        <f t="shared" si="1"/>
        <v>8.439296273</v>
      </c>
      <c r="Q52" s="11" t="str">
        <f t="shared" si="3"/>
        <v/>
      </c>
      <c r="R52" s="11" t="str">
        <f t="shared" si="2"/>
        <v/>
      </c>
      <c r="S52" s="55" t="str">
        <f t="shared" si="4"/>
        <v/>
      </c>
    </row>
    <row r="53">
      <c r="A53" s="1" t="s">
        <v>461</v>
      </c>
      <c r="B53" s="52">
        <v>4133944.0</v>
      </c>
      <c r="C53" s="53">
        <v>6810.45</v>
      </c>
      <c r="D53" s="53">
        <v>2066972.0</v>
      </c>
      <c r="E53" s="52">
        <v>1405033.0</v>
      </c>
      <c r="F53" s="52">
        <v>2728911.0</v>
      </c>
      <c r="G53" s="1">
        <v>2.0</v>
      </c>
      <c r="H53" s="1">
        <v>2.0</v>
      </c>
      <c r="I53" s="1">
        <v>100.0</v>
      </c>
      <c r="J53" s="1">
        <v>86.0</v>
      </c>
      <c r="K53" s="26">
        <v>1.0</v>
      </c>
      <c r="L53" s="1" t="s">
        <v>466</v>
      </c>
      <c r="M53" s="1" t="s">
        <v>190</v>
      </c>
      <c r="N53" s="1">
        <v>2.0</v>
      </c>
      <c r="O53" s="11"/>
      <c r="P53" s="11">
        <f t="shared" si="1"/>
        <v>3.978753729</v>
      </c>
      <c r="Q53" s="11">
        <f t="shared" si="3"/>
        <v>3.371746368</v>
      </c>
      <c r="R53" s="11" t="str">
        <f t="shared" si="2"/>
        <v/>
      </c>
      <c r="S53" s="55">
        <f t="shared" si="4"/>
        <v>22.96772597</v>
      </c>
    </row>
    <row r="54">
      <c r="A54" s="1" t="s">
        <v>465</v>
      </c>
      <c r="B54" s="52">
        <v>804299.0</v>
      </c>
      <c r="C54" s="53">
        <v>1325.04</v>
      </c>
      <c r="D54" s="53">
        <v>804299.0</v>
      </c>
      <c r="E54" s="52">
        <v>804299.0</v>
      </c>
      <c r="F54" s="52">
        <v>804299.0</v>
      </c>
      <c r="G54" s="1">
        <v>1.0</v>
      </c>
      <c r="H54" s="1">
        <v>1.0</v>
      </c>
      <c r="I54" s="1">
        <v>100.0</v>
      </c>
      <c r="J54" s="1" t="s">
        <v>223</v>
      </c>
      <c r="K54" s="26">
        <v>1.0</v>
      </c>
      <c r="L54" s="1" t="s">
        <v>226</v>
      </c>
      <c r="M54" s="1" t="s">
        <v>210</v>
      </c>
      <c r="N54" s="1">
        <v>2.0</v>
      </c>
      <c r="O54" s="11"/>
      <c r="P54" s="11">
        <f t="shared" si="1"/>
        <v>0.7741056526</v>
      </c>
      <c r="Q54" s="11">
        <f t="shared" si="3"/>
        <v>0.6560064031</v>
      </c>
      <c r="R54" s="11" t="str">
        <f t="shared" si="2"/>
        <v/>
      </c>
      <c r="S54" s="55">
        <f t="shared" si="4"/>
        <v>4.46859688</v>
      </c>
    </row>
    <row r="55">
      <c r="A55" s="1" t="s">
        <v>202</v>
      </c>
      <c r="B55" s="27">
        <v>5.84380085E8</v>
      </c>
      <c r="C55" s="61">
        <v>962734.9</v>
      </c>
      <c r="D55" s="61">
        <v>596915.3</v>
      </c>
      <c r="E55" s="27">
        <v>215369.0</v>
      </c>
      <c r="F55" s="27">
        <v>3513832.0</v>
      </c>
      <c r="G55" s="1">
        <v>979.0</v>
      </c>
      <c r="H55" s="1">
        <v>979.0</v>
      </c>
      <c r="I55" s="1">
        <v>100.0</v>
      </c>
      <c r="J55" s="1">
        <v>1.36</v>
      </c>
      <c r="K55" s="26">
        <v>1.0</v>
      </c>
      <c r="L55" s="1" t="s">
        <v>819</v>
      </c>
      <c r="M55" s="1" t="s">
        <v>190</v>
      </c>
      <c r="N55" s="1">
        <v>5.0</v>
      </c>
      <c r="P55" s="11" t="str">
        <f t="shared" si="1"/>
        <v/>
      </c>
      <c r="Q55" s="11">
        <f t="shared" si="3"/>
        <v>476.634863</v>
      </c>
      <c r="S55" s="55">
        <f t="shared" si="4"/>
        <v>3246.750415</v>
      </c>
    </row>
    <row r="56">
      <c r="A56" s="1"/>
      <c r="B56" s="52"/>
      <c r="C56" s="53"/>
      <c r="D56" s="53"/>
      <c r="E56" s="52"/>
      <c r="F56" s="52"/>
      <c r="G56" s="1"/>
      <c r="H56" s="1"/>
      <c r="I56" s="1"/>
      <c r="J56" s="1"/>
      <c r="K56" s="26"/>
      <c r="L56" s="1"/>
      <c r="M56" s="1"/>
      <c r="N56" s="1"/>
      <c r="O56" s="11"/>
      <c r="P56" s="11">
        <f t="shared" si="1"/>
        <v>0</v>
      </c>
      <c r="Q56" s="11" t="str">
        <f t="shared" si="3"/>
        <v/>
      </c>
      <c r="R56" s="11" t="str">
        <f>if($N56=1,$C56*((1+E$2+1%)/(1+E$2)-1),"")</f>
        <v/>
      </c>
      <c r="S56" s="55">
        <f t="shared" si="4"/>
        <v>0</v>
      </c>
    </row>
    <row r="57">
      <c r="A57" s="1"/>
      <c r="B57" s="52"/>
      <c r="C57" s="53"/>
      <c r="D57" s="53"/>
      <c r="E57" s="52"/>
      <c r="F57" s="52"/>
      <c r="G57" s="1"/>
      <c r="H57" s="1"/>
      <c r="I57" s="1"/>
      <c r="J57" s="1"/>
      <c r="K57" s="26"/>
      <c r="L57" s="1"/>
      <c r="M57" s="1"/>
      <c r="N57" s="1"/>
      <c r="O57" s="11"/>
      <c r="P57" s="11"/>
      <c r="Q57" s="11"/>
      <c r="R57" s="11"/>
      <c r="S57" s="55"/>
    </row>
    <row r="58">
      <c r="A58" s="1"/>
      <c r="B58" s="52"/>
      <c r="C58" s="53"/>
      <c r="D58" s="53"/>
      <c r="E58" s="52"/>
      <c r="F58" s="52"/>
      <c r="G58" s="1"/>
      <c r="H58" s="1"/>
      <c r="I58" s="1"/>
      <c r="J58" s="1"/>
      <c r="K58" s="26"/>
      <c r="L58" s="1"/>
      <c r="M58" s="1"/>
      <c r="N58" s="1"/>
      <c r="O58" s="11"/>
      <c r="P58" s="11"/>
      <c r="Q58" s="11"/>
      <c r="R58" s="11"/>
      <c r="S58" s="55"/>
    </row>
    <row r="59">
      <c r="A59" s="1"/>
      <c r="B59" s="52"/>
      <c r="C59" s="53"/>
      <c r="D59" s="53"/>
      <c r="E59" s="52"/>
      <c r="F59" s="52"/>
      <c r="G59" s="1"/>
      <c r="H59" s="1"/>
      <c r="I59" s="1"/>
      <c r="J59" s="1"/>
      <c r="K59" s="26"/>
      <c r="L59" s="1"/>
      <c r="M59" s="1"/>
      <c r="N59" s="1"/>
      <c r="O59" s="11"/>
      <c r="P59" s="11"/>
      <c r="Q59" s="11"/>
      <c r="R59" s="11"/>
      <c r="S59" s="55"/>
    </row>
    <row r="60">
      <c r="A60" s="1"/>
      <c r="B60" s="52"/>
      <c r="C60" s="53"/>
      <c r="D60" s="53"/>
      <c r="E60" s="52"/>
      <c r="F60" s="52"/>
      <c r="G60" s="1"/>
      <c r="H60" s="1"/>
      <c r="I60" s="1"/>
      <c r="J60" s="1"/>
      <c r="K60" s="26"/>
      <c r="L60" s="1"/>
      <c r="M60" s="1"/>
      <c r="N60" s="1"/>
      <c r="O60" s="11"/>
      <c r="P60" s="11"/>
      <c r="Q60" s="11"/>
      <c r="R60" s="11"/>
      <c r="S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11"/>
      <c r="P61" s="11"/>
      <c r="Q61" s="11"/>
      <c r="R61" s="11"/>
      <c r="S61" s="55"/>
    </row>
    <row r="62">
      <c r="A62" s="1"/>
      <c r="B62" s="52"/>
      <c r="C62" s="53"/>
      <c r="D62" s="53"/>
      <c r="E62" s="52"/>
      <c r="F62" s="52"/>
      <c r="G62" s="1"/>
      <c r="H62" s="1"/>
      <c r="I62" s="1"/>
      <c r="J62" s="1"/>
      <c r="K62" s="26"/>
      <c r="L62" s="1"/>
      <c r="M62" s="1"/>
      <c r="N62" s="1"/>
      <c r="O62" s="11"/>
      <c r="P62" s="11"/>
      <c r="Q62" s="11"/>
      <c r="R62" s="11"/>
      <c r="S62" s="55"/>
    </row>
    <row r="63">
      <c r="A63" s="1"/>
      <c r="B63" s="52"/>
      <c r="C63" s="53"/>
      <c r="D63" s="53"/>
      <c r="E63" s="52"/>
      <c r="F63" s="52"/>
      <c r="G63" s="1"/>
      <c r="H63" s="1"/>
      <c r="I63" s="1"/>
      <c r="J63" s="1"/>
      <c r="K63" s="26"/>
      <c r="L63" s="1"/>
      <c r="M63" s="1"/>
      <c r="N63" s="1"/>
      <c r="O63" s="11"/>
      <c r="P63" s="11"/>
      <c r="Q63" s="11"/>
      <c r="R63" s="11"/>
      <c r="S63" s="55"/>
    </row>
    <row r="64">
      <c r="A64" s="1"/>
      <c r="B64" s="52"/>
      <c r="C64" s="53"/>
      <c r="D64" s="53"/>
      <c r="E64" s="52"/>
      <c r="F64" s="52"/>
      <c r="G64" s="1"/>
      <c r="H64" s="1"/>
      <c r="I64" s="1"/>
      <c r="J64" s="1"/>
      <c r="K64" s="26"/>
      <c r="L64" s="1"/>
      <c r="M64" s="1"/>
      <c r="N64" s="1"/>
      <c r="O64" s="11"/>
      <c r="P64" s="11"/>
      <c r="Q64" s="11"/>
      <c r="R64" s="11"/>
      <c r="S64" s="55"/>
    </row>
    <row r="65">
      <c r="A65" s="1"/>
      <c r="B65" s="52"/>
      <c r="C65" s="53"/>
      <c r="D65" s="53"/>
      <c r="E65" s="52"/>
      <c r="F65" s="52"/>
      <c r="G65" s="1"/>
      <c r="H65" s="1"/>
      <c r="I65" s="1"/>
      <c r="J65" s="1"/>
      <c r="K65" s="26"/>
      <c r="L65" s="1"/>
      <c r="M65" s="1"/>
      <c r="N65" s="1"/>
      <c r="O65" s="11"/>
      <c r="P65" s="11"/>
      <c r="Q65" s="11"/>
      <c r="R65" s="11"/>
      <c r="S65" s="55"/>
    </row>
    <row r="66">
      <c r="A66" s="1"/>
      <c r="B66" s="52"/>
      <c r="C66" s="53"/>
      <c r="D66" s="53"/>
      <c r="E66" s="52"/>
      <c r="F66" s="52"/>
      <c r="G66" s="1"/>
      <c r="H66" s="1"/>
      <c r="I66" s="1"/>
      <c r="J66" s="1"/>
      <c r="K66" s="26"/>
      <c r="L66" s="1"/>
      <c r="M66" s="1"/>
      <c r="N66" s="1"/>
      <c r="O66" s="11"/>
      <c r="P66" s="11"/>
      <c r="Q66" s="11"/>
      <c r="R66" s="11"/>
      <c r="S66" s="55"/>
    </row>
    <row r="67" ht="15.0" customHeight="1">
      <c r="A67" s="1"/>
      <c r="B67" s="52"/>
      <c r="C67" s="53"/>
      <c r="D67" s="53"/>
      <c r="E67" s="52"/>
      <c r="F67" s="52"/>
      <c r="G67" s="1"/>
      <c r="H67" s="1"/>
      <c r="I67" s="1"/>
      <c r="J67" s="1"/>
      <c r="K67" s="26"/>
      <c r="L67" s="1"/>
      <c r="M67" s="1"/>
      <c r="N67" s="1"/>
      <c r="O67" s="11"/>
      <c r="P67" s="11"/>
      <c r="Q67" s="11"/>
      <c r="R67" s="11"/>
      <c r="S67" s="55"/>
    </row>
    <row r="68">
      <c r="A68" s="1"/>
      <c r="B68" s="52"/>
      <c r="C68" s="53"/>
      <c r="D68" s="53"/>
      <c r="E68" s="52"/>
      <c r="F68" s="52"/>
      <c r="G68" s="1"/>
      <c r="H68" s="1"/>
      <c r="I68" s="1"/>
      <c r="J68" s="1"/>
      <c r="K68" s="26"/>
      <c r="L68" s="1"/>
      <c r="M68" s="1"/>
      <c r="N68" s="1"/>
      <c r="O68" s="11"/>
      <c r="P68" s="11"/>
      <c r="Q68" s="11"/>
      <c r="R68" s="11"/>
      <c r="S68" s="55"/>
    </row>
    <row r="69">
      <c r="A69" s="1"/>
      <c r="B69" s="52"/>
      <c r="C69" s="1"/>
      <c r="D69" s="53"/>
      <c r="E69" s="52"/>
      <c r="F69" s="52"/>
      <c r="G69" s="1"/>
      <c r="H69" s="1"/>
      <c r="I69" s="1"/>
      <c r="J69" s="1"/>
      <c r="K69" s="26"/>
      <c r="L69" s="1"/>
      <c r="M69" s="1"/>
      <c r="N69" s="1"/>
      <c r="O69" s="11"/>
      <c r="P69" s="11"/>
      <c r="Q69" s="11"/>
      <c r="R69" s="11"/>
      <c r="S69" s="55"/>
    </row>
    <row r="70">
      <c r="A70" s="1"/>
      <c r="B70" s="52"/>
      <c r="C70" s="1"/>
      <c r="D70" s="53"/>
      <c r="E70" s="52"/>
      <c r="F70" s="52"/>
      <c r="G70" s="1"/>
      <c r="H70" s="1"/>
      <c r="I70" s="1"/>
      <c r="J70" s="1"/>
      <c r="K70" s="26"/>
      <c r="L70" s="1"/>
      <c r="M70" s="1"/>
      <c r="N70" s="1"/>
      <c r="O70" s="11"/>
      <c r="P70" s="11"/>
      <c r="Q70" s="11"/>
      <c r="R70" s="11"/>
      <c r="S70" s="55"/>
    </row>
    <row r="71">
      <c r="A71" s="1"/>
      <c r="B71" s="52"/>
      <c r="C71" s="1"/>
      <c r="D71" s="53"/>
      <c r="E71" s="52"/>
      <c r="F71" s="52"/>
      <c r="G71" s="1"/>
      <c r="H71" s="1"/>
      <c r="I71" s="1"/>
      <c r="J71" s="1"/>
      <c r="K71" s="26"/>
      <c r="L71" s="1"/>
      <c r="M71" s="1"/>
      <c r="N71" s="1"/>
      <c r="O71" s="11"/>
      <c r="P71" s="11"/>
      <c r="Q71" s="11"/>
      <c r="R71" s="11"/>
      <c r="S71" s="55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5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131</v>
      </c>
      <c r="B1" s="49" t="s">
        <v>89</v>
      </c>
      <c r="C1" s="49" t="s">
        <v>132</v>
      </c>
      <c r="D1" s="49" t="s">
        <v>111</v>
      </c>
      <c r="E1" s="49" t="s">
        <v>133</v>
      </c>
      <c r="F1" s="49" t="s">
        <v>134</v>
      </c>
      <c r="G1" s="49" t="s">
        <v>135</v>
      </c>
      <c r="H1" s="49" t="s">
        <v>136</v>
      </c>
      <c r="I1" s="49" t="s">
        <v>137</v>
      </c>
      <c r="J1" s="49" t="s">
        <v>138</v>
      </c>
      <c r="K1" s="49" t="s">
        <v>28</v>
      </c>
      <c r="L1" s="49" t="s">
        <v>139</v>
      </c>
      <c r="M1" s="49" t="s">
        <v>140</v>
      </c>
      <c r="N1" s="49" t="s">
        <v>141</v>
      </c>
    </row>
    <row r="2">
      <c r="A2" s="1" t="s">
        <v>146</v>
      </c>
      <c r="B2" s="27">
        <v>8.0227656899E10</v>
      </c>
      <c r="C2" s="61">
        <v>1.3217076919E8</v>
      </c>
      <c r="D2" s="61">
        <v>2104829.0</v>
      </c>
      <c r="E2" s="27">
        <v>1148.0</v>
      </c>
      <c r="F2" s="27">
        <v>3.02348197E8</v>
      </c>
      <c r="G2" s="27">
        <v>38116.0</v>
      </c>
      <c r="H2" s="27">
        <v>38276.0</v>
      </c>
      <c r="I2" s="1">
        <v>99.58</v>
      </c>
      <c r="J2" s="1">
        <v>1.0</v>
      </c>
      <c r="K2" s="26">
        <v>0.94</v>
      </c>
      <c r="L2" s="1" t="s">
        <v>820</v>
      </c>
      <c r="M2" s="1" t="s">
        <v>146</v>
      </c>
      <c r="N2" s="1">
        <v>100.0</v>
      </c>
      <c r="O2" s="1" t="s">
        <v>821</v>
      </c>
      <c r="P2" s="1" t="s">
        <v>822</v>
      </c>
      <c r="Q2" s="1" t="s">
        <v>823</v>
      </c>
    </row>
    <row r="3">
      <c r="A3" s="1" t="s">
        <v>148</v>
      </c>
      <c r="B3" s="27">
        <v>7.572647479E9</v>
      </c>
      <c r="C3" s="61">
        <v>1.247553127E7</v>
      </c>
      <c r="D3" s="61">
        <v>1.869789E7</v>
      </c>
      <c r="E3" s="27">
        <v>1504.0</v>
      </c>
      <c r="F3" s="27">
        <v>7.1673716E7</v>
      </c>
      <c r="G3" s="1">
        <v>405.0</v>
      </c>
      <c r="H3" s="1">
        <v>405.0</v>
      </c>
      <c r="I3" s="1">
        <v>100.0</v>
      </c>
      <c r="J3" s="1">
        <v>2.03</v>
      </c>
      <c r="K3" s="26">
        <v>0.0</v>
      </c>
      <c r="L3" s="1" t="s">
        <v>149</v>
      </c>
      <c r="M3" s="1" t="s">
        <v>150</v>
      </c>
      <c r="N3" s="1">
        <v>2.0</v>
      </c>
      <c r="O3" t="str">
        <f t="shared" ref="O3:O171" si="1">if(M3="physical",C3," ")</f>
        <v> </v>
      </c>
      <c r="P3" s="101">
        <f t="shared" ref="P3:P171" si="2">if(O3=" ",C3," ")</f>
        <v>12475531.27</v>
      </c>
      <c r="Q3" t="str">
        <f t="shared" ref="Q3:Q171" si="3">if(M3="physical"," ",if(N3=1,C3," "))</f>
        <v> </v>
      </c>
    </row>
    <row r="4">
      <c r="A4" s="1" t="s">
        <v>170</v>
      </c>
      <c r="B4" s="27">
        <v>5.564971978E9</v>
      </c>
      <c r="C4" s="61">
        <v>9167993.37</v>
      </c>
      <c r="D4" s="61">
        <v>2905991.0</v>
      </c>
      <c r="E4" s="27">
        <v>685830.0</v>
      </c>
      <c r="F4" s="27">
        <v>1.1952858E7</v>
      </c>
      <c r="G4" s="27">
        <v>1915.0</v>
      </c>
      <c r="H4" s="27">
        <v>1915.0</v>
      </c>
      <c r="I4" s="1">
        <v>100.0</v>
      </c>
      <c r="J4" s="1">
        <v>1.72</v>
      </c>
      <c r="K4" s="26">
        <v>1.0</v>
      </c>
      <c r="L4" s="1" t="s">
        <v>824</v>
      </c>
      <c r="M4" s="1" t="s">
        <v>172</v>
      </c>
      <c r="N4" s="1">
        <v>1.0</v>
      </c>
      <c r="O4" t="str">
        <f t="shared" si="1"/>
        <v> </v>
      </c>
      <c r="P4" s="101">
        <f t="shared" si="2"/>
        <v>9167993.37</v>
      </c>
      <c r="Q4" s="101">
        <f t="shared" si="3"/>
        <v>9167993.37</v>
      </c>
    </row>
    <row r="5">
      <c r="A5" s="1" t="s">
        <v>150</v>
      </c>
      <c r="B5" s="27">
        <v>4.67102457E9</v>
      </c>
      <c r="C5" s="61">
        <v>7695262.88</v>
      </c>
      <c r="D5" s="61">
        <v>2204353.0</v>
      </c>
      <c r="E5" s="27">
        <v>527181.0</v>
      </c>
      <c r="F5" s="27">
        <v>9365242.0</v>
      </c>
      <c r="G5" s="27">
        <v>2119.0</v>
      </c>
      <c r="H5" s="27">
        <v>2119.0</v>
      </c>
      <c r="I5" s="1">
        <v>100.0</v>
      </c>
      <c r="J5" s="1">
        <v>1.78</v>
      </c>
      <c r="K5" s="26">
        <v>1.0</v>
      </c>
      <c r="L5" s="1" t="s">
        <v>825</v>
      </c>
      <c r="M5" s="1" t="s">
        <v>150</v>
      </c>
      <c r="N5" s="1">
        <v>1.0</v>
      </c>
      <c r="O5" t="str">
        <f t="shared" si="1"/>
        <v> </v>
      </c>
      <c r="P5" s="101">
        <f t="shared" si="2"/>
        <v>7695262.88</v>
      </c>
      <c r="Q5" s="101">
        <f t="shared" si="3"/>
        <v>7695262.88</v>
      </c>
    </row>
    <row r="6">
      <c r="A6" s="1" t="s">
        <v>155</v>
      </c>
      <c r="B6" s="27">
        <v>4.498450221E9</v>
      </c>
      <c r="C6" s="61">
        <v>7410955.88</v>
      </c>
      <c r="D6" s="61">
        <v>3751835.0</v>
      </c>
      <c r="E6" s="27">
        <v>83692.0</v>
      </c>
      <c r="F6" s="27">
        <v>1.02664183E8</v>
      </c>
      <c r="G6" s="27">
        <v>1199.0</v>
      </c>
      <c r="H6" s="27">
        <v>1199.0</v>
      </c>
      <c r="I6" s="1">
        <v>100.0</v>
      </c>
      <c r="J6" s="1">
        <v>1.55</v>
      </c>
      <c r="K6" s="26">
        <v>0.0</v>
      </c>
      <c r="L6" s="1" t="s">
        <v>149</v>
      </c>
      <c r="M6" s="1" t="s">
        <v>826</v>
      </c>
      <c r="N6" s="1">
        <v>2.0</v>
      </c>
      <c r="O6" s="101">
        <f t="shared" si="1"/>
        <v>7410955.88</v>
      </c>
      <c r="P6" t="str">
        <f t="shared" si="2"/>
        <v> </v>
      </c>
      <c r="Q6" t="str">
        <f t="shared" si="3"/>
        <v> </v>
      </c>
    </row>
    <row r="7">
      <c r="A7" s="1" t="s">
        <v>243</v>
      </c>
      <c r="B7" s="27">
        <v>4.403455924E9</v>
      </c>
      <c r="C7" s="61">
        <v>7254457.86</v>
      </c>
      <c r="D7" s="61">
        <v>2588746.0</v>
      </c>
      <c r="E7" s="27">
        <v>13435.0</v>
      </c>
      <c r="F7" s="27">
        <v>1.5744358E7</v>
      </c>
      <c r="G7" s="27">
        <v>1701.0</v>
      </c>
      <c r="H7" s="27">
        <v>1758.0</v>
      </c>
      <c r="I7" s="1">
        <v>96.76</v>
      </c>
      <c r="J7" s="1">
        <v>1.86</v>
      </c>
      <c r="K7" s="26">
        <v>1.0</v>
      </c>
      <c r="L7" s="1" t="s">
        <v>827</v>
      </c>
      <c r="M7" s="1" t="s">
        <v>826</v>
      </c>
      <c r="N7" s="1">
        <v>1.0</v>
      </c>
      <c r="O7" s="101">
        <f t="shared" si="1"/>
        <v>7254457.86</v>
      </c>
      <c r="P7" t="str">
        <f t="shared" si="2"/>
        <v> </v>
      </c>
      <c r="Q7" t="str">
        <f t="shared" si="3"/>
        <v> </v>
      </c>
    </row>
    <row r="8">
      <c r="A8" s="1" t="s">
        <v>152</v>
      </c>
      <c r="B8" s="27">
        <v>3.609675476E9</v>
      </c>
      <c r="C8" s="61">
        <v>5946747.08</v>
      </c>
      <c r="D8" s="61">
        <v>3936397.0</v>
      </c>
      <c r="E8" s="27">
        <v>1381372.0</v>
      </c>
      <c r="F8" s="27">
        <v>1.6072687E7</v>
      </c>
      <c r="G8" s="1">
        <v>917.0</v>
      </c>
      <c r="H8" s="1">
        <v>917.0</v>
      </c>
      <c r="I8" s="1">
        <v>100.0</v>
      </c>
      <c r="J8" s="1">
        <v>3.01</v>
      </c>
      <c r="K8" s="26">
        <v>1.0</v>
      </c>
      <c r="L8" s="1" t="s">
        <v>728</v>
      </c>
      <c r="M8" s="1" t="s">
        <v>154</v>
      </c>
      <c r="N8" s="1">
        <v>1.0</v>
      </c>
      <c r="O8" t="str">
        <f t="shared" si="1"/>
        <v> </v>
      </c>
      <c r="P8" s="101">
        <f t="shared" si="2"/>
        <v>5946747.08</v>
      </c>
      <c r="Q8" s="101">
        <f t="shared" si="3"/>
        <v>5946747.08</v>
      </c>
    </row>
    <row r="9">
      <c r="A9" s="1" t="s">
        <v>248</v>
      </c>
      <c r="B9" s="27">
        <v>3.359186085E9</v>
      </c>
      <c r="C9" s="61">
        <v>5534079.22</v>
      </c>
      <c r="D9" s="61">
        <v>1.855904E7</v>
      </c>
      <c r="E9" s="27">
        <v>397916.0</v>
      </c>
      <c r="F9" s="27">
        <v>3.02348197E8</v>
      </c>
      <c r="G9" s="1">
        <v>181.0</v>
      </c>
      <c r="H9" s="1">
        <v>181.0</v>
      </c>
      <c r="I9" s="1">
        <v>100.0</v>
      </c>
      <c r="J9" s="1">
        <v>8.49</v>
      </c>
      <c r="K9" s="26">
        <v>0.0</v>
      </c>
      <c r="L9" s="1" t="s">
        <v>149</v>
      </c>
      <c r="M9" s="1" t="s">
        <v>182</v>
      </c>
      <c r="N9" s="1">
        <v>2.0</v>
      </c>
      <c r="O9" t="str">
        <f t="shared" si="1"/>
        <v> </v>
      </c>
      <c r="P9" s="101">
        <f t="shared" si="2"/>
        <v>5534079.22</v>
      </c>
      <c r="Q9" t="str">
        <f t="shared" si="3"/>
        <v> </v>
      </c>
    </row>
    <row r="10">
      <c r="A10" s="1" t="s">
        <v>157</v>
      </c>
      <c r="B10" s="27">
        <v>2.969905732E9</v>
      </c>
      <c r="C10" s="61">
        <v>4892760.68</v>
      </c>
      <c r="D10" s="61">
        <v>3535602.0</v>
      </c>
      <c r="E10" s="27">
        <v>1165482.0</v>
      </c>
      <c r="F10" s="27">
        <v>2.738242E7</v>
      </c>
      <c r="G10" s="1">
        <v>840.0</v>
      </c>
      <c r="H10" s="1">
        <v>840.0</v>
      </c>
      <c r="I10" s="1">
        <v>100.0</v>
      </c>
      <c r="J10" s="1">
        <v>9.16</v>
      </c>
      <c r="K10" s="26">
        <v>1.0</v>
      </c>
      <c r="L10" s="1" t="s">
        <v>828</v>
      </c>
      <c r="M10" s="1" t="s">
        <v>826</v>
      </c>
      <c r="N10" s="1">
        <v>2.0</v>
      </c>
      <c r="O10" s="101">
        <f t="shared" si="1"/>
        <v>4892760.68</v>
      </c>
      <c r="P10" t="str">
        <f t="shared" si="2"/>
        <v> </v>
      </c>
      <c r="Q10" t="str">
        <f t="shared" si="3"/>
        <v> </v>
      </c>
    </row>
    <row r="11">
      <c r="A11" s="1" t="s">
        <v>250</v>
      </c>
      <c r="B11" s="27">
        <v>2.57366785E9</v>
      </c>
      <c r="C11" s="61">
        <v>4239979.98</v>
      </c>
      <c r="D11" s="61">
        <v>1621719.0</v>
      </c>
      <c r="E11" s="27">
        <v>74264.0</v>
      </c>
      <c r="F11" s="27">
        <v>1.3700498E7</v>
      </c>
      <c r="G11" s="27">
        <v>1587.0</v>
      </c>
      <c r="H11" s="27">
        <v>1653.0</v>
      </c>
      <c r="I11" s="1">
        <v>96.01</v>
      </c>
      <c r="J11" s="1">
        <v>1.35</v>
      </c>
      <c r="K11" s="26">
        <v>1.0</v>
      </c>
      <c r="L11" s="1" t="s">
        <v>829</v>
      </c>
      <c r="M11" s="1" t="s">
        <v>826</v>
      </c>
      <c r="N11" s="1">
        <v>1.0</v>
      </c>
      <c r="O11" s="101">
        <f t="shared" si="1"/>
        <v>4239979.98</v>
      </c>
      <c r="P11" t="str">
        <f t="shared" si="2"/>
        <v> </v>
      </c>
      <c r="Q11" t="str">
        <f t="shared" si="3"/>
        <v> </v>
      </c>
    </row>
    <row r="12">
      <c r="A12" s="1" t="s">
        <v>159</v>
      </c>
      <c r="B12" s="27">
        <v>1.797501302E9</v>
      </c>
      <c r="C12" s="61">
        <v>2961287.15</v>
      </c>
      <c r="D12" s="61">
        <v>9.986118E7</v>
      </c>
      <c r="E12" s="27">
        <v>5.0508758E7</v>
      </c>
      <c r="F12" s="27">
        <v>2.29284534E8</v>
      </c>
      <c r="G12" s="1">
        <v>18.0</v>
      </c>
      <c r="H12" s="1">
        <v>18.0</v>
      </c>
      <c r="I12" s="1">
        <v>100.0</v>
      </c>
      <c r="J12" s="1">
        <v>34.47</v>
      </c>
      <c r="K12" s="26">
        <v>1.0</v>
      </c>
      <c r="L12" s="1" t="s">
        <v>548</v>
      </c>
      <c r="M12" s="1" t="s">
        <v>826</v>
      </c>
      <c r="N12" s="1">
        <v>2.0</v>
      </c>
      <c r="O12" s="101">
        <f t="shared" si="1"/>
        <v>2961287.15</v>
      </c>
      <c r="P12" t="str">
        <f t="shared" si="2"/>
        <v> </v>
      </c>
      <c r="Q12" t="str">
        <f t="shared" si="3"/>
        <v> </v>
      </c>
    </row>
    <row r="13">
      <c r="A13" s="1" t="s">
        <v>174</v>
      </c>
      <c r="B13" s="27">
        <v>1.665722352E9</v>
      </c>
      <c r="C13" s="61">
        <v>2744188.39</v>
      </c>
      <c r="D13" s="61">
        <v>1348763.0</v>
      </c>
      <c r="E13" s="27">
        <v>390974.0</v>
      </c>
      <c r="F13" s="27">
        <v>7233806.0</v>
      </c>
      <c r="G13" s="27">
        <v>1235.0</v>
      </c>
      <c r="H13" s="27">
        <v>1235.0</v>
      </c>
      <c r="I13" s="1">
        <v>100.0</v>
      </c>
      <c r="J13" s="1">
        <v>1.09</v>
      </c>
      <c r="K13" s="26">
        <v>1.0</v>
      </c>
      <c r="L13" s="1" t="s">
        <v>596</v>
      </c>
      <c r="M13" s="1" t="s">
        <v>150</v>
      </c>
      <c r="N13" s="1">
        <v>2.0</v>
      </c>
      <c r="O13" t="str">
        <f t="shared" si="1"/>
        <v> </v>
      </c>
      <c r="P13" s="101">
        <f t="shared" si="2"/>
        <v>2744188.39</v>
      </c>
      <c r="Q13" t="str">
        <f t="shared" si="3"/>
        <v> </v>
      </c>
    </row>
    <row r="14">
      <c r="A14" s="1" t="s">
        <v>174</v>
      </c>
      <c r="B14" s="27">
        <v>1.665722352E9</v>
      </c>
      <c r="C14" s="61">
        <v>2744188.39</v>
      </c>
      <c r="D14" s="61">
        <v>1348763.0</v>
      </c>
      <c r="E14" s="27">
        <v>390974.0</v>
      </c>
      <c r="F14" s="27">
        <v>7233806.0</v>
      </c>
      <c r="G14" s="27">
        <v>1235.0</v>
      </c>
      <c r="H14" s="27">
        <v>1235.0</v>
      </c>
      <c r="I14" s="1">
        <v>100.0</v>
      </c>
      <c r="J14" s="1">
        <v>1.09</v>
      </c>
      <c r="K14" s="26">
        <v>1.0</v>
      </c>
      <c r="L14" s="1" t="s">
        <v>596</v>
      </c>
      <c r="M14" s="1" t="s">
        <v>150</v>
      </c>
      <c r="N14" s="1">
        <v>5.0</v>
      </c>
      <c r="O14" t="str">
        <f t="shared" si="1"/>
        <v> </v>
      </c>
      <c r="P14" s="101">
        <f t="shared" si="2"/>
        <v>2744188.39</v>
      </c>
      <c r="Q14" t="str">
        <f t="shared" si="3"/>
        <v> </v>
      </c>
    </row>
    <row r="15">
      <c r="A15" s="1" t="s">
        <v>252</v>
      </c>
      <c r="B15" s="27">
        <v>1.653397154E9</v>
      </c>
      <c r="C15" s="61">
        <v>2723883.29</v>
      </c>
      <c r="D15" s="61">
        <v>5.90499E7</v>
      </c>
      <c r="E15" s="27">
        <v>2.9964113E7</v>
      </c>
      <c r="F15" s="27">
        <v>1.1659299E8</v>
      </c>
      <c r="G15" s="1">
        <v>28.0</v>
      </c>
      <c r="H15" s="1">
        <v>28.0</v>
      </c>
      <c r="I15" s="1">
        <v>100.0</v>
      </c>
      <c r="J15" s="1">
        <v>44.92</v>
      </c>
      <c r="K15" s="26">
        <v>1.0</v>
      </c>
      <c r="L15" s="1" t="s">
        <v>549</v>
      </c>
      <c r="M15" s="1" t="s">
        <v>826</v>
      </c>
      <c r="N15" s="1">
        <v>2.0</v>
      </c>
      <c r="O15" s="101">
        <f t="shared" si="1"/>
        <v>2723883.29</v>
      </c>
      <c r="P15" t="str">
        <f t="shared" si="2"/>
        <v> </v>
      </c>
      <c r="Q15" t="str">
        <f t="shared" si="3"/>
        <v> </v>
      </c>
    </row>
    <row r="16">
      <c r="A16" s="1" t="s">
        <v>176</v>
      </c>
      <c r="B16" s="27">
        <v>1.46668042E9</v>
      </c>
      <c r="C16" s="61">
        <v>2416277.46</v>
      </c>
      <c r="D16" s="61">
        <v>1070570.0</v>
      </c>
      <c r="E16" s="27">
        <v>357917.0</v>
      </c>
      <c r="F16" s="27">
        <v>4073371.0</v>
      </c>
      <c r="G16" s="27">
        <v>1370.0</v>
      </c>
      <c r="H16" s="27">
        <v>1370.0</v>
      </c>
      <c r="I16" s="1">
        <v>100.0</v>
      </c>
      <c r="J16" s="1">
        <v>1.09</v>
      </c>
      <c r="K16" s="26">
        <v>1.0</v>
      </c>
      <c r="L16" s="1" t="s">
        <v>753</v>
      </c>
      <c r="M16" s="1" t="s">
        <v>826</v>
      </c>
      <c r="N16" s="1">
        <v>2.0</v>
      </c>
      <c r="O16" s="101">
        <f t="shared" si="1"/>
        <v>2416277.46</v>
      </c>
      <c r="P16" t="str">
        <f t="shared" si="2"/>
        <v> </v>
      </c>
      <c r="Q16" t="str">
        <f t="shared" si="3"/>
        <v> </v>
      </c>
    </row>
    <row r="17">
      <c r="A17" s="1" t="s">
        <v>176</v>
      </c>
      <c r="B17" s="27">
        <v>1.46668042E9</v>
      </c>
      <c r="C17" s="61">
        <v>2416277.46</v>
      </c>
      <c r="D17" s="61">
        <v>1070570.0</v>
      </c>
      <c r="E17" s="27">
        <v>357917.0</v>
      </c>
      <c r="F17" s="27">
        <v>4073371.0</v>
      </c>
      <c r="G17" s="27">
        <v>1370.0</v>
      </c>
      <c r="H17" s="27">
        <v>1370.0</v>
      </c>
      <c r="I17" s="1">
        <v>100.0</v>
      </c>
      <c r="J17" s="1">
        <v>1.09</v>
      </c>
      <c r="K17" s="26">
        <v>1.0</v>
      </c>
      <c r="L17" s="1" t="s">
        <v>753</v>
      </c>
      <c r="M17" s="1" t="s">
        <v>826</v>
      </c>
      <c r="N17" s="1">
        <v>5.0</v>
      </c>
      <c r="O17" s="101">
        <f t="shared" si="1"/>
        <v>2416277.46</v>
      </c>
      <c r="P17" t="str">
        <f t="shared" si="2"/>
        <v> </v>
      </c>
      <c r="Q17" t="str">
        <f t="shared" si="3"/>
        <v> </v>
      </c>
    </row>
    <row r="18">
      <c r="A18" s="1" t="s">
        <v>228</v>
      </c>
      <c r="B18" s="27">
        <v>1.444923976E9</v>
      </c>
      <c r="C18" s="61">
        <v>2380434.89</v>
      </c>
      <c r="D18" s="61">
        <v>4737456.0</v>
      </c>
      <c r="E18" s="27">
        <v>2895533.0</v>
      </c>
      <c r="F18" s="27">
        <v>7163908.0</v>
      </c>
      <c r="G18" s="1">
        <v>305.0</v>
      </c>
      <c r="H18" s="1">
        <v>305.0</v>
      </c>
      <c r="I18" s="1">
        <v>100.0</v>
      </c>
      <c r="J18" s="1">
        <v>9.71</v>
      </c>
      <c r="K18" s="26">
        <v>0.0</v>
      </c>
      <c r="L18" s="1" t="s">
        <v>149</v>
      </c>
      <c r="M18" s="1" t="s">
        <v>193</v>
      </c>
      <c r="N18" s="1">
        <v>2.0</v>
      </c>
      <c r="O18" t="str">
        <f t="shared" si="1"/>
        <v> </v>
      </c>
      <c r="P18" s="101">
        <f t="shared" si="2"/>
        <v>2380434.89</v>
      </c>
      <c r="Q18" t="str">
        <f t="shared" si="3"/>
        <v> </v>
      </c>
    </row>
    <row r="19">
      <c r="A19" s="1" t="s">
        <v>180</v>
      </c>
      <c r="B19" s="27">
        <v>1.403065981E9</v>
      </c>
      <c r="C19" s="61">
        <v>2311476.08</v>
      </c>
      <c r="D19" s="61">
        <v>926727.9</v>
      </c>
      <c r="E19" s="27">
        <v>444071.0</v>
      </c>
      <c r="F19" s="27">
        <v>3392001.0</v>
      </c>
      <c r="G19" s="27">
        <v>1514.0</v>
      </c>
      <c r="H19" s="27">
        <v>1514.0</v>
      </c>
      <c r="I19" s="1">
        <v>100.0</v>
      </c>
      <c r="J19" s="1">
        <v>2.38</v>
      </c>
      <c r="K19" s="26">
        <v>1.0</v>
      </c>
      <c r="L19" s="1" t="s">
        <v>701</v>
      </c>
      <c r="M19" s="1" t="s">
        <v>182</v>
      </c>
      <c r="N19" s="1">
        <v>2.0</v>
      </c>
      <c r="O19" t="str">
        <f t="shared" si="1"/>
        <v> </v>
      </c>
      <c r="P19" s="101">
        <f t="shared" si="2"/>
        <v>2311476.08</v>
      </c>
      <c r="Q19" t="str">
        <f t="shared" si="3"/>
        <v> </v>
      </c>
    </row>
    <row r="20">
      <c r="A20" s="1" t="s">
        <v>161</v>
      </c>
      <c r="B20" s="27">
        <v>1.26451538E9</v>
      </c>
      <c r="C20" s="61">
        <v>2083221.38</v>
      </c>
      <c r="D20" s="61">
        <v>2.039541E7</v>
      </c>
      <c r="E20" s="27">
        <v>2341959.0</v>
      </c>
      <c r="F20" s="27">
        <v>9.3483609E7</v>
      </c>
      <c r="G20" s="1">
        <v>62.0</v>
      </c>
      <c r="H20" s="1">
        <v>62.0</v>
      </c>
      <c r="I20" s="1">
        <v>100.0</v>
      </c>
      <c r="J20" s="1">
        <v>18.17</v>
      </c>
      <c r="K20" s="26">
        <v>1.0</v>
      </c>
      <c r="L20" s="1" t="s">
        <v>551</v>
      </c>
      <c r="M20" s="1" t="s">
        <v>826</v>
      </c>
      <c r="N20" s="1">
        <v>2.0</v>
      </c>
      <c r="O20" s="101">
        <f t="shared" si="1"/>
        <v>2083221.38</v>
      </c>
      <c r="P20" t="str">
        <f t="shared" si="2"/>
        <v> </v>
      </c>
      <c r="Q20" t="str">
        <f t="shared" si="3"/>
        <v> </v>
      </c>
    </row>
    <row r="21">
      <c r="A21" s="1" t="s">
        <v>257</v>
      </c>
      <c r="B21" s="27">
        <v>1.170591535E9</v>
      </c>
      <c r="C21" s="61">
        <v>1928486.88</v>
      </c>
      <c r="D21" s="61">
        <v>1.829049E7</v>
      </c>
      <c r="E21" s="27">
        <v>1.3922554E7</v>
      </c>
      <c r="F21" s="27">
        <v>2.2821247E7</v>
      </c>
      <c r="G21" s="1">
        <v>64.0</v>
      </c>
      <c r="H21" s="1">
        <v>64.0</v>
      </c>
      <c r="I21" s="1">
        <v>100.0</v>
      </c>
      <c r="J21" s="1">
        <v>17.72</v>
      </c>
      <c r="K21" s="26">
        <v>0.0</v>
      </c>
      <c r="L21" s="1" t="s">
        <v>149</v>
      </c>
      <c r="M21" s="1" t="s">
        <v>187</v>
      </c>
      <c r="N21" s="1">
        <v>2.0</v>
      </c>
      <c r="O21" t="str">
        <f t="shared" si="1"/>
        <v> </v>
      </c>
      <c r="P21" s="101">
        <f t="shared" si="2"/>
        <v>1928486.88</v>
      </c>
      <c r="Q21" t="str">
        <f t="shared" si="3"/>
        <v> </v>
      </c>
    </row>
    <row r="22">
      <c r="A22" s="1" t="s">
        <v>258</v>
      </c>
      <c r="B22" s="27">
        <v>1.168833836E9</v>
      </c>
      <c r="C22" s="61">
        <v>1925591.16</v>
      </c>
      <c r="D22" s="61">
        <v>1627902.0</v>
      </c>
      <c r="E22" s="27">
        <v>417475.0</v>
      </c>
      <c r="F22" s="27">
        <v>6783294.0</v>
      </c>
      <c r="G22" s="1">
        <v>718.0</v>
      </c>
      <c r="H22" s="1">
        <v>719.0</v>
      </c>
      <c r="I22" s="1">
        <v>99.86</v>
      </c>
      <c r="J22" s="1">
        <v>3.63</v>
      </c>
      <c r="K22" s="26">
        <v>1.0</v>
      </c>
      <c r="L22" s="1" t="s">
        <v>665</v>
      </c>
      <c r="M22" s="1" t="s">
        <v>826</v>
      </c>
      <c r="N22" s="1">
        <v>1.0</v>
      </c>
      <c r="O22" s="101">
        <f t="shared" si="1"/>
        <v>1925591.16</v>
      </c>
      <c r="P22" t="str">
        <f t="shared" si="2"/>
        <v> </v>
      </c>
      <c r="Q22" t="str">
        <f t="shared" si="3"/>
        <v> </v>
      </c>
    </row>
    <row r="23">
      <c r="A23" s="1" t="s">
        <v>163</v>
      </c>
      <c r="B23" s="27">
        <v>8.70591517E8</v>
      </c>
      <c r="C23" s="61">
        <v>1434252.91</v>
      </c>
      <c r="D23" s="61">
        <v>4049263.0</v>
      </c>
      <c r="E23" s="27">
        <v>1123886.0</v>
      </c>
      <c r="F23" s="27">
        <v>1.3111025E7</v>
      </c>
      <c r="G23" s="1">
        <v>215.0</v>
      </c>
      <c r="H23" s="1">
        <v>215.0</v>
      </c>
      <c r="I23" s="1">
        <v>100.0</v>
      </c>
      <c r="J23" s="1">
        <v>5.0</v>
      </c>
      <c r="K23" s="26">
        <v>1.0</v>
      </c>
      <c r="L23" s="1" t="s">
        <v>552</v>
      </c>
      <c r="M23" s="1" t="s">
        <v>150</v>
      </c>
      <c r="N23" s="1">
        <v>2.0</v>
      </c>
      <c r="O23" t="str">
        <f t="shared" si="1"/>
        <v> </v>
      </c>
      <c r="P23" s="101">
        <f t="shared" si="2"/>
        <v>1434252.91</v>
      </c>
      <c r="Q23" t="str">
        <f t="shared" si="3"/>
        <v> </v>
      </c>
    </row>
    <row r="24">
      <c r="A24" s="1" t="s">
        <v>287</v>
      </c>
      <c r="B24" s="27">
        <v>7.95965384E8</v>
      </c>
      <c r="C24" s="61">
        <v>1311310.35</v>
      </c>
      <c r="D24" s="61">
        <v>2689072.0</v>
      </c>
      <c r="E24" s="27">
        <v>993810.0</v>
      </c>
      <c r="F24" s="27">
        <v>1.0463635E7</v>
      </c>
      <c r="G24" s="1">
        <v>296.0</v>
      </c>
      <c r="H24" s="1">
        <v>296.0</v>
      </c>
      <c r="I24" s="1">
        <v>100.0</v>
      </c>
      <c r="J24" s="1">
        <v>5.86</v>
      </c>
      <c r="K24" s="26">
        <v>1.0</v>
      </c>
      <c r="L24" s="1" t="s">
        <v>729</v>
      </c>
      <c r="M24" s="1" t="s">
        <v>172</v>
      </c>
      <c r="N24" s="1">
        <v>2.0</v>
      </c>
      <c r="O24" t="str">
        <f t="shared" si="1"/>
        <v> </v>
      </c>
      <c r="P24" s="101">
        <f t="shared" si="2"/>
        <v>1311310.35</v>
      </c>
      <c r="Q24" t="str">
        <f t="shared" si="3"/>
        <v> </v>
      </c>
    </row>
    <row r="25">
      <c r="A25" s="1" t="s">
        <v>262</v>
      </c>
      <c r="B25" s="27">
        <v>7.22834433E8</v>
      </c>
      <c r="C25" s="61">
        <v>1190831.03</v>
      </c>
      <c r="D25" s="61">
        <v>5647144.0</v>
      </c>
      <c r="E25" s="27">
        <v>2247973.0</v>
      </c>
      <c r="F25" s="27">
        <v>2.4365201E7</v>
      </c>
      <c r="G25" s="1">
        <v>128.0</v>
      </c>
      <c r="H25" s="1">
        <v>128.0</v>
      </c>
      <c r="I25" s="1">
        <v>100.0</v>
      </c>
      <c r="J25" s="1">
        <v>4.91</v>
      </c>
      <c r="K25" s="26">
        <v>1.0</v>
      </c>
      <c r="L25" s="1" t="s">
        <v>553</v>
      </c>
      <c r="M25" s="1" t="s">
        <v>150</v>
      </c>
      <c r="N25" s="1">
        <v>2.0</v>
      </c>
      <c r="O25" t="str">
        <f t="shared" si="1"/>
        <v> </v>
      </c>
      <c r="P25" s="101">
        <f t="shared" si="2"/>
        <v>1190831.03</v>
      </c>
      <c r="Q25" t="str">
        <f t="shared" si="3"/>
        <v> </v>
      </c>
    </row>
    <row r="26">
      <c r="A26" s="1" t="s">
        <v>188</v>
      </c>
      <c r="B26" s="27">
        <v>6.84902405E8</v>
      </c>
      <c r="C26" s="61">
        <v>1128340.04</v>
      </c>
      <c r="D26" s="61">
        <v>1508596.0</v>
      </c>
      <c r="E26" s="27">
        <v>922275.0</v>
      </c>
      <c r="F26" s="27">
        <v>4380218.0</v>
      </c>
      <c r="G26" s="1">
        <v>454.0</v>
      </c>
      <c r="H26" s="1">
        <v>454.0</v>
      </c>
      <c r="I26" s="1">
        <v>100.0</v>
      </c>
      <c r="J26" s="1">
        <v>5.27</v>
      </c>
      <c r="K26" s="26">
        <v>1.0</v>
      </c>
      <c r="L26" s="1" t="s">
        <v>782</v>
      </c>
      <c r="M26" s="1" t="s">
        <v>826</v>
      </c>
      <c r="N26" s="1">
        <v>2.0</v>
      </c>
      <c r="O26" s="101">
        <f t="shared" si="1"/>
        <v>1128340.04</v>
      </c>
      <c r="P26" t="str">
        <f t="shared" si="2"/>
        <v> </v>
      </c>
      <c r="Q26" t="str">
        <f t="shared" si="3"/>
        <v> </v>
      </c>
    </row>
    <row r="27">
      <c r="A27" s="1" t="s">
        <v>188</v>
      </c>
      <c r="B27" s="27">
        <v>6.84902405E8</v>
      </c>
      <c r="C27" s="61">
        <v>1128340.04</v>
      </c>
      <c r="D27" s="61">
        <v>1508596.0</v>
      </c>
      <c r="E27" s="27">
        <v>922275.0</v>
      </c>
      <c r="F27" s="27">
        <v>4380218.0</v>
      </c>
      <c r="G27" s="1">
        <v>454.0</v>
      </c>
      <c r="H27" s="1">
        <v>454.0</v>
      </c>
      <c r="I27" s="1">
        <v>100.0</v>
      </c>
      <c r="J27" s="1">
        <v>5.27</v>
      </c>
      <c r="K27" s="26">
        <v>1.0</v>
      </c>
      <c r="L27" s="1" t="s">
        <v>782</v>
      </c>
      <c r="M27" s="1" t="s">
        <v>826</v>
      </c>
      <c r="N27" s="1">
        <v>5.0</v>
      </c>
      <c r="O27" s="101">
        <f t="shared" si="1"/>
        <v>1128340.04</v>
      </c>
      <c r="P27" t="str">
        <f t="shared" si="2"/>
        <v> </v>
      </c>
      <c r="Q27" t="str">
        <f t="shared" si="3"/>
        <v> </v>
      </c>
    </row>
    <row r="28">
      <c r="A28" s="1" t="s">
        <v>229</v>
      </c>
      <c r="B28" s="27">
        <v>6.5113554E8</v>
      </c>
      <c r="C28" s="61">
        <v>1072710.94</v>
      </c>
      <c r="D28" s="61">
        <v>1599842.0</v>
      </c>
      <c r="E28" s="27">
        <v>680507.0</v>
      </c>
      <c r="F28" s="27">
        <v>1.0929453E7</v>
      </c>
      <c r="G28" s="1">
        <v>407.0</v>
      </c>
      <c r="H28" s="1">
        <v>407.0</v>
      </c>
      <c r="I28" s="1">
        <v>100.0</v>
      </c>
      <c r="J28" s="1">
        <v>1.94</v>
      </c>
      <c r="K28" s="26">
        <v>1.0</v>
      </c>
      <c r="L28" s="1" t="s">
        <v>652</v>
      </c>
      <c r="M28" s="1" t="s">
        <v>187</v>
      </c>
      <c r="N28" s="1">
        <v>2.0</v>
      </c>
      <c r="O28" t="str">
        <f t="shared" si="1"/>
        <v> </v>
      </c>
      <c r="P28" s="101">
        <f t="shared" si="2"/>
        <v>1072710.94</v>
      </c>
      <c r="Q28" t="str">
        <f t="shared" si="3"/>
        <v> </v>
      </c>
    </row>
    <row r="29">
      <c r="A29" s="1" t="s">
        <v>229</v>
      </c>
      <c r="B29" s="27">
        <v>6.5113554E8</v>
      </c>
      <c r="C29" s="61">
        <v>1072710.94</v>
      </c>
      <c r="D29" s="61">
        <v>1599842.0</v>
      </c>
      <c r="E29" s="27">
        <v>680507.0</v>
      </c>
      <c r="F29" s="27">
        <v>1.0929453E7</v>
      </c>
      <c r="G29" s="1">
        <v>407.0</v>
      </c>
      <c r="H29" s="1">
        <v>407.0</v>
      </c>
      <c r="I29" s="1">
        <v>100.0</v>
      </c>
      <c r="J29" s="1">
        <v>1.94</v>
      </c>
      <c r="K29" s="26">
        <v>1.0</v>
      </c>
      <c r="L29" s="1" t="s">
        <v>652</v>
      </c>
      <c r="M29" s="1" t="s">
        <v>187</v>
      </c>
      <c r="N29" s="1">
        <v>5.0</v>
      </c>
      <c r="O29" t="str">
        <f t="shared" si="1"/>
        <v> </v>
      </c>
      <c r="P29" s="101">
        <f t="shared" si="2"/>
        <v>1072710.94</v>
      </c>
      <c r="Q29" t="str">
        <f t="shared" si="3"/>
        <v> </v>
      </c>
    </row>
    <row r="30">
      <c r="A30" s="1" t="s">
        <v>264</v>
      </c>
      <c r="B30" s="27">
        <v>6.48247142E8</v>
      </c>
      <c r="C30" s="61">
        <v>1067952.46</v>
      </c>
      <c r="D30" s="61">
        <v>2298749.0</v>
      </c>
      <c r="E30" s="27">
        <v>1529682.0</v>
      </c>
      <c r="F30" s="27">
        <v>7875316.0</v>
      </c>
      <c r="G30" s="1">
        <v>282.0</v>
      </c>
      <c r="H30" s="1">
        <v>282.0</v>
      </c>
      <c r="I30" s="1">
        <v>100.0</v>
      </c>
      <c r="J30" s="1">
        <v>3.68</v>
      </c>
      <c r="K30" s="26">
        <v>1.0</v>
      </c>
      <c r="L30" s="1" t="s">
        <v>666</v>
      </c>
      <c r="M30" s="1" t="s">
        <v>182</v>
      </c>
      <c r="N30" s="1">
        <v>2.0</v>
      </c>
      <c r="O30" t="str">
        <f t="shared" si="1"/>
        <v> </v>
      </c>
      <c r="P30" s="101">
        <f t="shared" si="2"/>
        <v>1067952.46</v>
      </c>
      <c r="Q30" t="str">
        <f t="shared" si="3"/>
        <v> </v>
      </c>
    </row>
    <row r="31">
      <c r="A31" s="1" t="s">
        <v>270</v>
      </c>
      <c r="B31" s="27">
        <v>5.8917209E8</v>
      </c>
      <c r="C31" s="61">
        <v>970629.47</v>
      </c>
      <c r="D31" s="61">
        <v>8070851.0</v>
      </c>
      <c r="E31" s="27">
        <v>3819729.0</v>
      </c>
      <c r="F31" s="27">
        <v>2.1709787E7</v>
      </c>
      <c r="G31" s="1">
        <v>73.0</v>
      </c>
      <c r="H31" s="1">
        <v>73.0</v>
      </c>
      <c r="I31" s="1">
        <v>100.0</v>
      </c>
      <c r="J31" s="1">
        <v>8.35</v>
      </c>
      <c r="K31" s="26">
        <v>1.0</v>
      </c>
      <c r="L31" s="1" t="s">
        <v>554</v>
      </c>
      <c r="M31" s="1" t="s">
        <v>150</v>
      </c>
      <c r="N31" s="1">
        <v>2.0</v>
      </c>
      <c r="O31" t="str">
        <f t="shared" si="1"/>
        <v> </v>
      </c>
      <c r="P31" s="101">
        <f t="shared" si="2"/>
        <v>970629.47</v>
      </c>
      <c r="Q31" t="str">
        <f t="shared" si="3"/>
        <v> </v>
      </c>
    </row>
    <row r="32">
      <c r="A32" s="1" t="s">
        <v>165</v>
      </c>
      <c r="B32" s="27">
        <v>5.85244065E8</v>
      </c>
      <c r="C32" s="61">
        <v>964158.26</v>
      </c>
      <c r="D32" s="61">
        <v>5225394.0</v>
      </c>
      <c r="E32" s="27">
        <v>1986978.0</v>
      </c>
      <c r="F32" s="27">
        <v>1.565536E7</v>
      </c>
      <c r="G32" s="1">
        <v>112.0</v>
      </c>
      <c r="H32" s="1">
        <v>112.0</v>
      </c>
      <c r="I32" s="1">
        <v>100.0</v>
      </c>
      <c r="J32" s="1">
        <v>10.65</v>
      </c>
      <c r="K32" s="26">
        <v>1.0</v>
      </c>
      <c r="L32" s="1" t="s">
        <v>555</v>
      </c>
      <c r="M32" s="1" t="s">
        <v>826</v>
      </c>
      <c r="N32" s="1">
        <v>2.0</v>
      </c>
      <c r="O32" s="101">
        <f t="shared" si="1"/>
        <v>964158.26</v>
      </c>
      <c r="P32" t="str">
        <f t="shared" si="2"/>
        <v> </v>
      </c>
      <c r="Q32" t="str">
        <f t="shared" si="3"/>
        <v> </v>
      </c>
    </row>
    <row r="33">
      <c r="A33" s="1" t="s">
        <v>202</v>
      </c>
      <c r="B33" s="27">
        <v>5.84380085E8</v>
      </c>
      <c r="C33" s="61">
        <v>962734.9</v>
      </c>
      <c r="D33" s="61">
        <v>596915.3</v>
      </c>
      <c r="E33" s="27">
        <v>215369.0</v>
      </c>
      <c r="F33" s="27">
        <v>3513832.0</v>
      </c>
      <c r="G33" s="1">
        <v>979.0</v>
      </c>
      <c r="H33" s="1">
        <v>979.0</v>
      </c>
      <c r="I33" s="1">
        <v>100.0</v>
      </c>
      <c r="J33" s="1">
        <v>1.36</v>
      </c>
      <c r="K33" s="26">
        <v>1.0</v>
      </c>
      <c r="L33" s="1" t="s">
        <v>819</v>
      </c>
      <c r="M33" s="1" t="s">
        <v>826</v>
      </c>
      <c r="N33" s="1">
        <v>2.0</v>
      </c>
      <c r="O33" s="101">
        <f t="shared" si="1"/>
        <v>962734.9</v>
      </c>
      <c r="P33" t="str">
        <f t="shared" si="2"/>
        <v> </v>
      </c>
      <c r="Q33" t="str">
        <f t="shared" si="3"/>
        <v> </v>
      </c>
    </row>
    <row r="34">
      <c r="A34" s="1" t="s">
        <v>272</v>
      </c>
      <c r="B34" s="27">
        <v>5.82006241E8</v>
      </c>
      <c r="C34" s="61">
        <v>958824.12</v>
      </c>
      <c r="D34" s="61">
        <v>1853523.0</v>
      </c>
      <c r="E34" s="27">
        <v>622666.0</v>
      </c>
      <c r="F34" s="27">
        <v>9724605.0</v>
      </c>
      <c r="G34" s="1">
        <v>314.0</v>
      </c>
      <c r="H34" s="1">
        <v>314.0</v>
      </c>
      <c r="I34" s="1">
        <v>100.0</v>
      </c>
      <c r="J34" s="1">
        <v>5.63</v>
      </c>
      <c r="K34" s="26">
        <v>1.0</v>
      </c>
      <c r="L34" s="1" t="s">
        <v>730</v>
      </c>
      <c r="M34" s="1" t="s">
        <v>154</v>
      </c>
      <c r="N34" s="1">
        <v>2.0</v>
      </c>
      <c r="O34" t="str">
        <f t="shared" si="1"/>
        <v> </v>
      </c>
      <c r="P34" s="101">
        <f t="shared" si="2"/>
        <v>958824.12</v>
      </c>
      <c r="Q34" t="str">
        <f t="shared" si="3"/>
        <v> </v>
      </c>
    </row>
    <row r="35">
      <c r="A35" s="1" t="s">
        <v>279</v>
      </c>
      <c r="B35" s="27">
        <v>5.72141304E8</v>
      </c>
      <c r="C35" s="61">
        <v>942572.16</v>
      </c>
      <c r="D35" s="61">
        <v>1.63469E7</v>
      </c>
      <c r="E35" s="27">
        <v>1.1470643E7</v>
      </c>
      <c r="F35" s="27">
        <v>5.1871799E7</v>
      </c>
      <c r="G35" s="1">
        <v>35.0</v>
      </c>
      <c r="H35" s="1">
        <v>35.0</v>
      </c>
      <c r="I35" s="1">
        <v>100.0</v>
      </c>
      <c r="J35" s="1">
        <v>17.15</v>
      </c>
      <c r="K35" s="26">
        <v>1.0</v>
      </c>
      <c r="L35" s="1" t="s">
        <v>667</v>
      </c>
      <c r="M35" s="1" t="s">
        <v>193</v>
      </c>
      <c r="N35" s="1">
        <v>2.0</v>
      </c>
      <c r="O35" t="str">
        <f t="shared" si="1"/>
        <v> </v>
      </c>
      <c r="P35" s="101">
        <f t="shared" si="2"/>
        <v>942572.16</v>
      </c>
      <c r="Q35" t="str">
        <f t="shared" si="3"/>
        <v> </v>
      </c>
    </row>
    <row r="36">
      <c r="A36" s="1" t="s">
        <v>295</v>
      </c>
      <c r="B36" s="27">
        <v>5.66578167E8</v>
      </c>
      <c r="C36" s="61">
        <v>933407.19</v>
      </c>
      <c r="D36" s="61">
        <v>2950928.0</v>
      </c>
      <c r="E36" s="27">
        <v>1365277.0</v>
      </c>
      <c r="F36" s="27">
        <v>1.4896225E7</v>
      </c>
      <c r="G36" s="1">
        <v>192.0</v>
      </c>
      <c r="H36" s="1">
        <v>192.0</v>
      </c>
      <c r="I36" s="1">
        <v>100.0</v>
      </c>
      <c r="J36" s="1">
        <v>17.84</v>
      </c>
      <c r="K36" s="26">
        <v>1.0</v>
      </c>
      <c r="L36" s="1" t="s">
        <v>556</v>
      </c>
      <c r="M36" s="1" t="s">
        <v>826</v>
      </c>
      <c r="N36" s="1">
        <v>2.0</v>
      </c>
      <c r="O36" s="101">
        <f t="shared" si="1"/>
        <v>933407.19</v>
      </c>
      <c r="P36" t="str">
        <f t="shared" si="2"/>
        <v> </v>
      </c>
      <c r="Q36" t="str">
        <f t="shared" si="3"/>
        <v> </v>
      </c>
    </row>
    <row r="37">
      <c r="A37" s="1" t="s">
        <v>281</v>
      </c>
      <c r="B37" s="27">
        <v>5.64822954E8</v>
      </c>
      <c r="C37" s="61">
        <v>930515.57</v>
      </c>
      <c r="D37" s="61">
        <v>3120569.0</v>
      </c>
      <c r="E37" s="27">
        <v>1463840.0</v>
      </c>
      <c r="F37" s="27">
        <v>1.4150034E7</v>
      </c>
      <c r="G37" s="1">
        <v>181.0</v>
      </c>
      <c r="H37" s="1">
        <v>181.0</v>
      </c>
      <c r="I37" s="1">
        <v>100.0</v>
      </c>
      <c r="J37" s="1">
        <v>5.16</v>
      </c>
      <c r="K37" s="26">
        <v>1.0</v>
      </c>
      <c r="L37" s="1" t="s">
        <v>668</v>
      </c>
      <c r="M37" s="1" t="s">
        <v>182</v>
      </c>
      <c r="N37" s="1">
        <v>2.0</v>
      </c>
      <c r="O37" t="str">
        <f t="shared" si="1"/>
        <v> </v>
      </c>
      <c r="P37" s="101">
        <f t="shared" si="2"/>
        <v>930515.57</v>
      </c>
      <c r="Q37" t="str">
        <f t="shared" si="3"/>
        <v> </v>
      </c>
    </row>
    <row r="38">
      <c r="A38" s="1" t="s">
        <v>283</v>
      </c>
      <c r="B38" s="27">
        <v>5.5858192E8</v>
      </c>
      <c r="C38" s="61">
        <v>920233.81</v>
      </c>
      <c r="D38" s="61">
        <v>2.939905E7</v>
      </c>
      <c r="E38" s="27">
        <v>1.4699699E7</v>
      </c>
      <c r="F38" s="27">
        <v>6.8495603E7</v>
      </c>
      <c r="G38" s="1">
        <v>19.0</v>
      </c>
      <c r="H38" s="1">
        <v>19.0</v>
      </c>
      <c r="I38" s="1">
        <v>100.0</v>
      </c>
      <c r="J38" s="1">
        <v>30.94</v>
      </c>
      <c r="K38" s="26">
        <v>1.0</v>
      </c>
      <c r="L38" s="1" t="s">
        <v>557</v>
      </c>
      <c r="M38" s="1" t="s">
        <v>150</v>
      </c>
      <c r="N38" s="1">
        <v>2.0</v>
      </c>
      <c r="O38" t="str">
        <f t="shared" si="1"/>
        <v> </v>
      </c>
      <c r="P38" s="101">
        <f t="shared" si="2"/>
        <v>920233.81</v>
      </c>
      <c r="Q38" t="str">
        <f t="shared" si="3"/>
        <v> </v>
      </c>
    </row>
    <row r="39">
      <c r="A39" s="1" t="s">
        <v>285</v>
      </c>
      <c r="B39" s="27">
        <v>5.42122615E8</v>
      </c>
      <c r="C39" s="61">
        <v>893117.98</v>
      </c>
      <c r="D39" s="61">
        <v>1936152.0</v>
      </c>
      <c r="E39" s="27">
        <v>882771.0</v>
      </c>
      <c r="F39" s="27">
        <v>5106663.0</v>
      </c>
      <c r="G39" s="1">
        <v>280.0</v>
      </c>
      <c r="H39" s="1">
        <v>280.0</v>
      </c>
      <c r="I39" s="1">
        <v>100.0</v>
      </c>
      <c r="J39" s="1">
        <v>2.89</v>
      </c>
      <c r="K39" s="26">
        <v>1.0</v>
      </c>
      <c r="L39" s="1" t="s">
        <v>669</v>
      </c>
      <c r="M39" s="1" t="s">
        <v>182</v>
      </c>
      <c r="N39" s="1">
        <v>2.0</v>
      </c>
      <c r="O39" t="str">
        <f t="shared" si="1"/>
        <v> </v>
      </c>
      <c r="P39" s="101">
        <f t="shared" si="2"/>
        <v>893117.98</v>
      </c>
      <c r="Q39" t="str">
        <f t="shared" si="3"/>
        <v> </v>
      </c>
    </row>
    <row r="40">
      <c r="A40" s="1" t="s">
        <v>235</v>
      </c>
      <c r="B40" s="27">
        <v>5.30469369E8</v>
      </c>
      <c r="C40" s="61">
        <v>873919.88</v>
      </c>
      <c r="D40" s="61">
        <v>753507.6</v>
      </c>
      <c r="E40" s="27">
        <v>321287.0</v>
      </c>
      <c r="F40" s="27">
        <v>2482165.0</v>
      </c>
      <c r="G40" s="1">
        <v>704.0</v>
      </c>
      <c r="H40" s="1">
        <v>704.0</v>
      </c>
      <c r="I40" s="1">
        <v>100.0</v>
      </c>
      <c r="J40" s="1">
        <v>1.4</v>
      </c>
      <c r="K40" s="26">
        <v>1.0</v>
      </c>
      <c r="L40" s="1" t="s">
        <v>653</v>
      </c>
      <c r="M40" s="1" t="s">
        <v>187</v>
      </c>
      <c r="N40" s="1">
        <v>2.0</v>
      </c>
      <c r="O40" t="str">
        <f t="shared" si="1"/>
        <v> </v>
      </c>
      <c r="P40" s="101">
        <f t="shared" si="2"/>
        <v>873919.88</v>
      </c>
      <c r="Q40" t="str">
        <f t="shared" si="3"/>
        <v> </v>
      </c>
    </row>
    <row r="41">
      <c r="A41" s="1" t="s">
        <v>235</v>
      </c>
      <c r="B41" s="27">
        <v>5.30469369E8</v>
      </c>
      <c r="C41" s="61">
        <v>873919.88</v>
      </c>
      <c r="D41" s="61">
        <v>753507.6</v>
      </c>
      <c r="E41" s="27">
        <v>321287.0</v>
      </c>
      <c r="F41" s="27">
        <v>2482165.0</v>
      </c>
      <c r="G41" s="1">
        <v>704.0</v>
      </c>
      <c r="H41" s="1">
        <v>704.0</v>
      </c>
      <c r="I41" s="1">
        <v>100.0</v>
      </c>
      <c r="J41" s="1">
        <v>1.4</v>
      </c>
      <c r="K41" s="26">
        <v>1.0</v>
      </c>
      <c r="L41" s="1" t="s">
        <v>653</v>
      </c>
      <c r="M41" s="1" t="s">
        <v>187</v>
      </c>
      <c r="N41" s="1">
        <v>5.0</v>
      </c>
      <c r="O41" t="str">
        <f t="shared" si="1"/>
        <v> </v>
      </c>
      <c r="P41" s="101">
        <f t="shared" si="2"/>
        <v>873919.88</v>
      </c>
      <c r="Q41" t="str">
        <f t="shared" si="3"/>
        <v> </v>
      </c>
    </row>
    <row r="42">
      <c r="A42" s="1" t="s">
        <v>275</v>
      </c>
      <c r="B42" s="27">
        <v>5.21759396E8</v>
      </c>
      <c r="C42" s="61">
        <v>859570.67</v>
      </c>
      <c r="D42" s="61">
        <v>2570243.0</v>
      </c>
      <c r="E42" s="27">
        <v>1101603.0</v>
      </c>
      <c r="F42" s="27">
        <v>1.2170877E7</v>
      </c>
      <c r="G42" s="1">
        <v>203.0</v>
      </c>
      <c r="H42" s="1">
        <v>203.0</v>
      </c>
      <c r="I42" s="1">
        <v>100.0</v>
      </c>
      <c r="J42" s="1">
        <v>3.18</v>
      </c>
      <c r="K42" s="26">
        <v>1.0</v>
      </c>
      <c r="L42" s="1" t="s">
        <v>558</v>
      </c>
      <c r="M42" s="1" t="s">
        <v>826</v>
      </c>
      <c r="N42" s="1">
        <v>2.0</v>
      </c>
      <c r="O42" s="101">
        <f t="shared" si="1"/>
        <v>859570.67</v>
      </c>
      <c r="P42" t="str">
        <f t="shared" si="2"/>
        <v> </v>
      </c>
      <c r="Q42" t="str">
        <f t="shared" si="3"/>
        <v> </v>
      </c>
    </row>
    <row r="43">
      <c r="A43" s="1" t="s">
        <v>231</v>
      </c>
      <c r="B43" s="27">
        <v>4.90902014E8</v>
      </c>
      <c r="C43" s="61">
        <v>808734.78</v>
      </c>
      <c r="D43" s="61">
        <v>337158.0</v>
      </c>
      <c r="E43" s="27">
        <v>100469.0</v>
      </c>
      <c r="F43" s="27">
        <v>1424264.0</v>
      </c>
      <c r="G43" s="27">
        <v>1456.0</v>
      </c>
      <c r="H43" s="27">
        <v>1456.0</v>
      </c>
      <c r="I43" s="1">
        <v>100.0</v>
      </c>
      <c r="J43" s="1">
        <v>1.87</v>
      </c>
      <c r="K43" s="26">
        <v>1.0</v>
      </c>
      <c r="L43" s="1" t="s">
        <v>654</v>
      </c>
      <c r="M43" s="1" t="s">
        <v>187</v>
      </c>
      <c r="N43" s="1">
        <v>2.0</v>
      </c>
      <c r="O43" t="str">
        <f t="shared" si="1"/>
        <v> </v>
      </c>
      <c r="P43" s="101">
        <f t="shared" si="2"/>
        <v>808734.78</v>
      </c>
      <c r="Q43" t="str">
        <f t="shared" si="3"/>
        <v> </v>
      </c>
    </row>
    <row r="44">
      <c r="A44" s="1" t="s">
        <v>231</v>
      </c>
      <c r="B44" s="27">
        <v>4.90902014E8</v>
      </c>
      <c r="C44" s="61">
        <v>808734.78</v>
      </c>
      <c r="D44" s="61">
        <v>337158.0</v>
      </c>
      <c r="E44" s="27">
        <v>100469.0</v>
      </c>
      <c r="F44" s="27">
        <v>1424264.0</v>
      </c>
      <c r="G44" s="27">
        <v>1456.0</v>
      </c>
      <c r="H44" s="27">
        <v>1456.0</v>
      </c>
      <c r="I44" s="1">
        <v>100.0</v>
      </c>
      <c r="J44" s="1">
        <v>1.87</v>
      </c>
      <c r="K44" s="26">
        <v>1.0</v>
      </c>
      <c r="L44" s="1" t="s">
        <v>654</v>
      </c>
      <c r="M44" s="1" t="s">
        <v>187</v>
      </c>
      <c r="N44" s="1">
        <v>5.0</v>
      </c>
      <c r="O44" t="str">
        <f t="shared" si="1"/>
        <v> </v>
      </c>
      <c r="P44" s="101">
        <f t="shared" si="2"/>
        <v>808734.78</v>
      </c>
      <c r="Q44" t="str">
        <f t="shared" si="3"/>
        <v> </v>
      </c>
    </row>
    <row r="45">
      <c r="A45" s="1" t="s">
        <v>297</v>
      </c>
      <c r="B45" s="27">
        <v>4.65081713E8</v>
      </c>
      <c r="C45" s="61">
        <v>766197.22</v>
      </c>
      <c r="D45" s="61">
        <v>2360821.0</v>
      </c>
      <c r="E45" s="27">
        <v>1050951.0</v>
      </c>
      <c r="F45" s="27">
        <v>5235555.0</v>
      </c>
      <c r="G45" s="1">
        <v>197.0</v>
      </c>
      <c r="H45" s="1">
        <v>197.0</v>
      </c>
      <c r="I45" s="1">
        <v>100.0</v>
      </c>
      <c r="J45" s="1">
        <v>4.65</v>
      </c>
      <c r="K45" s="26">
        <v>1.0</v>
      </c>
      <c r="L45" s="1" t="s">
        <v>830</v>
      </c>
      <c r="M45" s="1" t="s">
        <v>172</v>
      </c>
      <c r="N45" s="1">
        <v>2.0</v>
      </c>
      <c r="O45" t="str">
        <f t="shared" si="1"/>
        <v> </v>
      </c>
      <c r="P45" s="101">
        <f t="shared" si="2"/>
        <v>766197.22</v>
      </c>
      <c r="Q45" t="str">
        <f t="shared" si="3"/>
        <v> </v>
      </c>
    </row>
    <row r="46">
      <c r="A46" s="1" t="s">
        <v>291</v>
      </c>
      <c r="B46" s="27">
        <v>4.38702046E8</v>
      </c>
      <c r="C46" s="61">
        <v>722738.13</v>
      </c>
      <c r="D46" s="61">
        <v>2675013.0</v>
      </c>
      <c r="E46" s="27">
        <v>1273182.0</v>
      </c>
      <c r="F46" s="27">
        <v>1.3967069E7</v>
      </c>
      <c r="G46" s="1">
        <v>164.0</v>
      </c>
      <c r="H46" s="1">
        <v>164.0</v>
      </c>
      <c r="I46" s="1">
        <v>100.0</v>
      </c>
      <c r="J46" s="1">
        <v>5.25</v>
      </c>
      <c r="K46" s="26">
        <v>1.0</v>
      </c>
      <c r="L46" s="1" t="s">
        <v>787</v>
      </c>
      <c r="M46" s="1" t="s">
        <v>826</v>
      </c>
      <c r="N46" s="1">
        <v>2.0</v>
      </c>
      <c r="O46" s="101">
        <f t="shared" si="1"/>
        <v>722738.13</v>
      </c>
      <c r="P46" t="str">
        <f t="shared" si="2"/>
        <v> </v>
      </c>
      <c r="Q46" t="str">
        <f t="shared" si="3"/>
        <v> </v>
      </c>
    </row>
    <row r="47">
      <c r="A47" s="1" t="s">
        <v>299</v>
      </c>
      <c r="B47" s="27">
        <v>4.32867408E8</v>
      </c>
      <c r="C47" s="61">
        <v>713125.88</v>
      </c>
      <c r="D47" s="61">
        <v>1303818.0</v>
      </c>
      <c r="E47" s="27">
        <v>373520.0</v>
      </c>
      <c r="F47" s="27">
        <v>9842573.0</v>
      </c>
      <c r="G47" s="1">
        <v>332.0</v>
      </c>
      <c r="H47" s="1">
        <v>332.0</v>
      </c>
      <c r="I47" s="1">
        <v>100.0</v>
      </c>
      <c r="J47" s="1">
        <v>2.46</v>
      </c>
      <c r="K47" s="26">
        <v>1.0</v>
      </c>
      <c r="L47" s="1" t="s">
        <v>559</v>
      </c>
      <c r="M47" s="1" t="s">
        <v>826</v>
      </c>
      <c r="N47" s="1">
        <v>2.0</v>
      </c>
      <c r="O47" s="101">
        <f t="shared" si="1"/>
        <v>713125.88</v>
      </c>
      <c r="P47" t="str">
        <f t="shared" si="2"/>
        <v> </v>
      </c>
      <c r="Q47" t="str">
        <f t="shared" si="3"/>
        <v> </v>
      </c>
    </row>
    <row r="48">
      <c r="A48" s="1" t="s">
        <v>196</v>
      </c>
      <c r="B48" s="27">
        <v>4.17928865E8</v>
      </c>
      <c r="C48" s="61">
        <v>688515.43</v>
      </c>
      <c r="D48" s="61">
        <v>926671.6</v>
      </c>
      <c r="E48" s="27">
        <v>518905.0</v>
      </c>
      <c r="F48" s="27">
        <v>3204855.0</v>
      </c>
      <c r="G48" s="1">
        <v>451.0</v>
      </c>
      <c r="H48" s="1">
        <v>451.0</v>
      </c>
      <c r="I48" s="1">
        <v>100.0</v>
      </c>
      <c r="J48" s="1">
        <v>1.82</v>
      </c>
      <c r="K48" s="26">
        <v>1.0</v>
      </c>
      <c r="L48" s="1" t="s">
        <v>700</v>
      </c>
      <c r="M48" s="1" t="s">
        <v>182</v>
      </c>
      <c r="N48" s="1">
        <v>2.0</v>
      </c>
      <c r="O48" t="str">
        <f t="shared" si="1"/>
        <v> </v>
      </c>
      <c r="P48" s="101">
        <f t="shared" si="2"/>
        <v>688515.43</v>
      </c>
      <c r="Q48" t="str">
        <f t="shared" si="3"/>
        <v> </v>
      </c>
    </row>
    <row r="49">
      <c r="A49" s="1" t="s">
        <v>277</v>
      </c>
      <c r="B49" s="27">
        <v>4.14083713E8</v>
      </c>
      <c r="C49" s="61">
        <v>682180.75</v>
      </c>
      <c r="D49" s="61">
        <v>1.335754E7</v>
      </c>
      <c r="E49" s="27">
        <v>7202008.0</v>
      </c>
      <c r="F49" s="27">
        <v>2.4175893E7</v>
      </c>
      <c r="G49" s="1">
        <v>31.0</v>
      </c>
      <c r="H49" s="1">
        <v>31.0</v>
      </c>
      <c r="I49" s="1">
        <v>100.0</v>
      </c>
      <c r="J49" s="1">
        <v>32.39</v>
      </c>
      <c r="K49" s="26">
        <v>1.0</v>
      </c>
      <c r="L49" s="1" t="s">
        <v>670</v>
      </c>
      <c r="M49" s="1" t="s">
        <v>182</v>
      </c>
      <c r="N49" s="1">
        <v>2.0</v>
      </c>
      <c r="O49" t="str">
        <f t="shared" si="1"/>
        <v> </v>
      </c>
      <c r="P49" s="101">
        <f t="shared" si="2"/>
        <v>682180.75</v>
      </c>
      <c r="Q49" t="str">
        <f t="shared" si="3"/>
        <v> </v>
      </c>
    </row>
    <row r="50">
      <c r="A50" s="1" t="s">
        <v>305</v>
      </c>
      <c r="B50" s="27">
        <v>4.13588814E8</v>
      </c>
      <c r="C50" s="61">
        <v>681365.43</v>
      </c>
      <c r="D50" s="61">
        <v>820612.7</v>
      </c>
      <c r="E50" s="27">
        <v>520031.0</v>
      </c>
      <c r="F50" s="27">
        <v>3128731.0</v>
      </c>
      <c r="G50" s="1">
        <v>504.0</v>
      </c>
      <c r="H50" s="1">
        <v>504.0</v>
      </c>
      <c r="I50" s="1">
        <v>100.0</v>
      </c>
      <c r="J50" s="1">
        <v>5.29</v>
      </c>
      <c r="K50" s="26">
        <v>1.0</v>
      </c>
      <c r="L50" s="1" t="s">
        <v>671</v>
      </c>
      <c r="M50" s="1" t="s">
        <v>182</v>
      </c>
      <c r="N50" s="1">
        <v>2.0</v>
      </c>
      <c r="O50" t="str">
        <f t="shared" si="1"/>
        <v> </v>
      </c>
      <c r="P50" s="101">
        <f t="shared" si="2"/>
        <v>681365.43</v>
      </c>
      <c r="Q50" t="str">
        <f t="shared" si="3"/>
        <v> </v>
      </c>
    </row>
    <row r="51">
      <c r="A51" s="1" t="s">
        <v>289</v>
      </c>
      <c r="B51" s="27">
        <v>4.12090084E8</v>
      </c>
      <c r="C51" s="61">
        <v>678896.35</v>
      </c>
      <c r="D51" s="61">
        <v>1.144695E7</v>
      </c>
      <c r="E51" s="27">
        <v>5489487.0</v>
      </c>
      <c r="F51" s="27">
        <v>2.4187977E7</v>
      </c>
      <c r="G51" s="1">
        <v>36.0</v>
      </c>
      <c r="H51" s="1">
        <v>36.0</v>
      </c>
      <c r="I51" s="1">
        <v>100.0</v>
      </c>
      <c r="J51" s="1">
        <v>34.47</v>
      </c>
      <c r="K51" s="26">
        <v>1.0</v>
      </c>
      <c r="L51" s="1" t="s">
        <v>560</v>
      </c>
      <c r="M51" s="1" t="s">
        <v>826</v>
      </c>
      <c r="N51" s="1">
        <v>2.0</v>
      </c>
      <c r="O51" s="101">
        <f t="shared" si="1"/>
        <v>678896.35</v>
      </c>
      <c r="P51" t="str">
        <f t="shared" si="2"/>
        <v> </v>
      </c>
      <c r="Q51" t="str">
        <f t="shared" si="3"/>
        <v> </v>
      </c>
    </row>
    <row r="52">
      <c r="A52" s="1" t="s">
        <v>303</v>
      </c>
      <c r="B52" s="27">
        <v>4.03304445E8</v>
      </c>
      <c r="C52" s="61">
        <v>664422.48</v>
      </c>
      <c r="D52" s="61">
        <v>2552560.0</v>
      </c>
      <c r="E52" s="27">
        <v>1044971.0</v>
      </c>
      <c r="F52" s="27">
        <v>9030248.0</v>
      </c>
      <c r="G52" s="1">
        <v>158.0</v>
      </c>
      <c r="H52" s="1">
        <v>158.0</v>
      </c>
      <c r="I52" s="1">
        <v>100.0</v>
      </c>
      <c r="J52" s="1">
        <v>5.79</v>
      </c>
      <c r="K52" s="26">
        <v>1.0</v>
      </c>
      <c r="L52" s="1" t="s">
        <v>561</v>
      </c>
      <c r="M52" s="1" t="s">
        <v>150</v>
      </c>
      <c r="N52" s="1">
        <v>2.0</v>
      </c>
      <c r="O52" t="str">
        <f t="shared" si="1"/>
        <v> </v>
      </c>
      <c r="P52" s="101">
        <f t="shared" si="2"/>
        <v>664422.48</v>
      </c>
      <c r="Q52" t="str">
        <f t="shared" si="3"/>
        <v> </v>
      </c>
    </row>
    <row r="53">
      <c r="A53" s="1" t="s">
        <v>332</v>
      </c>
      <c r="B53" s="27">
        <v>3.67931244E8</v>
      </c>
      <c r="C53" s="61">
        <v>606147.02</v>
      </c>
      <c r="D53" s="61">
        <v>3344830.0</v>
      </c>
      <c r="E53" s="27">
        <v>1430873.0</v>
      </c>
      <c r="F53" s="27">
        <v>1.2277145E7</v>
      </c>
      <c r="G53" s="1">
        <v>110.0</v>
      </c>
      <c r="H53" s="1">
        <v>110.0</v>
      </c>
      <c r="I53" s="1">
        <v>100.0</v>
      </c>
      <c r="J53" s="1">
        <v>5.58</v>
      </c>
      <c r="K53" s="26">
        <v>1.0</v>
      </c>
      <c r="L53" s="1" t="s">
        <v>562</v>
      </c>
      <c r="M53" s="1" t="s">
        <v>826</v>
      </c>
      <c r="N53" s="1">
        <v>2.0</v>
      </c>
      <c r="O53" s="101">
        <f t="shared" si="1"/>
        <v>606147.02</v>
      </c>
      <c r="P53" t="str">
        <f t="shared" si="2"/>
        <v> </v>
      </c>
      <c r="Q53" t="str">
        <f t="shared" si="3"/>
        <v> </v>
      </c>
    </row>
    <row r="54">
      <c r="A54" s="1" t="s">
        <v>293</v>
      </c>
      <c r="B54" s="27">
        <v>3.58290173E8</v>
      </c>
      <c r="C54" s="61">
        <v>590263.88</v>
      </c>
      <c r="D54" s="61">
        <v>2799142.0</v>
      </c>
      <c r="E54" s="27">
        <v>1100250.0</v>
      </c>
      <c r="F54" s="27">
        <v>7075530.0</v>
      </c>
      <c r="G54" s="1">
        <v>128.0</v>
      </c>
      <c r="H54" s="1">
        <v>128.0</v>
      </c>
      <c r="I54" s="1">
        <v>100.0</v>
      </c>
      <c r="J54" s="1">
        <v>4.91</v>
      </c>
      <c r="K54" s="26">
        <v>1.0</v>
      </c>
      <c r="L54" s="1" t="s">
        <v>563</v>
      </c>
      <c r="M54" s="1" t="s">
        <v>150</v>
      </c>
      <c r="N54" s="1">
        <v>2.0</v>
      </c>
      <c r="O54" t="str">
        <f t="shared" si="1"/>
        <v> </v>
      </c>
      <c r="P54" s="101">
        <f t="shared" si="2"/>
        <v>590263.88</v>
      </c>
      <c r="Q54" t="str">
        <f t="shared" si="3"/>
        <v> </v>
      </c>
    </row>
    <row r="55">
      <c r="A55" s="1" t="s">
        <v>312</v>
      </c>
      <c r="B55" s="27">
        <v>3.54404797E8</v>
      </c>
      <c r="C55" s="61">
        <v>583862.93</v>
      </c>
      <c r="D55" s="61">
        <v>899504.6</v>
      </c>
      <c r="E55" s="27">
        <v>323612.0</v>
      </c>
      <c r="F55" s="27">
        <v>3914861.0</v>
      </c>
      <c r="G55" s="1">
        <v>394.0</v>
      </c>
      <c r="H55" s="1">
        <v>394.0</v>
      </c>
      <c r="I55" s="1">
        <v>100.0</v>
      </c>
      <c r="J55" s="1">
        <v>2.83</v>
      </c>
      <c r="K55" s="26">
        <v>1.0</v>
      </c>
      <c r="L55" s="1" t="s">
        <v>731</v>
      </c>
      <c r="M55" s="1" t="s">
        <v>172</v>
      </c>
      <c r="N55" s="1">
        <v>2.0</v>
      </c>
      <c r="O55" t="str">
        <f t="shared" si="1"/>
        <v> </v>
      </c>
      <c r="P55" s="101">
        <f t="shared" si="2"/>
        <v>583862.93</v>
      </c>
      <c r="Q55" t="str">
        <f t="shared" si="3"/>
        <v> </v>
      </c>
    </row>
    <row r="56">
      <c r="A56" s="1" t="s">
        <v>328</v>
      </c>
      <c r="B56" s="27">
        <v>3.53429592E8</v>
      </c>
      <c r="C56" s="61">
        <v>582256.33</v>
      </c>
      <c r="D56" s="61">
        <v>2.945247E7</v>
      </c>
      <c r="E56" s="27">
        <v>1.0895963E7</v>
      </c>
      <c r="F56" s="27">
        <v>7.0891921E7</v>
      </c>
      <c r="G56" s="1">
        <v>12.0</v>
      </c>
      <c r="H56" s="1">
        <v>12.0</v>
      </c>
      <c r="I56" s="1">
        <v>100.0</v>
      </c>
      <c r="J56" s="1">
        <v>53.27</v>
      </c>
      <c r="K56" s="26">
        <v>1.0</v>
      </c>
      <c r="L56" s="1" t="s">
        <v>565</v>
      </c>
      <c r="M56" s="1" t="s">
        <v>826</v>
      </c>
      <c r="N56" s="1">
        <v>2.0</v>
      </c>
      <c r="O56" s="101">
        <f t="shared" si="1"/>
        <v>582256.33</v>
      </c>
      <c r="P56" t="str">
        <f t="shared" si="2"/>
        <v> </v>
      </c>
      <c r="Q56" t="str">
        <f t="shared" si="3"/>
        <v> </v>
      </c>
    </row>
    <row r="57">
      <c r="A57" s="1" t="s">
        <v>267</v>
      </c>
      <c r="B57" s="27">
        <v>3.50076567E8</v>
      </c>
      <c r="C57" s="61">
        <v>576732.4</v>
      </c>
      <c r="D57" s="61">
        <v>2632155.0</v>
      </c>
      <c r="E57" s="27">
        <v>1426541.0</v>
      </c>
      <c r="F57" s="27">
        <v>7814391.0</v>
      </c>
      <c r="G57" s="1">
        <v>133.0</v>
      </c>
      <c r="H57" s="1">
        <v>133.0</v>
      </c>
      <c r="I57" s="1">
        <v>100.0</v>
      </c>
      <c r="J57" s="1">
        <v>8.57</v>
      </c>
      <c r="K57" s="26">
        <v>1.0</v>
      </c>
      <c r="L57" s="1" t="s">
        <v>672</v>
      </c>
      <c r="M57" s="1" t="s">
        <v>182</v>
      </c>
      <c r="N57" s="1">
        <v>2.0</v>
      </c>
      <c r="O57" t="str">
        <f t="shared" si="1"/>
        <v> </v>
      </c>
      <c r="P57" s="101">
        <f t="shared" si="2"/>
        <v>576732.4</v>
      </c>
      <c r="Q57" t="str">
        <f t="shared" si="3"/>
        <v> </v>
      </c>
    </row>
    <row r="58">
      <c r="A58" s="1" t="s">
        <v>318</v>
      </c>
      <c r="B58" s="27">
        <v>3.47970863E8</v>
      </c>
      <c r="C58" s="61">
        <v>573263.37</v>
      </c>
      <c r="D58" s="61">
        <v>887680.8</v>
      </c>
      <c r="E58" s="27">
        <v>408156.0</v>
      </c>
      <c r="F58" s="27">
        <v>4838169.0</v>
      </c>
      <c r="G58" s="1">
        <v>392.0</v>
      </c>
      <c r="H58" s="1">
        <v>392.0</v>
      </c>
      <c r="I58" s="1">
        <v>100.0</v>
      </c>
      <c r="J58" s="1">
        <v>2.33</v>
      </c>
      <c r="K58" s="26">
        <v>1.0</v>
      </c>
      <c r="L58" s="1" t="s">
        <v>732</v>
      </c>
      <c r="M58" s="1" t="s">
        <v>193</v>
      </c>
      <c r="N58" s="1">
        <v>2.0</v>
      </c>
      <c r="O58" t="str">
        <f t="shared" si="1"/>
        <v> </v>
      </c>
      <c r="P58" s="101">
        <f t="shared" si="2"/>
        <v>573263.37</v>
      </c>
      <c r="Q58" t="str">
        <f t="shared" si="3"/>
        <v> </v>
      </c>
    </row>
    <row r="59">
      <c r="A59" s="1" t="s">
        <v>314</v>
      </c>
      <c r="B59" s="27">
        <v>3.47010419E8</v>
      </c>
      <c r="C59" s="61">
        <v>571681.09</v>
      </c>
      <c r="D59" s="61">
        <v>9639179.0</v>
      </c>
      <c r="E59" s="27">
        <v>4054648.0</v>
      </c>
      <c r="F59" s="27">
        <v>2.6137348E7</v>
      </c>
      <c r="G59" s="1">
        <v>36.0</v>
      </c>
      <c r="H59" s="1">
        <v>36.0</v>
      </c>
      <c r="I59" s="1">
        <v>100.0</v>
      </c>
      <c r="J59" s="1">
        <v>34.47</v>
      </c>
      <c r="K59" s="26">
        <v>1.0</v>
      </c>
      <c r="L59" s="1" t="s">
        <v>566</v>
      </c>
      <c r="M59" s="1" t="s">
        <v>826</v>
      </c>
      <c r="N59" s="1">
        <v>2.0</v>
      </c>
      <c r="O59" s="101">
        <f t="shared" si="1"/>
        <v>571681.09</v>
      </c>
      <c r="P59" t="str">
        <f t="shared" si="2"/>
        <v> </v>
      </c>
      <c r="Q59" t="str">
        <f t="shared" si="3"/>
        <v> </v>
      </c>
    </row>
    <row r="60">
      <c r="A60" s="1" t="s">
        <v>301</v>
      </c>
      <c r="B60" s="27">
        <v>3.44041847E8</v>
      </c>
      <c r="C60" s="61">
        <v>566790.52</v>
      </c>
      <c r="D60" s="61">
        <v>2123715.0</v>
      </c>
      <c r="E60" s="27">
        <v>1177674.0</v>
      </c>
      <c r="F60" s="27">
        <v>6583172.0</v>
      </c>
      <c r="G60" s="1">
        <v>162.0</v>
      </c>
      <c r="H60" s="1">
        <v>162.0</v>
      </c>
      <c r="I60" s="1">
        <v>100.0</v>
      </c>
      <c r="J60" s="1">
        <v>4.2</v>
      </c>
      <c r="K60" s="26">
        <v>1.0</v>
      </c>
      <c r="L60" s="1" t="s">
        <v>567</v>
      </c>
      <c r="M60" s="1" t="s">
        <v>247</v>
      </c>
      <c r="N60" s="1">
        <v>2.0</v>
      </c>
      <c r="O60" t="str">
        <f t="shared" si="1"/>
        <v> </v>
      </c>
      <c r="P60" s="101">
        <f t="shared" si="2"/>
        <v>566790.52</v>
      </c>
      <c r="Q60" t="str">
        <f t="shared" si="3"/>
        <v> </v>
      </c>
    </row>
    <row r="61">
      <c r="A61" s="1" t="s">
        <v>301</v>
      </c>
      <c r="B61" s="27">
        <v>3.44041847E8</v>
      </c>
      <c r="C61" s="61">
        <v>566790.52</v>
      </c>
      <c r="D61" s="61">
        <v>2123715.0</v>
      </c>
      <c r="E61" s="27">
        <v>1177674.0</v>
      </c>
      <c r="F61" s="27">
        <v>6583172.0</v>
      </c>
      <c r="G61" s="1">
        <v>162.0</v>
      </c>
      <c r="H61" s="1">
        <v>162.0</v>
      </c>
      <c r="I61" s="1">
        <v>100.0</v>
      </c>
      <c r="J61" s="1">
        <v>4.2</v>
      </c>
      <c r="K61" s="26">
        <v>1.0</v>
      </c>
      <c r="L61" s="1" t="s">
        <v>567</v>
      </c>
      <c r="M61" s="1" t="s">
        <v>247</v>
      </c>
      <c r="N61" s="1">
        <v>5.0</v>
      </c>
      <c r="O61" t="str">
        <f t="shared" si="1"/>
        <v> </v>
      </c>
      <c r="P61" s="101">
        <f t="shared" si="2"/>
        <v>566790.52</v>
      </c>
      <c r="Q61" t="str">
        <f t="shared" si="3"/>
        <v> </v>
      </c>
    </row>
    <row r="62">
      <c r="A62" s="1" t="s">
        <v>183</v>
      </c>
      <c r="B62" s="27">
        <v>3.42631816E8</v>
      </c>
      <c r="C62" s="61">
        <v>564467.57</v>
      </c>
      <c r="D62" s="61">
        <v>4178437.0</v>
      </c>
      <c r="E62" s="27">
        <v>1979989.0</v>
      </c>
      <c r="F62" s="27">
        <v>1.1920992E7</v>
      </c>
      <c r="G62" s="1">
        <v>82.0</v>
      </c>
      <c r="H62" s="1">
        <v>82.0</v>
      </c>
      <c r="I62" s="1">
        <v>100.0</v>
      </c>
      <c r="J62" s="1">
        <v>10.09</v>
      </c>
      <c r="K62" s="26">
        <v>1.0</v>
      </c>
      <c r="L62" s="1" t="s">
        <v>831</v>
      </c>
      <c r="M62" s="1" t="s">
        <v>826</v>
      </c>
      <c r="N62" s="1">
        <v>2.0</v>
      </c>
      <c r="O62" s="101">
        <f t="shared" si="1"/>
        <v>564467.57</v>
      </c>
      <c r="P62" t="str">
        <f t="shared" si="2"/>
        <v> </v>
      </c>
      <c r="Q62" t="str">
        <f t="shared" si="3"/>
        <v> </v>
      </c>
    </row>
    <row r="63">
      <c r="A63" s="1" t="s">
        <v>218</v>
      </c>
      <c r="B63" s="27">
        <v>3.17741215E8</v>
      </c>
      <c r="C63" s="61">
        <v>523461.64</v>
      </c>
      <c r="D63" s="61">
        <v>1527602.0</v>
      </c>
      <c r="E63" s="27">
        <v>603897.0</v>
      </c>
      <c r="F63" s="27">
        <v>6344667.0</v>
      </c>
      <c r="G63" s="1">
        <v>208.0</v>
      </c>
      <c r="H63" s="1">
        <v>208.0</v>
      </c>
      <c r="I63" s="1">
        <v>100.0</v>
      </c>
      <c r="J63" s="1">
        <v>8.36</v>
      </c>
      <c r="K63" s="26">
        <v>1.0</v>
      </c>
      <c r="L63" s="1" t="s">
        <v>781</v>
      </c>
      <c r="M63" s="1" t="s">
        <v>193</v>
      </c>
      <c r="N63" s="1">
        <v>2.0</v>
      </c>
      <c r="O63" t="str">
        <f t="shared" si="1"/>
        <v> </v>
      </c>
      <c r="P63" s="101">
        <f t="shared" si="2"/>
        <v>523461.64</v>
      </c>
      <c r="Q63" t="str">
        <f t="shared" si="3"/>
        <v> </v>
      </c>
    </row>
    <row r="64">
      <c r="A64" s="1" t="s">
        <v>218</v>
      </c>
      <c r="B64" s="27">
        <v>3.17741215E8</v>
      </c>
      <c r="C64" s="61">
        <v>523461.64</v>
      </c>
      <c r="D64" s="61">
        <v>1527602.0</v>
      </c>
      <c r="E64" s="27">
        <v>603897.0</v>
      </c>
      <c r="F64" s="27">
        <v>6344667.0</v>
      </c>
      <c r="G64" s="1">
        <v>208.0</v>
      </c>
      <c r="H64" s="1">
        <v>208.0</v>
      </c>
      <c r="I64" s="1">
        <v>100.0</v>
      </c>
      <c r="J64" s="1">
        <v>8.36</v>
      </c>
      <c r="K64" s="26">
        <v>1.0</v>
      </c>
      <c r="L64" s="1" t="s">
        <v>781</v>
      </c>
      <c r="M64" s="1" t="s">
        <v>193</v>
      </c>
      <c r="N64" s="1">
        <v>5.0</v>
      </c>
      <c r="O64" t="str">
        <f t="shared" si="1"/>
        <v> </v>
      </c>
      <c r="P64" s="101">
        <f t="shared" si="2"/>
        <v>523461.64</v>
      </c>
      <c r="Q64" t="str">
        <f t="shared" si="3"/>
        <v> </v>
      </c>
    </row>
    <row r="65">
      <c r="A65" s="1" t="s">
        <v>308</v>
      </c>
      <c r="B65" s="27">
        <v>3.15256102E8</v>
      </c>
      <c r="C65" s="61">
        <v>519367.55</v>
      </c>
      <c r="D65" s="61">
        <v>1.751423E7</v>
      </c>
      <c r="E65" s="27">
        <v>5409603.0</v>
      </c>
      <c r="F65" s="27">
        <v>5.2014083E7</v>
      </c>
      <c r="G65" s="1">
        <v>18.0</v>
      </c>
      <c r="H65" s="1">
        <v>18.0</v>
      </c>
      <c r="I65" s="1">
        <v>100.0</v>
      </c>
      <c r="J65" s="1">
        <v>32.88</v>
      </c>
      <c r="K65" s="26">
        <v>1.0</v>
      </c>
      <c r="L65" s="1" t="s">
        <v>569</v>
      </c>
      <c r="M65" s="1" t="s">
        <v>826</v>
      </c>
      <c r="N65" s="1">
        <v>2.0</v>
      </c>
      <c r="O65" s="101">
        <f t="shared" si="1"/>
        <v>519367.55</v>
      </c>
      <c r="P65" t="str">
        <f t="shared" si="2"/>
        <v> </v>
      </c>
      <c r="Q65" t="str">
        <f t="shared" si="3"/>
        <v> </v>
      </c>
    </row>
    <row r="66">
      <c r="A66" s="1" t="s">
        <v>208</v>
      </c>
      <c r="B66" s="27">
        <v>3.02271319E8</v>
      </c>
      <c r="C66" s="61">
        <v>497975.81</v>
      </c>
      <c r="D66" s="61">
        <v>650045.9</v>
      </c>
      <c r="E66" s="27">
        <v>270592.0</v>
      </c>
      <c r="F66" s="27">
        <v>1921710.0</v>
      </c>
      <c r="G66" s="1">
        <v>465.0</v>
      </c>
      <c r="H66" s="1">
        <v>465.0</v>
      </c>
      <c r="I66" s="1">
        <v>100.0</v>
      </c>
      <c r="J66" s="1">
        <v>1.89</v>
      </c>
      <c r="K66" s="26">
        <v>1.0</v>
      </c>
      <c r="L66" s="1" t="s">
        <v>751</v>
      </c>
      <c r="M66" s="1" t="s">
        <v>826</v>
      </c>
      <c r="N66" s="1">
        <v>2.0</v>
      </c>
      <c r="O66" s="101">
        <f t="shared" si="1"/>
        <v>497975.81</v>
      </c>
      <c r="P66" t="str">
        <f t="shared" si="2"/>
        <v> </v>
      </c>
      <c r="Q66" t="str">
        <f t="shared" si="3"/>
        <v> </v>
      </c>
    </row>
    <row r="67">
      <c r="A67" s="1" t="s">
        <v>208</v>
      </c>
      <c r="B67" s="27">
        <v>3.02271319E8</v>
      </c>
      <c r="C67" s="61">
        <v>497975.81</v>
      </c>
      <c r="D67" s="61">
        <v>650045.9</v>
      </c>
      <c r="E67" s="27">
        <v>270592.0</v>
      </c>
      <c r="F67" s="27">
        <v>1921710.0</v>
      </c>
      <c r="G67" s="1">
        <v>465.0</v>
      </c>
      <c r="H67" s="1">
        <v>465.0</v>
      </c>
      <c r="I67" s="1">
        <v>100.0</v>
      </c>
      <c r="J67" s="1">
        <v>1.89</v>
      </c>
      <c r="K67" s="26">
        <v>1.0</v>
      </c>
      <c r="L67" s="1" t="s">
        <v>751</v>
      </c>
      <c r="M67" s="1" t="s">
        <v>826</v>
      </c>
      <c r="N67" s="1">
        <v>5.0</v>
      </c>
      <c r="O67" s="101">
        <f t="shared" si="1"/>
        <v>497975.81</v>
      </c>
      <c r="P67" t="str">
        <f t="shared" si="2"/>
        <v> </v>
      </c>
      <c r="Q67" t="str">
        <f t="shared" si="3"/>
        <v> </v>
      </c>
    </row>
    <row r="68">
      <c r="A68" s="1" t="s">
        <v>310</v>
      </c>
      <c r="B68" s="27">
        <v>2.96833746E8</v>
      </c>
      <c r="C68" s="61">
        <v>489017.7</v>
      </c>
      <c r="D68" s="61">
        <v>3373111.0</v>
      </c>
      <c r="E68" s="27">
        <v>1280324.0</v>
      </c>
      <c r="F68" s="27">
        <v>1.4225572E7</v>
      </c>
      <c r="G68" s="1">
        <v>88.0</v>
      </c>
      <c r="H68" s="1">
        <v>88.0</v>
      </c>
      <c r="I68" s="1">
        <v>100.0</v>
      </c>
      <c r="J68" s="1">
        <v>13.09</v>
      </c>
      <c r="K68" s="26">
        <v>1.0</v>
      </c>
      <c r="L68" s="1" t="s">
        <v>570</v>
      </c>
      <c r="M68" s="1" t="s">
        <v>826</v>
      </c>
      <c r="N68" s="1">
        <v>2.0</v>
      </c>
      <c r="O68" s="101">
        <f t="shared" si="1"/>
        <v>489017.7</v>
      </c>
      <c r="P68" t="str">
        <f t="shared" si="2"/>
        <v> </v>
      </c>
      <c r="Q68" t="str">
        <f t="shared" si="3"/>
        <v> </v>
      </c>
    </row>
    <row r="69">
      <c r="A69" s="1" t="s">
        <v>326</v>
      </c>
      <c r="B69" s="27">
        <v>2.92312753E8</v>
      </c>
      <c r="C69" s="61">
        <v>481569.61</v>
      </c>
      <c r="D69" s="61">
        <v>2073140.0</v>
      </c>
      <c r="E69" s="27">
        <v>800311.0</v>
      </c>
      <c r="F69" s="27">
        <v>6899669.0</v>
      </c>
      <c r="G69" s="1">
        <v>141.0</v>
      </c>
      <c r="H69" s="1">
        <v>141.0</v>
      </c>
      <c r="I69" s="1">
        <v>100.0</v>
      </c>
      <c r="J69" s="1">
        <v>5.06</v>
      </c>
      <c r="K69" s="26">
        <v>1.0</v>
      </c>
      <c r="L69" s="1" t="s">
        <v>571</v>
      </c>
      <c r="M69" s="1" t="s">
        <v>826</v>
      </c>
      <c r="N69" s="1">
        <v>2.0</v>
      </c>
      <c r="O69" s="101">
        <f t="shared" si="1"/>
        <v>481569.61</v>
      </c>
      <c r="P69" t="str">
        <f t="shared" si="2"/>
        <v> </v>
      </c>
      <c r="Q69" t="str">
        <f t="shared" si="3"/>
        <v> </v>
      </c>
    </row>
    <row r="70">
      <c r="A70" s="1" t="s">
        <v>334</v>
      </c>
      <c r="B70" s="27">
        <v>2.77844913E8</v>
      </c>
      <c r="C70" s="61">
        <v>457734.62</v>
      </c>
      <c r="D70" s="61">
        <v>847088.2</v>
      </c>
      <c r="E70" s="27">
        <v>335245.0</v>
      </c>
      <c r="F70" s="27">
        <v>6322938.0</v>
      </c>
      <c r="G70" s="1">
        <v>328.0</v>
      </c>
      <c r="H70" s="1">
        <v>328.0</v>
      </c>
      <c r="I70" s="1">
        <v>100.0</v>
      </c>
      <c r="J70" s="1">
        <v>3.03</v>
      </c>
      <c r="K70" s="26">
        <v>1.0</v>
      </c>
      <c r="L70" s="1" t="s">
        <v>758</v>
      </c>
      <c r="M70" s="1" t="s">
        <v>187</v>
      </c>
      <c r="N70" s="1">
        <v>2.0</v>
      </c>
      <c r="O70" t="str">
        <f t="shared" si="1"/>
        <v> </v>
      </c>
      <c r="P70" s="101">
        <f t="shared" si="2"/>
        <v>457734.62</v>
      </c>
      <c r="Q70" t="str">
        <f t="shared" si="3"/>
        <v> </v>
      </c>
    </row>
    <row r="71">
      <c r="A71" s="1" t="s">
        <v>324</v>
      </c>
      <c r="B71" s="27">
        <v>2.68481409E8</v>
      </c>
      <c r="C71" s="61">
        <v>442308.75</v>
      </c>
      <c r="D71" s="61">
        <v>1917724.0</v>
      </c>
      <c r="E71" s="27">
        <v>1050514.0</v>
      </c>
      <c r="F71" s="27">
        <v>6921476.0</v>
      </c>
      <c r="G71" s="27">
        <v>140.0</v>
      </c>
      <c r="H71" s="27">
        <v>140.0</v>
      </c>
      <c r="I71" s="1">
        <v>100.0</v>
      </c>
      <c r="J71" s="1">
        <v>6.94</v>
      </c>
      <c r="K71" s="26">
        <v>1.0</v>
      </c>
      <c r="L71" s="1" t="s">
        <v>673</v>
      </c>
      <c r="M71" s="1" t="s">
        <v>182</v>
      </c>
      <c r="N71" s="1">
        <v>2.0</v>
      </c>
      <c r="O71" t="str">
        <f t="shared" si="1"/>
        <v> </v>
      </c>
      <c r="P71" s="101">
        <f t="shared" si="2"/>
        <v>442308.75</v>
      </c>
      <c r="Q71" t="str">
        <f t="shared" si="3"/>
        <v> </v>
      </c>
    </row>
    <row r="72">
      <c r="A72" s="1" t="s">
        <v>316</v>
      </c>
      <c r="B72" s="27">
        <v>2.67882594E8</v>
      </c>
      <c r="C72" s="61">
        <v>441322.23</v>
      </c>
      <c r="D72" s="61">
        <v>5151589.0</v>
      </c>
      <c r="E72" s="27">
        <v>745546.0</v>
      </c>
      <c r="F72" s="27">
        <v>1.6644177E7</v>
      </c>
      <c r="G72" s="1">
        <v>52.0</v>
      </c>
      <c r="H72" s="1">
        <v>52.0</v>
      </c>
      <c r="I72" s="1">
        <v>100.0</v>
      </c>
      <c r="J72" s="1">
        <v>11.65</v>
      </c>
      <c r="K72" s="26">
        <v>1.0</v>
      </c>
      <c r="L72" s="1" t="s">
        <v>789</v>
      </c>
      <c r="M72" s="1" t="s">
        <v>826</v>
      </c>
      <c r="N72" s="1">
        <v>2.0</v>
      </c>
      <c r="O72" s="101">
        <f t="shared" si="1"/>
        <v>441322.23</v>
      </c>
      <c r="P72" t="str">
        <f t="shared" si="2"/>
        <v> </v>
      </c>
      <c r="Q72" t="str">
        <f t="shared" si="3"/>
        <v> </v>
      </c>
    </row>
    <row r="73">
      <c r="A73" s="1" t="s">
        <v>338</v>
      </c>
      <c r="B73" s="27">
        <v>2.45562186E8</v>
      </c>
      <c r="C73" s="61">
        <v>404550.55</v>
      </c>
      <c r="D73" s="61">
        <v>1.754016E7</v>
      </c>
      <c r="E73" s="27">
        <v>7262255.0</v>
      </c>
      <c r="F73" s="27">
        <v>3.4832749E7</v>
      </c>
      <c r="G73" s="1">
        <v>14.0</v>
      </c>
      <c r="H73" s="1">
        <v>14.0</v>
      </c>
      <c r="I73" s="1">
        <v>100.0</v>
      </c>
      <c r="J73" s="1">
        <v>46.17</v>
      </c>
      <c r="K73" s="26">
        <v>1.0</v>
      </c>
      <c r="L73" s="1" t="s">
        <v>572</v>
      </c>
      <c r="M73" s="1" t="s">
        <v>150</v>
      </c>
      <c r="N73" s="1">
        <v>2.0</v>
      </c>
      <c r="O73" t="str">
        <f t="shared" si="1"/>
        <v> </v>
      </c>
      <c r="P73" s="101">
        <f t="shared" si="2"/>
        <v>404550.55</v>
      </c>
      <c r="Q73" t="str">
        <f t="shared" si="3"/>
        <v> </v>
      </c>
    </row>
    <row r="74">
      <c r="A74" s="1" t="s">
        <v>330</v>
      </c>
      <c r="B74" s="27">
        <v>2.42595365E8</v>
      </c>
      <c r="C74" s="61">
        <v>399662.87</v>
      </c>
      <c r="D74" s="61">
        <v>572158.9</v>
      </c>
      <c r="E74" s="27">
        <v>209881.0</v>
      </c>
      <c r="F74" s="27">
        <v>2314200.0</v>
      </c>
      <c r="G74" s="1">
        <v>424.0</v>
      </c>
      <c r="H74" s="1">
        <v>424.0</v>
      </c>
      <c r="I74" s="1">
        <v>100.0</v>
      </c>
      <c r="J74" s="1">
        <v>1.87</v>
      </c>
      <c r="K74" s="26">
        <v>1.0</v>
      </c>
      <c r="L74" s="1" t="s">
        <v>792</v>
      </c>
      <c r="M74" s="1" t="s">
        <v>826</v>
      </c>
      <c r="N74" s="1">
        <v>2.0</v>
      </c>
      <c r="O74" s="101">
        <f t="shared" si="1"/>
        <v>399662.87</v>
      </c>
      <c r="P74" t="str">
        <f t="shared" si="2"/>
        <v> </v>
      </c>
      <c r="Q74" t="str">
        <f t="shared" si="3"/>
        <v> </v>
      </c>
    </row>
    <row r="75">
      <c r="A75" s="1" t="s">
        <v>346</v>
      </c>
      <c r="B75" s="27">
        <v>2.39036775E8</v>
      </c>
      <c r="C75" s="61">
        <v>393800.29</v>
      </c>
      <c r="D75" s="61">
        <v>477119.3</v>
      </c>
      <c r="E75" s="27">
        <v>173996.0</v>
      </c>
      <c r="F75" s="27">
        <v>1651624.0</v>
      </c>
      <c r="G75" s="1">
        <v>501.0</v>
      </c>
      <c r="H75" s="1">
        <v>501.0</v>
      </c>
      <c r="I75" s="1">
        <v>100.0</v>
      </c>
      <c r="J75" s="1">
        <v>1.57</v>
      </c>
      <c r="K75" s="26">
        <v>1.0</v>
      </c>
      <c r="L75" s="1" t="s">
        <v>735</v>
      </c>
      <c r="M75" s="1" t="s">
        <v>172</v>
      </c>
      <c r="N75" s="1">
        <v>2.0</v>
      </c>
      <c r="O75" t="str">
        <f t="shared" si="1"/>
        <v> </v>
      </c>
      <c r="P75" s="101">
        <f t="shared" si="2"/>
        <v>393800.29</v>
      </c>
      <c r="Q75" t="str">
        <f t="shared" si="3"/>
        <v> </v>
      </c>
    </row>
    <row r="76">
      <c r="A76" s="1" t="s">
        <v>322</v>
      </c>
      <c r="B76" s="27">
        <v>2.34768122E8</v>
      </c>
      <c r="C76" s="61">
        <v>386767.91</v>
      </c>
      <c r="D76" s="61">
        <v>844489.7</v>
      </c>
      <c r="E76" s="27">
        <v>336185.0</v>
      </c>
      <c r="F76" s="27">
        <v>5231768.0</v>
      </c>
      <c r="G76" s="1">
        <v>278.0</v>
      </c>
      <c r="H76" s="1">
        <v>278.0</v>
      </c>
      <c r="I76" s="1">
        <v>100.0</v>
      </c>
      <c r="J76" s="1">
        <v>3.03</v>
      </c>
      <c r="K76" s="26">
        <v>1.0</v>
      </c>
      <c r="L76" s="1" t="s">
        <v>762</v>
      </c>
      <c r="M76" s="1" t="s">
        <v>172</v>
      </c>
      <c r="N76" s="1">
        <v>2.0</v>
      </c>
      <c r="O76" t="str">
        <f t="shared" si="1"/>
        <v> </v>
      </c>
      <c r="P76" s="101">
        <f t="shared" si="2"/>
        <v>386767.91</v>
      </c>
      <c r="Q76" t="str">
        <f t="shared" si="3"/>
        <v> </v>
      </c>
    </row>
    <row r="77">
      <c r="A77" s="1" t="s">
        <v>340</v>
      </c>
      <c r="B77" s="27">
        <v>2.30329665E8</v>
      </c>
      <c r="C77" s="61">
        <v>379455.79</v>
      </c>
      <c r="D77" s="61">
        <v>1706146.0</v>
      </c>
      <c r="E77" s="27">
        <v>16851.0</v>
      </c>
      <c r="F77" s="27">
        <v>6108843.0</v>
      </c>
      <c r="G77" s="1">
        <v>135.0</v>
      </c>
      <c r="H77" s="1">
        <v>135.0</v>
      </c>
      <c r="I77" s="1">
        <v>100.0</v>
      </c>
      <c r="J77" s="1">
        <v>5.8</v>
      </c>
      <c r="K77" s="26">
        <v>1.0</v>
      </c>
      <c r="L77" s="1" t="s">
        <v>793</v>
      </c>
      <c r="M77" s="1" t="s">
        <v>826</v>
      </c>
      <c r="N77" s="1">
        <v>2.0</v>
      </c>
      <c r="O77" s="101">
        <f t="shared" si="1"/>
        <v>379455.79</v>
      </c>
      <c r="P77" t="str">
        <f t="shared" si="2"/>
        <v> </v>
      </c>
      <c r="Q77" t="str">
        <f t="shared" si="3"/>
        <v> </v>
      </c>
    </row>
    <row r="78">
      <c r="A78" s="1" t="s">
        <v>336</v>
      </c>
      <c r="B78" s="27">
        <v>2.22549857E8</v>
      </c>
      <c r="C78" s="61">
        <v>366638.97</v>
      </c>
      <c r="D78" s="61">
        <v>616481.6</v>
      </c>
      <c r="E78" s="27">
        <v>298715.0</v>
      </c>
      <c r="F78" s="27">
        <v>3041868.0</v>
      </c>
      <c r="G78" s="1">
        <v>361.0</v>
      </c>
      <c r="H78" s="1">
        <v>361.0</v>
      </c>
      <c r="I78" s="1">
        <v>100.0</v>
      </c>
      <c r="J78" s="1">
        <v>2.47</v>
      </c>
      <c r="K78" s="26">
        <v>1.0</v>
      </c>
      <c r="L78" s="1" t="s">
        <v>676</v>
      </c>
      <c r="M78" s="1" t="s">
        <v>182</v>
      </c>
      <c r="N78" s="1">
        <v>2.0</v>
      </c>
      <c r="O78" t="str">
        <f t="shared" si="1"/>
        <v> </v>
      </c>
      <c r="P78" s="101">
        <f t="shared" si="2"/>
        <v>366638.97</v>
      </c>
      <c r="Q78" t="str">
        <f t="shared" si="3"/>
        <v> </v>
      </c>
    </row>
    <row r="79">
      <c r="A79" s="1" t="s">
        <v>344</v>
      </c>
      <c r="B79" s="27">
        <v>2.18153066E8</v>
      </c>
      <c r="C79" s="61">
        <v>359395.5</v>
      </c>
      <c r="D79" s="61">
        <v>1048813.0</v>
      </c>
      <c r="E79" s="27">
        <v>260235.0</v>
      </c>
      <c r="F79" s="27">
        <v>4765384.0</v>
      </c>
      <c r="G79" s="1">
        <v>208.0</v>
      </c>
      <c r="H79" s="1">
        <v>208.0</v>
      </c>
      <c r="I79" s="1">
        <v>100.0</v>
      </c>
      <c r="J79" s="1">
        <v>4.87</v>
      </c>
      <c r="K79" s="26">
        <v>1.0</v>
      </c>
      <c r="L79" s="1" t="s">
        <v>575</v>
      </c>
      <c r="M79" s="1" t="s">
        <v>826</v>
      </c>
      <c r="N79" s="1">
        <v>2.0</v>
      </c>
      <c r="O79" s="101">
        <f t="shared" si="1"/>
        <v>359395.5</v>
      </c>
      <c r="P79" t="str">
        <f t="shared" si="2"/>
        <v> </v>
      </c>
      <c r="Q79" t="str">
        <f t="shared" si="3"/>
        <v> </v>
      </c>
    </row>
    <row r="80">
      <c r="A80" s="1" t="s">
        <v>348</v>
      </c>
      <c r="B80" s="27">
        <v>2.00900188E8</v>
      </c>
      <c r="C80" s="61">
        <v>330972.3</v>
      </c>
      <c r="D80" s="61">
        <v>102500.1</v>
      </c>
      <c r="E80" s="27">
        <v>39977.0</v>
      </c>
      <c r="F80" s="27">
        <v>366957.0</v>
      </c>
      <c r="G80" s="27">
        <v>1960.0</v>
      </c>
      <c r="H80" s="27">
        <v>1960.0</v>
      </c>
      <c r="I80" s="1">
        <v>100.0</v>
      </c>
      <c r="J80" s="1">
        <v>1.0</v>
      </c>
      <c r="K80" s="26">
        <v>1.0</v>
      </c>
      <c r="L80" s="1" t="s">
        <v>752</v>
      </c>
      <c r="M80" s="1" t="s">
        <v>826</v>
      </c>
      <c r="N80" s="1">
        <v>2.0</v>
      </c>
      <c r="O80" s="101">
        <f t="shared" si="1"/>
        <v>330972.3</v>
      </c>
      <c r="P80" t="str">
        <f t="shared" si="2"/>
        <v> </v>
      </c>
      <c r="Q80" t="str">
        <f t="shared" si="3"/>
        <v> </v>
      </c>
    </row>
    <row r="81">
      <c r="A81" s="1" t="s">
        <v>348</v>
      </c>
      <c r="B81" s="27">
        <v>2.00900188E8</v>
      </c>
      <c r="C81" s="61">
        <v>330972.3</v>
      </c>
      <c r="D81" s="61">
        <v>102500.1</v>
      </c>
      <c r="E81" s="27">
        <v>39977.0</v>
      </c>
      <c r="F81" s="27">
        <v>366957.0</v>
      </c>
      <c r="G81" s="27">
        <v>1960.0</v>
      </c>
      <c r="H81" s="27">
        <v>1960.0</v>
      </c>
      <c r="I81" s="1">
        <v>100.0</v>
      </c>
      <c r="J81" s="1">
        <v>1.0</v>
      </c>
      <c r="K81" s="26">
        <v>1.0</v>
      </c>
      <c r="L81" s="1" t="s">
        <v>752</v>
      </c>
      <c r="M81" s="1" t="s">
        <v>826</v>
      </c>
      <c r="N81" s="1">
        <v>5.0</v>
      </c>
      <c r="O81" s="101">
        <f t="shared" si="1"/>
        <v>330972.3</v>
      </c>
      <c r="P81" t="str">
        <f t="shared" si="2"/>
        <v> </v>
      </c>
      <c r="Q81" t="str">
        <f t="shared" si="3"/>
        <v> </v>
      </c>
    </row>
    <row r="82">
      <c r="A82" s="1" t="s">
        <v>350</v>
      </c>
      <c r="B82" s="27">
        <v>1.89000812E8</v>
      </c>
      <c r="C82" s="61">
        <v>311368.72</v>
      </c>
      <c r="D82" s="61">
        <v>1766363.0</v>
      </c>
      <c r="E82" s="27">
        <v>1222244.0</v>
      </c>
      <c r="F82" s="27">
        <v>5075931.0</v>
      </c>
      <c r="G82" s="1">
        <v>107.0</v>
      </c>
      <c r="H82" s="1">
        <v>107.0</v>
      </c>
      <c r="I82" s="1">
        <v>100.0</v>
      </c>
      <c r="J82" s="1">
        <v>5.66</v>
      </c>
      <c r="K82" s="26">
        <v>1.0</v>
      </c>
      <c r="L82" s="1" t="s">
        <v>764</v>
      </c>
      <c r="M82" s="1" t="s">
        <v>172</v>
      </c>
      <c r="N82" s="1">
        <v>2.0</v>
      </c>
      <c r="O82" t="str">
        <f t="shared" si="1"/>
        <v> </v>
      </c>
      <c r="P82" s="101">
        <f t="shared" si="2"/>
        <v>311368.72</v>
      </c>
      <c r="Q82" t="str">
        <f t="shared" si="3"/>
        <v> </v>
      </c>
    </row>
    <row r="83">
      <c r="A83" s="1" t="s">
        <v>370</v>
      </c>
      <c r="B83" s="27">
        <v>1.87430815E8</v>
      </c>
      <c r="C83" s="61">
        <v>308782.23</v>
      </c>
      <c r="D83" s="61">
        <v>2372542.0</v>
      </c>
      <c r="E83" s="27">
        <v>1495084.0</v>
      </c>
      <c r="F83" s="27">
        <v>5388702.0</v>
      </c>
      <c r="G83" s="1">
        <v>79.0</v>
      </c>
      <c r="H83" s="1">
        <v>79.0</v>
      </c>
      <c r="I83" s="1">
        <v>100.0</v>
      </c>
      <c r="J83" s="1">
        <v>8.53</v>
      </c>
      <c r="K83" s="26">
        <v>1.0</v>
      </c>
      <c r="L83" s="1" t="s">
        <v>765</v>
      </c>
      <c r="M83" s="1" t="s">
        <v>826</v>
      </c>
      <c r="N83" s="1">
        <v>2.0</v>
      </c>
      <c r="O83" s="101">
        <f t="shared" si="1"/>
        <v>308782.23</v>
      </c>
      <c r="P83" t="str">
        <f t="shared" si="2"/>
        <v> </v>
      </c>
      <c r="Q83" t="str">
        <f t="shared" si="3"/>
        <v> </v>
      </c>
    </row>
    <row r="84">
      <c r="A84" s="1" t="s">
        <v>352</v>
      </c>
      <c r="B84" s="27">
        <v>1.83488308E8</v>
      </c>
      <c r="C84" s="61">
        <v>302287.16</v>
      </c>
      <c r="D84" s="61">
        <v>970837.6</v>
      </c>
      <c r="E84" s="27">
        <v>507853.0</v>
      </c>
      <c r="F84" s="27">
        <v>2490229.0</v>
      </c>
      <c r="G84" s="1">
        <v>189.0</v>
      </c>
      <c r="H84" s="1">
        <v>189.0</v>
      </c>
      <c r="I84" s="1">
        <v>100.0</v>
      </c>
      <c r="J84" s="1">
        <v>3.33</v>
      </c>
      <c r="K84" s="26">
        <v>1.0</v>
      </c>
      <c r="L84" s="1" t="s">
        <v>578</v>
      </c>
      <c r="M84" s="1" t="s">
        <v>826</v>
      </c>
      <c r="N84" s="1">
        <v>2.0</v>
      </c>
      <c r="O84" s="101">
        <f t="shared" si="1"/>
        <v>302287.16</v>
      </c>
      <c r="P84" t="str">
        <f t="shared" si="2"/>
        <v> </v>
      </c>
      <c r="Q84" t="str">
        <f t="shared" si="3"/>
        <v> </v>
      </c>
    </row>
    <row r="85">
      <c r="A85" s="1" t="s">
        <v>342</v>
      </c>
      <c r="B85" s="27">
        <v>1.77616678E8</v>
      </c>
      <c r="C85" s="61">
        <v>292613.97</v>
      </c>
      <c r="D85" s="61">
        <v>3700347.0</v>
      </c>
      <c r="E85" s="27">
        <v>2152178.0</v>
      </c>
      <c r="F85" s="27">
        <v>7904696.0</v>
      </c>
      <c r="G85" s="1">
        <v>48.0</v>
      </c>
      <c r="H85" s="1">
        <v>48.0</v>
      </c>
      <c r="I85" s="1">
        <v>100.0</v>
      </c>
      <c r="J85" s="1">
        <v>20.21</v>
      </c>
      <c r="K85" s="26">
        <v>1.0</v>
      </c>
      <c r="L85" s="1" t="s">
        <v>677</v>
      </c>
      <c r="M85" s="1" t="s">
        <v>182</v>
      </c>
      <c r="N85" s="1">
        <v>2.0</v>
      </c>
      <c r="O85" t="str">
        <f t="shared" si="1"/>
        <v> </v>
      </c>
      <c r="P85" s="101">
        <f t="shared" si="2"/>
        <v>292613.97</v>
      </c>
      <c r="Q85" t="str">
        <f t="shared" si="3"/>
        <v> </v>
      </c>
    </row>
    <row r="86">
      <c r="A86" s="1" t="s">
        <v>376</v>
      </c>
      <c r="B86" s="27">
        <v>1.66631722E8</v>
      </c>
      <c r="C86" s="61">
        <v>274516.84</v>
      </c>
      <c r="D86" s="61">
        <v>9257318.0</v>
      </c>
      <c r="E86" s="27">
        <v>4745230.0</v>
      </c>
      <c r="F86" s="27">
        <v>2.0316409E7</v>
      </c>
      <c r="G86" s="1">
        <v>18.0</v>
      </c>
      <c r="H86" s="1">
        <v>18.0</v>
      </c>
      <c r="I86" s="1">
        <v>100.0</v>
      </c>
      <c r="J86" s="1">
        <v>34.47</v>
      </c>
      <c r="K86" s="26">
        <v>1.0</v>
      </c>
      <c r="L86" s="1" t="s">
        <v>580</v>
      </c>
      <c r="M86" s="1" t="s">
        <v>826</v>
      </c>
      <c r="N86" s="1">
        <v>2.0</v>
      </c>
      <c r="O86" s="101">
        <f t="shared" si="1"/>
        <v>274516.84</v>
      </c>
      <c r="P86" t="str">
        <f t="shared" si="2"/>
        <v> </v>
      </c>
      <c r="Q86" t="str">
        <f t="shared" si="3"/>
        <v> </v>
      </c>
    </row>
    <row r="87">
      <c r="A87" s="1" t="s">
        <v>356</v>
      </c>
      <c r="B87" s="27">
        <v>1.6603486E8</v>
      </c>
      <c r="C87" s="61">
        <v>273533.54</v>
      </c>
      <c r="D87" s="61">
        <v>4612080.0</v>
      </c>
      <c r="E87" s="27">
        <v>2625136.0</v>
      </c>
      <c r="F87" s="27">
        <v>9173069.0</v>
      </c>
      <c r="G87" s="1">
        <v>36.0</v>
      </c>
      <c r="H87" s="1">
        <v>36.0</v>
      </c>
      <c r="I87" s="1">
        <v>100.0</v>
      </c>
      <c r="J87" s="1">
        <v>27.38</v>
      </c>
      <c r="K87" s="26">
        <v>1.0</v>
      </c>
      <c r="L87" s="1" t="s">
        <v>679</v>
      </c>
      <c r="M87" s="1" t="s">
        <v>182</v>
      </c>
      <c r="N87" s="1">
        <v>2.0</v>
      </c>
      <c r="O87" t="str">
        <f t="shared" si="1"/>
        <v> </v>
      </c>
      <c r="P87" s="101">
        <f t="shared" si="2"/>
        <v>273533.54</v>
      </c>
      <c r="Q87" t="str">
        <f t="shared" si="3"/>
        <v> </v>
      </c>
    </row>
    <row r="88">
      <c r="A88" s="1" t="s">
        <v>178</v>
      </c>
      <c r="B88" s="27">
        <v>1.59291322E8</v>
      </c>
      <c r="C88" s="61">
        <v>262423.92</v>
      </c>
      <c r="D88" s="61">
        <v>525713.9</v>
      </c>
      <c r="E88" s="27">
        <v>148925.0</v>
      </c>
      <c r="F88" s="27">
        <v>5786340.0</v>
      </c>
      <c r="G88" s="1">
        <v>303.0</v>
      </c>
      <c r="H88" s="1">
        <v>303.0</v>
      </c>
      <c r="I88" s="1">
        <v>100.0</v>
      </c>
      <c r="J88" s="1">
        <v>2.18</v>
      </c>
      <c r="K88" s="26">
        <v>1.0</v>
      </c>
      <c r="L88" s="1" t="s">
        <v>625</v>
      </c>
      <c r="M88" s="1" t="s">
        <v>150</v>
      </c>
      <c r="N88" s="1">
        <v>2.0</v>
      </c>
      <c r="O88" t="str">
        <f t="shared" si="1"/>
        <v> </v>
      </c>
      <c r="P88" s="101">
        <f t="shared" si="2"/>
        <v>262423.92</v>
      </c>
      <c r="Q88" t="str">
        <f t="shared" si="3"/>
        <v> </v>
      </c>
    </row>
    <row r="89">
      <c r="A89" s="1" t="s">
        <v>372</v>
      </c>
      <c r="B89" s="27">
        <v>1.57915758E8</v>
      </c>
      <c r="C89" s="61">
        <v>260157.76</v>
      </c>
      <c r="D89" s="61">
        <v>6579824.0</v>
      </c>
      <c r="E89" s="27">
        <v>3638324.0</v>
      </c>
      <c r="F89" s="27">
        <v>1.1180547E7</v>
      </c>
      <c r="G89" s="1">
        <v>24.0</v>
      </c>
      <c r="H89" s="1">
        <v>24.0</v>
      </c>
      <c r="I89" s="1">
        <v>100.0</v>
      </c>
      <c r="J89" s="1">
        <v>25.0</v>
      </c>
      <c r="K89" s="26">
        <v>1.0</v>
      </c>
      <c r="L89" s="1" t="s">
        <v>794</v>
      </c>
      <c r="M89" s="1" t="s">
        <v>826</v>
      </c>
      <c r="N89" s="1">
        <v>2.0</v>
      </c>
      <c r="O89" s="101">
        <f t="shared" si="1"/>
        <v>260157.76</v>
      </c>
      <c r="P89" t="str">
        <f t="shared" si="2"/>
        <v> </v>
      </c>
      <c r="Q89" t="str">
        <f t="shared" si="3"/>
        <v> </v>
      </c>
    </row>
    <row r="90">
      <c r="A90" s="1" t="s">
        <v>378</v>
      </c>
      <c r="B90" s="27">
        <v>1.52349791E8</v>
      </c>
      <c r="C90" s="61">
        <v>250988.12</v>
      </c>
      <c r="D90" s="61">
        <v>1218798.0</v>
      </c>
      <c r="E90" s="27">
        <v>342811.0</v>
      </c>
      <c r="F90" s="27">
        <v>3739204.0</v>
      </c>
      <c r="G90" s="1">
        <v>125.0</v>
      </c>
      <c r="H90" s="1">
        <v>125.0</v>
      </c>
      <c r="I90" s="1">
        <v>100.0</v>
      </c>
      <c r="J90" s="1">
        <v>6.06</v>
      </c>
      <c r="K90" s="26">
        <v>1.0</v>
      </c>
      <c r="L90" s="1" t="s">
        <v>795</v>
      </c>
      <c r="M90" s="1" t="s">
        <v>826</v>
      </c>
      <c r="N90" s="1">
        <v>2.0</v>
      </c>
      <c r="O90" s="101">
        <f t="shared" si="1"/>
        <v>250988.12</v>
      </c>
      <c r="P90" t="str">
        <f t="shared" si="2"/>
        <v> </v>
      </c>
      <c r="Q90" t="str">
        <f t="shared" si="3"/>
        <v> </v>
      </c>
    </row>
    <row r="91">
      <c r="A91" s="1" t="s">
        <v>360</v>
      </c>
      <c r="B91" s="27">
        <v>1.51759585E8</v>
      </c>
      <c r="C91" s="61">
        <v>250015.79</v>
      </c>
      <c r="D91" s="61">
        <v>1724541.0</v>
      </c>
      <c r="E91" s="27">
        <v>162961.0</v>
      </c>
      <c r="F91" s="27">
        <v>2.274655E7</v>
      </c>
      <c r="G91" s="1">
        <v>88.0</v>
      </c>
      <c r="H91" s="1">
        <v>88.0</v>
      </c>
      <c r="I91" s="1">
        <v>100.0</v>
      </c>
      <c r="J91" s="1">
        <v>8.61</v>
      </c>
      <c r="K91" s="26">
        <v>1.0</v>
      </c>
      <c r="L91" s="1" t="s">
        <v>766</v>
      </c>
      <c r="M91" s="1" t="s">
        <v>187</v>
      </c>
      <c r="N91" s="1">
        <v>2.0</v>
      </c>
      <c r="O91" t="str">
        <f t="shared" si="1"/>
        <v> </v>
      </c>
      <c r="P91" s="101">
        <f t="shared" si="2"/>
        <v>250015.79</v>
      </c>
      <c r="Q91" t="str">
        <f t="shared" si="3"/>
        <v> </v>
      </c>
    </row>
    <row r="92">
      <c r="A92" s="1" t="s">
        <v>358</v>
      </c>
      <c r="B92" s="27">
        <v>1.49887499E8</v>
      </c>
      <c r="C92" s="61">
        <v>246931.63</v>
      </c>
      <c r="D92" s="61">
        <v>392375.7</v>
      </c>
      <c r="E92" s="27">
        <v>122398.0</v>
      </c>
      <c r="F92" s="27">
        <v>2476774.0</v>
      </c>
      <c r="G92" s="1">
        <v>382.0</v>
      </c>
      <c r="H92" s="1">
        <v>382.0</v>
      </c>
      <c r="I92" s="1">
        <v>100.0</v>
      </c>
      <c r="J92" s="1">
        <v>2.55</v>
      </c>
      <c r="K92" s="26">
        <v>1.0</v>
      </c>
      <c r="L92" s="1" t="s">
        <v>680</v>
      </c>
      <c r="M92" s="1" t="s">
        <v>182</v>
      </c>
      <c r="N92" s="1">
        <v>2.0</v>
      </c>
      <c r="O92" t="str">
        <f t="shared" si="1"/>
        <v> </v>
      </c>
      <c r="P92" s="101">
        <f t="shared" si="2"/>
        <v>246931.63</v>
      </c>
      <c r="Q92" t="str">
        <f t="shared" si="3"/>
        <v> </v>
      </c>
    </row>
    <row r="93">
      <c r="A93" s="1" t="s">
        <v>402</v>
      </c>
      <c r="B93" s="27">
        <v>1.31582938E8</v>
      </c>
      <c r="C93" s="61">
        <v>216775.85</v>
      </c>
      <c r="D93" s="61">
        <v>1.462033E7</v>
      </c>
      <c r="E93" s="27">
        <v>5614263.0</v>
      </c>
      <c r="F93" s="27">
        <v>3.2354205E7</v>
      </c>
      <c r="G93" s="1">
        <v>9.0</v>
      </c>
      <c r="H93" s="1">
        <v>9.0</v>
      </c>
      <c r="I93" s="1">
        <v>100.0</v>
      </c>
      <c r="J93" s="1">
        <v>68.5</v>
      </c>
      <c r="K93" s="26">
        <v>1.0</v>
      </c>
      <c r="L93" s="1" t="s">
        <v>583</v>
      </c>
      <c r="M93" s="1" t="s">
        <v>826</v>
      </c>
      <c r="N93" s="1">
        <v>2.0</v>
      </c>
      <c r="O93" s="101">
        <f t="shared" si="1"/>
        <v>216775.85</v>
      </c>
      <c r="P93" t="str">
        <f t="shared" si="2"/>
        <v> </v>
      </c>
      <c r="Q93" t="str">
        <f t="shared" si="3"/>
        <v> </v>
      </c>
    </row>
    <row r="94">
      <c r="A94" s="1" t="s">
        <v>366</v>
      </c>
      <c r="B94" s="27">
        <v>1.31142795E8</v>
      </c>
      <c r="C94" s="61">
        <v>216050.73</v>
      </c>
      <c r="D94" s="61">
        <v>630494.2</v>
      </c>
      <c r="E94" s="27">
        <v>167028.0</v>
      </c>
      <c r="F94" s="27">
        <v>5961470.0</v>
      </c>
      <c r="G94" s="1">
        <v>208.0</v>
      </c>
      <c r="H94" s="1">
        <v>208.0</v>
      </c>
      <c r="I94" s="1">
        <v>100.0</v>
      </c>
      <c r="J94" s="1">
        <v>4.82</v>
      </c>
      <c r="K94" s="26">
        <v>1.0</v>
      </c>
      <c r="L94" s="1" t="s">
        <v>584</v>
      </c>
      <c r="M94" s="1" t="s">
        <v>826</v>
      </c>
      <c r="N94" s="1">
        <v>2.0</v>
      </c>
      <c r="O94" s="101">
        <f t="shared" si="1"/>
        <v>216050.73</v>
      </c>
      <c r="P94" t="str">
        <f t="shared" si="2"/>
        <v> </v>
      </c>
      <c r="Q94" t="str">
        <f t="shared" si="3"/>
        <v> </v>
      </c>
    </row>
    <row r="95">
      <c r="A95" s="1" t="s">
        <v>423</v>
      </c>
      <c r="B95" s="27">
        <v>1.29178613E8</v>
      </c>
      <c r="C95" s="61">
        <v>212814.85</v>
      </c>
      <c r="D95" s="61">
        <v>3799371.0</v>
      </c>
      <c r="E95" s="27">
        <v>2606381.0</v>
      </c>
      <c r="F95" s="27">
        <v>1.0370309E7</v>
      </c>
      <c r="G95" s="1">
        <v>34.0</v>
      </c>
      <c r="H95" s="1">
        <v>34.0</v>
      </c>
      <c r="I95" s="1">
        <v>100.0</v>
      </c>
      <c r="J95" s="1">
        <v>17.61</v>
      </c>
      <c r="K95" s="26">
        <v>1.0</v>
      </c>
      <c r="L95" s="1" t="s">
        <v>738</v>
      </c>
      <c r="M95" s="1" t="s">
        <v>172</v>
      </c>
      <c r="N95" s="1">
        <v>2.0</v>
      </c>
      <c r="O95" t="str">
        <f t="shared" si="1"/>
        <v> </v>
      </c>
      <c r="P95" s="101">
        <f t="shared" si="2"/>
        <v>212814.85</v>
      </c>
      <c r="Q95" t="str">
        <f t="shared" si="3"/>
        <v> </v>
      </c>
    </row>
    <row r="96">
      <c r="A96" s="1" t="s">
        <v>374</v>
      </c>
      <c r="B96" s="27">
        <v>1.2874288E8</v>
      </c>
      <c r="C96" s="61">
        <v>212097.0</v>
      </c>
      <c r="D96" s="61">
        <v>412637.4</v>
      </c>
      <c r="E96" s="27">
        <v>250548.0</v>
      </c>
      <c r="F96" s="27">
        <v>1851454.0</v>
      </c>
      <c r="G96" s="1">
        <v>312.0</v>
      </c>
      <c r="H96" s="1">
        <v>312.0</v>
      </c>
      <c r="I96" s="1">
        <v>100.0</v>
      </c>
      <c r="J96" s="1">
        <v>2.68</v>
      </c>
      <c r="K96" s="26">
        <v>1.0</v>
      </c>
      <c r="L96" s="1" t="s">
        <v>681</v>
      </c>
      <c r="M96" s="1" t="s">
        <v>182</v>
      </c>
      <c r="N96" s="1">
        <v>2.0</v>
      </c>
      <c r="O96" t="str">
        <f t="shared" si="1"/>
        <v> </v>
      </c>
      <c r="P96" s="101">
        <f t="shared" si="2"/>
        <v>212097</v>
      </c>
      <c r="Q96" t="str">
        <f t="shared" si="3"/>
        <v> </v>
      </c>
    </row>
    <row r="97">
      <c r="A97" s="1" t="s">
        <v>368</v>
      </c>
      <c r="B97" s="27">
        <v>1.26586823E8</v>
      </c>
      <c r="C97" s="61">
        <v>208545.01</v>
      </c>
      <c r="D97" s="61">
        <v>2813041.0</v>
      </c>
      <c r="E97" s="27">
        <v>1458154.0</v>
      </c>
      <c r="F97" s="27">
        <v>6453420.0</v>
      </c>
      <c r="G97" s="1">
        <v>45.0</v>
      </c>
      <c r="H97" s="1">
        <v>45.0</v>
      </c>
      <c r="I97" s="1">
        <v>100.0</v>
      </c>
      <c r="J97" s="1">
        <v>20.89</v>
      </c>
      <c r="K97" s="26">
        <v>1.0</v>
      </c>
      <c r="L97" s="1" t="s">
        <v>682</v>
      </c>
      <c r="M97" s="1" t="s">
        <v>182</v>
      </c>
      <c r="N97" s="1">
        <v>2.0</v>
      </c>
      <c r="O97" t="str">
        <f t="shared" si="1"/>
        <v> </v>
      </c>
      <c r="P97" s="101">
        <f t="shared" si="2"/>
        <v>208545.01</v>
      </c>
      <c r="Q97" t="str">
        <f t="shared" si="3"/>
        <v> </v>
      </c>
    </row>
    <row r="98">
      <c r="A98" s="1" t="s">
        <v>354</v>
      </c>
      <c r="B98" s="27">
        <v>1.26429562E8</v>
      </c>
      <c r="C98" s="61">
        <v>208285.93</v>
      </c>
      <c r="D98" s="61">
        <v>554515.6</v>
      </c>
      <c r="E98" s="27">
        <v>292663.0</v>
      </c>
      <c r="F98" s="27">
        <v>2786953.0</v>
      </c>
      <c r="G98" s="1">
        <v>228.0</v>
      </c>
      <c r="H98" s="1">
        <v>228.0</v>
      </c>
      <c r="I98" s="1">
        <v>100.0</v>
      </c>
      <c r="J98" s="1">
        <v>3.75</v>
      </c>
      <c r="K98" s="26">
        <v>1.0</v>
      </c>
      <c r="L98" s="1" t="s">
        <v>683</v>
      </c>
      <c r="M98" s="1" t="s">
        <v>182</v>
      </c>
      <c r="N98" s="1">
        <v>2.0</v>
      </c>
      <c r="O98" t="str">
        <f t="shared" si="1"/>
        <v> </v>
      </c>
      <c r="P98" s="101">
        <f t="shared" si="2"/>
        <v>208285.93</v>
      </c>
      <c r="Q98" t="str">
        <f t="shared" si="3"/>
        <v> </v>
      </c>
    </row>
    <row r="99">
      <c r="A99" s="1" t="s">
        <v>204</v>
      </c>
      <c r="B99" s="27">
        <v>1.23189929E8</v>
      </c>
      <c r="C99" s="61">
        <v>202948.81</v>
      </c>
      <c r="D99" s="61">
        <v>2239817.0</v>
      </c>
      <c r="E99" s="27">
        <v>1413888.0</v>
      </c>
      <c r="F99" s="27">
        <v>4621753.0</v>
      </c>
      <c r="G99" s="1">
        <v>55.0</v>
      </c>
      <c r="H99" s="1">
        <v>55.0</v>
      </c>
      <c r="I99" s="1">
        <v>100.0</v>
      </c>
      <c r="J99" s="1">
        <v>11.84</v>
      </c>
      <c r="K99" s="26">
        <v>1.0</v>
      </c>
      <c r="L99" s="1" t="s">
        <v>627</v>
      </c>
      <c r="M99" s="1" t="s">
        <v>187</v>
      </c>
      <c r="N99" s="1">
        <v>2.0</v>
      </c>
      <c r="O99" t="str">
        <f t="shared" si="1"/>
        <v> </v>
      </c>
      <c r="P99" s="101">
        <f t="shared" si="2"/>
        <v>202948.81</v>
      </c>
      <c r="Q99" t="str">
        <f t="shared" si="3"/>
        <v> </v>
      </c>
    </row>
    <row r="100">
      <c r="A100" s="1" t="s">
        <v>390</v>
      </c>
      <c r="B100" s="27">
        <v>1.22351834E8</v>
      </c>
      <c r="C100" s="61">
        <v>201568.1</v>
      </c>
      <c r="D100" s="61">
        <v>8739417.0</v>
      </c>
      <c r="E100" s="27">
        <v>3981550.0</v>
      </c>
      <c r="F100" s="27">
        <v>2.0301737E7</v>
      </c>
      <c r="G100" s="1">
        <v>14.0</v>
      </c>
      <c r="H100" s="1">
        <v>14.0</v>
      </c>
      <c r="I100" s="1">
        <v>100.0</v>
      </c>
      <c r="J100" s="1">
        <v>43.92</v>
      </c>
      <c r="K100" s="26">
        <v>1.0</v>
      </c>
      <c r="L100" s="1" t="s">
        <v>585</v>
      </c>
      <c r="M100" s="1" t="s">
        <v>826</v>
      </c>
      <c r="N100" s="1">
        <v>2.0</v>
      </c>
      <c r="O100" s="101">
        <f t="shared" si="1"/>
        <v>201568.1</v>
      </c>
      <c r="P100" t="str">
        <f t="shared" si="2"/>
        <v> </v>
      </c>
      <c r="Q100" t="str">
        <f t="shared" si="3"/>
        <v> </v>
      </c>
    </row>
    <row r="101">
      <c r="A101" s="1" t="s">
        <v>380</v>
      </c>
      <c r="B101" s="27">
        <v>1.19965114E8</v>
      </c>
      <c r="C101" s="61">
        <v>197636.1</v>
      </c>
      <c r="D101" s="61">
        <v>239930.2</v>
      </c>
      <c r="E101" s="27">
        <v>133160.0</v>
      </c>
      <c r="F101" s="27">
        <v>611168.0</v>
      </c>
      <c r="G101" s="1">
        <v>500.0</v>
      </c>
      <c r="H101" s="1">
        <v>500.0</v>
      </c>
      <c r="I101" s="1">
        <v>100.0</v>
      </c>
      <c r="J101" s="1">
        <v>5.04</v>
      </c>
      <c r="K101" s="26">
        <v>1.0</v>
      </c>
      <c r="L101" s="1" t="s">
        <v>684</v>
      </c>
      <c r="M101" s="1" t="s">
        <v>182</v>
      </c>
      <c r="N101" s="1">
        <v>2.0</v>
      </c>
      <c r="O101" t="str">
        <f t="shared" si="1"/>
        <v> </v>
      </c>
      <c r="P101" s="101">
        <f t="shared" si="2"/>
        <v>197636.1</v>
      </c>
      <c r="Q101" t="str">
        <f t="shared" si="3"/>
        <v> </v>
      </c>
    </row>
    <row r="102">
      <c r="A102" s="1" t="s">
        <v>362</v>
      </c>
      <c r="B102" s="27">
        <v>1.13542735E8</v>
      </c>
      <c r="C102" s="61">
        <v>187055.58</v>
      </c>
      <c r="D102" s="61">
        <v>3440689.0</v>
      </c>
      <c r="E102" s="27">
        <v>1952133.0</v>
      </c>
      <c r="F102" s="27">
        <v>8605316.0</v>
      </c>
      <c r="G102" s="1">
        <v>33.0</v>
      </c>
      <c r="H102" s="1">
        <v>35.0</v>
      </c>
      <c r="I102" s="1">
        <v>94.29</v>
      </c>
      <c r="J102" s="1">
        <v>17.15</v>
      </c>
      <c r="K102" s="26">
        <v>1.0</v>
      </c>
      <c r="L102" s="1" t="s">
        <v>798</v>
      </c>
      <c r="M102" s="1" t="s">
        <v>826</v>
      </c>
      <c r="N102" s="1">
        <v>2.0</v>
      </c>
      <c r="O102" s="101">
        <f t="shared" si="1"/>
        <v>187055.58</v>
      </c>
      <c r="P102" t="str">
        <f t="shared" si="2"/>
        <v> </v>
      </c>
      <c r="Q102" t="str">
        <f t="shared" si="3"/>
        <v> </v>
      </c>
    </row>
    <row r="103">
      <c r="A103" s="1" t="s">
        <v>392</v>
      </c>
      <c r="B103" s="27">
        <v>1.10945017E8</v>
      </c>
      <c r="C103" s="61">
        <v>182775.98</v>
      </c>
      <c r="D103" s="61">
        <v>4267116.0</v>
      </c>
      <c r="E103" s="27">
        <v>2598387.0</v>
      </c>
      <c r="F103" s="27">
        <v>8963945.0</v>
      </c>
      <c r="G103" s="1">
        <v>26.0</v>
      </c>
      <c r="H103" s="1">
        <v>26.0</v>
      </c>
      <c r="I103" s="1">
        <v>100.0</v>
      </c>
      <c r="J103" s="1">
        <v>35.25</v>
      </c>
      <c r="K103" s="26">
        <v>1.0</v>
      </c>
      <c r="L103" s="1" t="s">
        <v>741</v>
      </c>
      <c r="M103" s="1" t="s">
        <v>193</v>
      </c>
      <c r="N103" s="1">
        <v>2.0</v>
      </c>
      <c r="O103" t="str">
        <f t="shared" si="1"/>
        <v> </v>
      </c>
      <c r="P103" s="101">
        <f t="shared" si="2"/>
        <v>182775.98</v>
      </c>
      <c r="Q103" t="str">
        <f t="shared" si="3"/>
        <v> </v>
      </c>
    </row>
    <row r="104">
      <c r="A104" s="1" t="s">
        <v>364</v>
      </c>
      <c r="B104" s="27">
        <v>1.06221505E8</v>
      </c>
      <c r="C104" s="61">
        <v>174994.24</v>
      </c>
      <c r="D104" s="61">
        <v>2042721.0</v>
      </c>
      <c r="E104" s="27">
        <v>955623.0</v>
      </c>
      <c r="F104" s="27">
        <v>3979100.0</v>
      </c>
      <c r="G104" s="1">
        <v>52.0</v>
      </c>
      <c r="H104" s="1">
        <v>52.0</v>
      </c>
      <c r="I104" s="1">
        <v>100.0</v>
      </c>
      <c r="J104" s="1">
        <v>18.12</v>
      </c>
      <c r="K104" s="26">
        <v>1.0</v>
      </c>
      <c r="L104" s="1" t="s">
        <v>685</v>
      </c>
      <c r="M104" s="1" t="s">
        <v>182</v>
      </c>
      <c r="N104" s="1">
        <v>2.0</v>
      </c>
      <c r="O104" t="str">
        <f t="shared" si="1"/>
        <v> </v>
      </c>
      <c r="P104" s="101">
        <f t="shared" si="2"/>
        <v>174994.24</v>
      </c>
      <c r="Q104" t="str">
        <f t="shared" si="3"/>
        <v> </v>
      </c>
    </row>
    <row r="105">
      <c r="A105" s="1" t="s">
        <v>198</v>
      </c>
      <c r="B105" s="27">
        <v>1.06052554E8</v>
      </c>
      <c r="C105" s="61">
        <v>174715.9</v>
      </c>
      <c r="D105" s="61">
        <v>389899.1</v>
      </c>
      <c r="E105" s="27">
        <v>175408.0</v>
      </c>
      <c r="F105" s="27">
        <v>1697255.0</v>
      </c>
      <c r="G105" s="1">
        <v>272.0</v>
      </c>
      <c r="H105" s="1">
        <v>272.0</v>
      </c>
      <c r="I105" s="1">
        <v>100.0</v>
      </c>
      <c r="J105" s="1">
        <v>4.63</v>
      </c>
      <c r="K105" s="26">
        <v>1.0</v>
      </c>
      <c r="L105" s="1" t="s">
        <v>628</v>
      </c>
      <c r="M105" s="1" t="s">
        <v>187</v>
      </c>
      <c r="N105" s="1">
        <v>2.0</v>
      </c>
      <c r="O105" t="str">
        <f t="shared" si="1"/>
        <v> </v>
      </c>
      <c r="P105" s="101">
        <f t="shared" si="2"/>
        <v>174715.9</v>
      </c>
      <c r="Q105" t="str">
        <f t="shared" si="3"/>
        <v> </v>
      </c>
    </row>
    <row r="106">
      <c r="A106" s="1" t="s">
        <v>398</v>
      </c>
      <c r="B106" s="27">
        <v>1.03739223E8</v>
      </c>
      <c r="C106" s="61">
        <v>170904.82</v>
      </c>
      <c r="D106" s="61">
        <v>1646654.0</v>
      </c>
      <c r="E106" s="27">
        <v>939897.0</v>
      </c>
      <c r="F106" s="27">
        <v>3804998.0</v>
      </c>
      <c r="G106" s="1">
        <v>63.0</v>
      </c>
      <c r="H106" s="1">
        <v>63.0</v>
      </c>
      <c r="I106" s="1">
        <v>100.0</v>
      </c>
      <c r="J106" s="1">
        <v>9.5</v>
      </c>
      <c r="K106" s="26">
        <v>1.0</v>
      </c>
      <c r="L106" s="1" t="s">
        <v>800</v>
      </c>
      <c r="M106" s="1" t="s">
        <v>826</v>
      </c>
      <c r="N106" s="1">
        <v>2.0</v>
      </c>
      <c r="O106" s="101">
        <f t="shared" si="1"/>
        <v>170904.82</v>
      </c>
      <c r="P106" t="str">
        <f t="shared" si="2"/>
        <v> </v>
      </c>
      <c r="Q106" t="str">
        <f t="shared" si="3"/>
        <v> </v>
      </c>
    </row>
    <row r="107">
      <c r="A107" s="1" t="s">
        <v>384</v>
      </c>
      <c r="B107" s="27">
        <v>1.02503214E8</v>
      </c>
      <c r="C107" s="61">
        <v>168868.56</v>
      </c>
      <c r="D107" s="61">
        <v>3534594.0</v>
      </c>
      <c r="E107" s="27">
        <v>2005409.0</v>
      </c>
      <c r="F107" s="27">
        <v>9282668.0</v>
      </c>
      <c r="G107" s="1">
        <v>29.0</v>
      </c>
      <c r="H107" s="1">
        <v>29.0</v>
      </c>
      <c r="I107" s="1">
        <v>100.0</v>
      </c>
      <c r="J107" s="1">
        <v>34.47</v>
      </c>
      <c r="K107" s="26">
        <v>1.0</v>
      </c>
      <c r="L107" s="1" t="s">
        <v>686</v>
      </c>
      <c r="M107" s="1" t="s">
        <v>193</v>
      </c>
      <c r="N107" s="1">
        <v>2.0</v>
      </c>
      <c r="O107" t="str">
        <f t="shared" si="1"/>
        <v> </v>
      </c>
      <c r="P107" s="101">
        <f t="shared" si="2"/>
        <v>168868.56</v>
      </c>
      <c r="Q107" t="str">
        <f t="shared" si="3"/>
        <v> </v>
      </c>
    </row>
    <row r="108">
      <c r="A108" s="1" t="s">
        <v>382</v>
      </c>
      <c r="B108" s="27">
        <v>1.02329811E8</v>
      </c>
      <c r="C108" s="61">
        <v>168582.88</v>
      </c>
      <c r="D108" s="61">
        <v>2006467.0</v>
      </c>
      <c r="E108" s="27">
        <v>1028034.0</v>
      </c>
      <c r="F108" s="27">
        <v>4135929.0</v>
      </c>
      <c r="G108" s="1">
        <v>51.0</v>
      </c>
      <c r="H108" s="1">
        <v>51.0</v>
      </c>
      <c r="I108" s="1">
        <v>100.0</v>
      </c>
      <c r="J108" s="1">
        <v>11.96</v>
      </c>
      <c r="K108" s="26">
        <v>1.0</v>
      </c>
      <c r="L108" s="1" t="s">
        <v>768</v>
      </c>
      <c r="M108" s="1" t="s">
        <v>193</v>
      </c>
      <c r="N108" s="1">
        <v>2.0</v>
      </c>
      <c r="O108" t="str">
        <f t="shared" si="1"/>
        <v> </v>
      </c>
      <c r="P108" s="101">
        <f t="shared" si="2"/>
        <v>168582.88</v>
      </c>
      <c r="Q108" t="str">
        <f t="shared" si="3"/>
        <v> </v>
      </c>
    </row>
    <row r="109">
      <c r="A109" s="1" t="s">
        <v>388</v>
      </c>
      <c r="B109" s="27">
        <v>9.8649447E7</v>
      </c>
      <c r="C109" s="61">
        <v>162519.68</v>
      </c>
      <c r="D109" s="61">
        <v>401014.0</v>
      </c>
      <c r="E109" s="27">
        <v>165958.0</v>
      </c>
      <c r="F109" s="27">
        <v>1931472.0</v>
      </c>
      <c r="G109" s="1">
        <v>246.0</v>
      </c>
      <c r="H109" s="1">
        <v>250.0</v>
      </c>
      <c r="I109" s="1">
        <v>98.4</v>
      </c>
      <c r="J109" s="1">
        <v>4.16</v>
      </c>
      <c r="K109" s="26">
        <v>1.0</v>
      </c>
      <c r="L109" s="1" t="s">
        <v>802</v>
      </c>
      <c r="M109" s="1" t="s">
        <v>826</v>
      </c>
      <c r="N109" s="1">
        <v>2.0</v>
      </c>
      <c r="O109" s="101">
        <f t="shared" si="1"/>
        <v>162519.68</v>
      </c>
      <c r="P109" t="str">
        <f t="shared" si="2"/>
        <v> </v>
      </c>
      <c r="Q109" t="str">
        <f t="shared" si="3"/>
        <v> </v>
      </c>
    </row>
    <row r="110">
      <c r="A110" s="1" t="s">
        <v>191</v>
      </c>
      <c r="B110" s="27">
        <v>9.4895904E7</v>
      </c>
      <c r="C110" s="61">
        <v>156335.92</v>
      </c>
      <c r="D110" s="61">
        <v>3514663.0</v>
      </c>
      <c r="E110" s="27">
        <v>1906159.0</v>
      </c>
      <c r="F110" s="27">
        <v>1.2169504E7</v>
      </c>
      <c r="G110" s="1">
        <v>27.0</v>
      </c>
      <c r="H110" s="1">
        <v>27.0</v>
      </c>
      <c r="I110" s="1">
        <v>100.0</v>
      </c>
      <c r="J110" s="1">
        <v>24.29</v>
      </c>
      <c r="K110" s="26">
        <v>1.0</v>
      </c>
      <c r="L110" s="1" t="s">
        <v>629</v>
      </c>
      <c r="M110" s="1" t="s">
        <v>193</v>
      </c>
      <c r="N110" s="1">
        <v>2.0</v>
      </c>
      <c r="O110" t="str">
        <f t="shared" si="1"/>
        <v> </v>
      </c>
      <c r="P110" s="101">
        <f t="shared" si="2"/>
        <v>156335.92</v>
      </c>
      <c r="Q110" t="str">
        <f t="shared" si="3"/>
        <v> </v>
      </c>
    </row>
    <row r="111">
      <c r="A111" s="1" t="s">
        <v>386</v>
      </c>
      <c r="B111" s="27">
        <v>9.3557528E7</v>
      </c>
      <c r="C111" s="61">
        <v>154131.02</v>
      </c>
      <c r="D111" s="61">
        <v>677953.1</v>
      </c>
      <c r="E111" s="27">
        <v>287783.0</v>
      </c>
      <c r="F111" s="27">
        <v>2161606.0</v>
      </c>
      <c r="G111" s="1">
        <v>138.0</v>
      </c>
      <c r="H111" s="1">
        <v>138.0</v>
      </c>
      <c r="I111" s="1">
        <v>100.0</v>
      </c>
      <c r="J111" s="1">
        <v>4.52</v>
      </c>
      <c r="K111" s="26">
        <v>1.0</v>
      </c>
      <c r="L111" s="1" t="s">
        <v>769</v>
      </c>
      <c r="M111" s="1" t="s">
        <v>826</v>
      </c>
      <c r="N111" s="1">
        <v>2.0</v>
      </c>
      <c r="O111" s="101">
        <f t="shared" si="1"/>
        <v>154131.02</v>
      </c>
      <c r="P111" t="str">
        <f t="shared" si="2"/>
        <v> </v>
      </c>
      <c r="Q111" t="str">
        <f t="shared" si="3"/>
        <v> </v>
      </c>
    </row>
    <row r="112">
      <c r="A112" s="1" t="s">
        <v>396</v>
      </c>
      <c r="B112" s="27">
        <v>9.3167467E7</v>
      </c>
      <c r="C112" s="61">
        <v>153488.41</v>
      </c>
      <c r="D112" s="61">
        <v>1179335.0</v>
      </c>
      <c r="E112" s="27">
        <v>534970.0</v>
      </c>
      <c r="F112" s="27">
        <v>4848885.0</v>
      </c>
      <c r="G112" s="1">
        <v>79.0</v>
      </c>
      <c r="H112" s="1">
        <v>79.0</v>
      </c>
      <c r="I112" s="1">
        <v>100.0</v>
      </c>
      <c r="J112" s="1">
        <v>10.15</v>
      </c>
      <c r="K112" s="26">
        <v>1.0</v>
      </c>
      <c r="L112" s="1" t="s">
        <v>587</v>
      </c>
      <c r="M112" s="1" t="s">
        <v>826</v>
      </c>
      <c r="N112" s="1">
        <v>2.0</v>
      </c>
      <c r="O112" s="101">
        <f t="shared" si="1"/>
        <v>153488.41</v>
      </c>
      <c r="P112" t="str">
        <f t="shared" si="2"/>
        <v> </v>
      </c>
      <c r="Q112" t="str">
        <f t="shared" si="3"/>
        <v> </v>
      </c>
    </row>
    <row r="113">
      <c r="A113" s="1" t="s">
        <v>404</v>
      </c>
      <c r="B113" s="27">
        <v>9.0869342E7</v>
      </c>
      <c r="C113" s="61">
        <v>149702.38</v>
      </c>
      <c r="D113" s="61">
        <v>9086934.0</v>
      </c>
      <c r="E113" s="27">
        <v>5933463.0</v>
      </c>
      <c r="F113" s="27">
        <v>1.5328894E7</v>
      </c>
      <c r="G113" s="1">
        <v>10.0</v>
      </c>
      <c r="H113" s="1">
        <v>10.0</v>
      </c>
      <c r="I113" s="1">
        <v>100.0</v>
      </c>
      <c r="J113" s="1">
        <v>62.0</v>
      </c>
      <c r="K113" s="26">
        <v>1.0</v>
      </c>
      <c r="L113" s="1" t="s">
        <v>749</v>
      </c>
      <c r="M113" s="1" t="s">
        <v>826</v>
      </c>
      <c r="N113" s="1">
        <v>2.0</v>
      </c>
      <c r="O113" s="101">
        <f t="shared" si="1"/>
        <v>149702.38</v>
      </c>
      <c r="P113" t="str">
        <f t="shared" si="2"/>
        <v> </v>
      </c>
      <c r="Q113" t="str">
        <f t="shared" si="3"/>
        <v> </v>
      </c>
    </row>
    <row r="114">
      <c r="A114" s="1" t="s">
        <v>394</v>
      </c>
      <c r="B114" s="27">
        <v>8.760379E7</v>
      </c>
      <c r="C114" s="61">
        <v>144322.55</v>
      </c>
      <c r="D114" s="61">
        <v>782176.7</v>
      </c>
      <c r="E114" s="27">
        <v>142649.0</v>
      </c>
      <c r="F114" s="27">
        <v>5471270.0</v>
      </c>
      <c r="G114" s="1">
        <v>112.0</v>
      </c>
      <c r="H114" s="1">
        <v>112.0</v>
      </c>
      <c r="I114" s="1">
        <v>100.0</v>
      </c>
      <c r="J114" s="1">
        <v>7.31</v>
      </c>
      <c r="K114" s="26">
        <v>1.0</v>
      </c>
      <c r="L114" s="1" t="s">
        <v>588</v>
      </c>
      <c r="M114" s="1" t="s">
        <v>826</v>
      </c>
      <c r="N114" s="1">
        <v>2.0</v>
      </c>
      <c r="O114" s="101">
        <f t="shared" si="1"/>
        <v>144322.55</v>
      </c>
      <c r="P114" t="str">
        <f t="shared" si="2"/>
        <v> </v>
      </c>
      <c r="Q114" t="str">
        <f t="shared" si="3"/>
        <v> </v>
      </c>
    </row>
    <row r="115">
      <c r="A115" s="1" t="s">
        <v>211</v>
      </c>
      <c r="B115" s="27">
        <v>8.6021584E7</v>
      </c>
      <c r="C115" s="61">
        <v>141715.95</v>
      </c>
      <c r="D115" s="61">
        <v>2150540.0</v>
      </c>
      <c r="E115" s="27">
        <v>1330995.0</v>
      </c>
      <c r="F115" s="27">
        <v>3054646.0</v>
      </c>
      <c r="G115" s="1">
        <v>40.0</v>
      </c>
      <c r="H115" s="1">
        <v>40.0</v>
      </c>
      <c r="I115" s="1">
        <v>100.0</v>
      </c>
      <c r="J115" s="1">
        <v>23.29</v>
      </c>
      <c r="K115" s="26">
        <v>1.0</v>
      </c>
      <c r="L115" s="1" t="s">
        <v>632</v>
      </c>
      <c r="M115" s="1" t="s">
        <v>187</v>
      </c>
      <c r="N115" s="1">
        <v>2.0</v>
      </c>
      <c r="O115" t="str">
        <f t="shared" si="1"/>
        <v> </v>
      </c>
      <c r="P115" s="101">
        <f t="shared" si="2"/>
        <v>141715.95</v>
      </c>
      <c r="Q115" t="str">
        <f t="shared" si="3"/>
        <v> </v>
      </c>
    </row>
    <row r="116" ht="17.25" customHeight="1">
      <c r="A116" s="1" t="s">
        <v>200</v>
      </c>
      <c r="B116" s="27">
        <v>8.4205472E7</v>
      </c>
      <c r="C116" s="61">
        <v>138724.01</v>
      </c>
      <c r="D116" s="61">
        <v>1791606.0</v>
      </c>
      <c r="E116" s="27">
        <v>1113650.0</v>
      </c>
      <c r="F116" s="27">
        <v>6555569.0</v>
      </c>
      <c r="G116" s="1">
        <v>47.0</v>
      </c>
      <c r="H116" s="1">
        <v>47.0</v>
      </c>
      <c r="I116" s="1">
        <v>100.0</v>
      </c>
      <c r="J116" s="1">
        <v>12.59</v>
      </c>
      <c r="K116" s="26">
        <v>1.0</v>
      </c>
      <c r="L116" s="1" t="s">
        <v>633</v>
      </c>
      <c r="M116" s="1" t="s">
        <v>150</v>
      </c>
      <c r="N116" s="1">
        <v>2.0</v>
      </c>
      <c r="O116" t="str">
        <f t="shared" si="1"/>
        <v> </v>
      </c>
      <c r="P116" s="101">
        <f t="shared" si="2"/>
        <v>138724.01</v>
      </c>
      <c r="Q116" t="str">
        <f t="shared" si="3"/>
        <v> </v>
      </c>
    </row>
    <row r="117">
      <c r="A117" s="1" t="s">
        <v>400</v>
      </c>
      <c r="B117" s="27">
        <v>7.9237211E7</v>
      </c>
      <c r="C117" s="61">
        <v>130539.06</v>
      </c>
      <c r="D117" s="61">
        <v>842949.0</v>
      </c>
      <c r="E117" s="27">
        <v>569062.0</v>
      </c>
      <c r="F117" s="27">
        <v>2267492.0</v>
      </c>
      <c r="G117" s="1">
        <v>94.0</v>
      </c>
      <c r="H117" s="1">
        <v>94.0</v>
      </c>
      <c r="I117" s="1">
        <v>100.0</v>
      </c>
      <c r="J117" s="1">
        <v>6.62</v>
      </c>
      <c r="K117" s="26">
        <v>1.0</v>
      </c>
      <c r="L117" s="1" t="s">
        <v>689</v>
      </c>
      <c r="M117" s="1" t="s">
        <v>182</v>
      </c>
      <c r="N117" s="1">
        <v>2.0</v>
      </c>
      <c r="O117" t="str">
        <f t="shared" si="1"/>
        <v> </v>
      </c>
      <c r="P117" s="101">
        <f t="shared" si="2"/>
        <v>130539.06</v>
      </c>
      <c r="Q117" t="str">
        <f t="shared" si="3"/>
        <v> </v>
      </c>
    </row>
    <row r="118">
      <c r="A118" s="1" t="s">
        <v>185</v>
      </c>
      <c r="B118" s="27">
        <v>7.697198E7</v>
      </c>
      <c r="C118" s="61">
        <v>126807.22</v>
      </c>
      <c r="D118" s="61">
        <v>712703.6</v>
      </c>
      <c r="E118" s="27">
        <v>381015.0</v>
      </c>
      <c r="F118" s="27">
        <v>2202457.0</v>
      </c>
      <c r="G118" s="1">
        <v>108.0</v>
      </c>
      <c r="H118" s="1">
        <v>108.0</v>
      </c>
      <c r="I118" s="1">
        <v>100.0</v>
      </c>
      <c r="J118" s="1">
        <v>5.72</v>
      </c>
      <c r="K118" s="26">
        <v>1.0</v>
      </c>
      <c r="L118" s="1" t="s">
        <v>634</v>
      </c>
      <c r="M118" s="1" t="s">
        <v>187</v>
      </c>
      <c r="N118" s="1">
        <v>2.0</v>
      </c>
      <c r="O118" t="str">
        <f t="shared" si="1"/>
        <v> </v>
      </c>
      <c r="P118" s="101">
        <f t="shared" si="2"/>
        <v>126807.22</v>
      </c>
      <c r="Q118" t="str">
        <f t="shared" si="3"/>
        <v> </v>
      </c>
    </row>
    <row r="119">
      <c r="A119" s="1" t="s">
        <v>194</v>
      </c>
      <c r="B119" s="27">
        <v>7.6396131E7</v>
      </c>
      <c r="C119" s="61">
        <v>125858.54</v>
      </c>
      <c r="D119" s="61">
        <v>658587.3</v>
      </c>
      <c r="E119" s="27">
        <v>254986.0</v>
      </c>
      <c r="F119" s="27">
        <v>2214410.0</v>
      </c>
      <c r="G119" s="1">
        <v>116.0</v>
      </c>
      <c r="H119" s="1">
        <v>116.0</v>
      </c>
      <c r="I119" s="1">
        <v>100.0</v>
      </c>
      <c r="J119" s="1">
        <v>13.51</v>
      </c>
      <c r="K119" s="26">
        <v>1.0</v>
      </c>
      <c r="L119" s="1" t="s">
        <v>635</v>
      </c>
      <c r="M119" s="1" t="s">
        <v>187</v>
      </c>
      <c r="N119" s="1">
        <v>2.0</v>
      </c>
      <c r="O119" t="str">
        <f t="shared" si="1"/>
        <v> </v>
      </c>
      <c r="P119" s="101">
        <f t="shared" si="2"/>
        <v>125858.54</v>
      </c>
      <c r="Q119" t="str">
        <f t="shared" si="3"/>
        <v> </v>
      </c>
    </row>
    <row r="120">
      <c r="A120" s="1" t="s">
        <v>406</v>
      </c>
      <c r="B120" s="27">
        <v>7.6342288E7</v>
      </c>
      <c r="C120" s="61">
        <v>125769.83</v>
      </c>
      <c r="D120" s="61">
        <v>8482476.0</v>
      </c>
      <c r="E120" s="27">
        <v>5337353.0</v>
      </c>
      <c r="F120" s="27">
        <v>1.4042753E7</v>
      </c>
      <c r="G120" s="1">
        <v>9.0</v>
      </c>
      <c r="H120" s="1">
        <v>9.0</v>
      </c>
      <c r="I120" s="1">
        <v>100.0</v>
      </c>
      <c r="J120" s="1">
        <v>64.63</v>
      </c>
      <c r="K120" s="26">
        <v>1.0</v>
      </c>
      <c r="L120" s="1" t="s">
        <v>589</v>
      </c>
      <c r="M120" s="1" t="s">
        <v>154</v>
      </c>
      <c r="N120" s="1">
        <v>2.0</v>
      </c>
      <c r="O120" t="str">
        <f t="shared" si="1"/>
        <v> </v>
      </c>
      <c r="P120" s="101">
        <f t="shared" si="2"/>
        <v>125769.83</v>
      </c>
      <c r="Q120" t="str">
        <f t="shared" si="3"/>
        <v> </v>
      </c>
    </row>
    <row r="121">
      <c r="A121" s="1" t="s">
        <v>409</v>
      </c>
      <c r="B121" s="27">
        <v>6.4779427E7</v>
      </c>
      <c r="C121" s="61">
        <v>106720.64</v>
      </c>
      <c r="D121" s="61">
        <v>2089659.0</v>
      </c>
      <c r="E121" s="27">
        <v>1363951.0</v>
      </c>
      <c r="F121" s="27">
        <v>5195221.0</v>
      </c>
      <c r="G121" s="1">
        <v>31.0</v>
      </c>
      <c r="H121" s="1">
        <v>31.0</v>
      </c>
      <c r="I121" s="1">
        <v>100.0</v>
      </c>
      <c r="J121" s="1">
        <v>19.13</v>
      </c>
      <c r="K121" s="26">
        <v>1.0</v>
      </c>
      <c r="L121" s="1" t="s">
        <v>774</v>
      </c>
      <c r="M121" s="1" t="s">
        <v>187</v>
      </c>
      <c r="N121" s="1">
        <v>2.0</v>
      </c>
      <c r="O121" t="str">
        <f t="shared" si="1"/>
        <v> </v>
      </c>
      <c r="P121" s="101">
        <f t="shared" si="2"/>
        <v>106720.64</v>
      </c>
      <c r="Q121" t="str">
        <f t="shared" si="3"/>
        <v> </v>
      </c>
    </row>
    <row r="122">
      <c r="A122" s="1" t="s">
        <v>233</v>
      </c>
      <c r="B122" s="27">
        <v>6.0322929E7</v>
      </c>
      <c r="C122" s="61">
        <v>99378.8</v>
      </c>
      <c r="D122" s="61">
        <v>1256728.0</v>
      </c>
      <c r="E122" s="27">
        <v>680006.0</v>
      </c>
      <c r="F122" s="27">
        <v>3024650.0</v>
      </c>
      <c r="G122" s="1">
        <v>48.0</v>
      </c>
      <c r="H122" s="1">
        <v>48.0</v>
      </c>
      <c r="I122" s="1">
        <v>100.0</v>
      </c>
      <c r="J122" s="1">
        <v>13.09</v>
      </c>
      <c r="K122" s="26">
        <v>1.0</v>
      </c>
      <c r="L122" s="1" t="s">
        <v>655</v>
      </c>
      <c r="M122" s="1" t="s">
        <v>187</v>
      </c>
      <c r="N122" s="1">
        <v>2.0</v>
      </c>
      <c r="O122" t="str">
        <f t="shared" si="1"/>
        <v> </v>
      </c>
      <c r="P122" s="101">
        <f t="shared" si="2"/>
        <v>99378.8</v>
      </c>
      <c r="Q122" t="str">
        <f t="shared" si="3"/>
        <v> </v>
      </c>
    </row>
    <row r="123">
      <c r="A123" s="1" t="s">
        <v>233</v>
      </c>
      <c r="B123" s="27">
        <v>6.0322929E7</v>
      </c>
      <c r="C123" s="61">
        <v>99378.8</v>
      </c>
      <c r="D123" s="61">
        <v>1256728.0</v>
      </c>
      <c r="E123" s="27">
        <v>680006.0</v>
      </c>
      <c r="F123" s="27">
        <v>3024650.0</v>
      </c>
      <c r="G123" s="1">
        <v>48.0</v>
      </c>
      <c r="H123" s="1">
        <v>48.0</v>
      </c>
      <c r="I123" s="1">
        <v>100.0</v>
      </c>
      <c r="J123" s="1">
        <v>13.09</v>
      </c>
      <c r="K123" s="26">
        <v>1.0</v>
      </c>
      <c r="L123" s="1" t="s">
        <v>655</v>
      </c>
      <c r="M123" s="1" t="s">
        <v>187</v>
      </c>
      <c r="N123" s="1">
        <v>5.0</v>
      </c>
      <c r="O123" t="str">
        <f t="shared" si="1"/>
        <v> </v>
      </c>
      <c r="P123" s="101">
        <f t="shared" si="2"/>
        <v>99378.8</v>
      </c>
      <c r="Q123" t="str">
        <f t="shared" si="3"/>
        <v> </v>
      </c>
    </row>
    <row r="124">
      <c r="A124" s="1" t="s">
        <v>415</v>
      </c>
      <c r="B124" s="27">
        <v>5.8738775E7</v>
      </c>
      <c r="C124" s="61">
        <v>96768.99</v>
      </c>
      <c r="D124" s="61">
        <v>903673.5</v>
      </c>
      <c r="E124" s="27">
        <v>511582.0</v>
      </c>
      <c r="F124" s="27">
        <v>1696785.0</v>
      </c>
      <c r="G124" s="1">
        <v>65.0</v>
      </c>
      <c r="H124" s="1">
        <v>72.0</v>
      </c>
      <c r="I124" s="1">
        <v>90.28</v>
      </c>
      <c r="J124" s="1">
        <v>17.27</v>
      </c>
      <c r="K124" s="26">
        <v>1.0</v>
      </c>
      <c r="L124" s="1" t="s">
        <v>805</v>
      </c>
      <c r="M124" s="1" t="s">
        <v>826</v>
      </c>
      <c r="N124" s="1">
        <v>2.0</v>
      </c>
      <c r="O124" s="101">
        <f t="shared" si="1"/>
        <v>96768.99</v>
      </c>
      <c r="P124" t="str">
        <f t="shared" si="2"/>
        <v> </v>
      </c>
      <c r="Q124" t="str">
        <f t="shared" si="3"/>
        <v> </v>
      </c>
    </row>
    <row r="125">
      <c r="A125" s="1" t="s">
        <v>425</v>
      </c>
      <c r="B125" s="27">
        <v>5.5272014E7</v>
      </c>
      <c r="C125" s="61">
        <v>91057.68</v>
      </c>
      <c r="D125" s="61">
        <v>9212003.0</v>
      </c>
      <c r="E125" s="27">
        <v>4732869.0</v>
      </c>
      <c r="F125" s="27">
        <v>1.5816839E7</v>
      </c>
      <c r="G125" s="1">
        <v>6.0</v>
      </c>
      <c r="H125" s="1">
        <v>7.0</v>
      </c>
      <c r="I125" s="1">
        <v>85.71</v>
      </c>
      <c r="J125" s="1">
        <v>92.0</v>
      </c>
      <c r="K125" s="26">
        <v>1.0</v>
      </c>
      <c r="L125" s="1" t="s">
        <v>806</v>
      </c>
      <c r="M125" s="1" t="s">
        <v>826</v>
      </c>
      <c r="N125" s="1">
        <v>2.0</v>
      </c>
      <c r="O125" s="101">
        <f t="shared" si="1"/>
        <v>91057.68</v>
      </c>
      <c r="P125" t="str">
        <f t="shared" si="2"/>
        <v> </v>
      </c>
      <c r="Q125" t="str">
        <f t="shared" si="3"/>
        <v> </v>
      </c>
    </row>
    <row r="126">
      <c r="A126" s="1" t="s">
        <v>427</v>
      </c>
      <c r="B126" s="27">
        <v>5.4403359E7</v>
      </c>
      <c r="C126" s="61">
        <v>89626.62</v>
      </c>
      <c r="D126" s="61">
        <v>2590636.0</v>
      </c>
      <c r="E126" s="27">
        <v>1280639.0</v>
      </c>
      <c r="F126" s="27">
        <v>1.0922565E7</v>
      </c>
      <c r="G126" s="1">
        <v>21.0</v>
      </c>
      <c r="H126" s="1">
        <v>23.0</v>
      </c>
      <c r="I126" s="1">
        <v>91.3</v>
      </c>
      <c r="J126" s="1">
        <v>26.41</v>
      </c>
      <c r="K126" s="26">
        <v>1.0</v>
      </c>
      <c r="L126" s="1" t="s">
        <v>807</v>
      </c>
      <c r="M126" s="1" t="s">
        <v>826</v>
      </c>
      <c r="N126" s="1">
        <v>2.0</v>
      </c>
      <c r="O126" s="101">
        <f t="shared" si="1"/>
        <v>89626.62</v>
      </c>
      <c r="P126" t="str">
        <f t="shared" si="2"/>
        <v> </v>
      </c>
      <c r="Q126" t="str">
        <f t="shared" si="3"/>
        <v> </v>
      </c>
    </row>
    <row r="127">
      <c r="A127" s="1" t="s">
        <v>417</v>
      </c>
      <c r="B127" s="27">
        <v>5.3872497E7</v>
      </c>
      <c r="C127" s="61">
        <v>88752.05</v>
      </c>
      <c r="D127" s="61">
        <v>309612.0</v>
      </c>
      <c r="E127" s="27">
        <v>139293.0</v>
      </c>
      <c r="F127" s="27">
        <v>714112.0</v>
      </c>
      <c r="G127" s="1">
        <v>174.0</v>
      </c>
      <c r="H127" s="1">
        <v>174.0</v>
      </c>
      <c r="I127" s="1">
        <v>100.0</v>
      </c>
      <c r="J127" s="1">
        <v>10.18</v>
      </c>
      <c r="K127" s="26">
        <v>1.0</v>
      </c>
      <c r="L127" s="1" t="s">
        <v>808</v>
      </c>
      <c r="M127" s="1" t="s">
        <v>826</v>
      </c>
      <c r="N127" s="1">
        <v>2.0</v>
      </c>
      <c r="O127" s="101">
        <f t="shared" si="1"/>
        <v>88752.05</v>
      </c>
      <c r="P127" t="str">
        <f t="shared" si="2"/>
        <v> </v>
      </c>
      <c r="Q127" t="str">
        <f t="shared" si="3"/>
        <v> </v>
      </c>
    </row>
    <row r="128">
      <c r="A128" s="1" t="s">
        <v>413</v>
      </c>
      <c r="B128" s="27">
        <v>5.326296E7</v>
      </c>
      <c r="C128" s="61">
        <v>87747.87</v>
      </c>
      <c r="D128" s="61">
        <v>951124.3</v>
      </c>
      <c r="E128" s="27">
        <v>447186.0</v>
      </c>
      <c r="F128" s="27">
        <v>2083903.0</v>
      </c>
      <c r="G128" s="1">
        <v>56.0</v>
      </c>
      <c r="H128" s="1">
        <v>64.0</v>
      </c>
      <c r="I128" s="1">
        <v>87.5</v>
      </c>
      <c r="J128" s="1">
        <v>9.33</v>
      </c>
      <c r="K128" s="26">
        <v>1.0</v>
      </c>
      <c r="L128" s="1" t="s">
        <v>809</v>
      </c>
      <c r="M128" s="1" t="s">
        <v>826</v>
      </c>
      <c r="N128" s="1">
        <v>2.0</v>
      </c>
      <c r="O128" s="101">
        <f t="shared" si="1"/>
        <v>87747.87</v>
      </c>
      <c r="P128" t="str">
        <f t="shared" si="2"/>
        <v> </v>
      </c>
      <c r="Q128" t="str">
        <f t="shared" si="3"/>
        <v> </v>
      </c>
    </row>
    <row r="129">
      <c r="A129" s="1" t="s">
        <v>421</v>
      </c>
      <c r="B129" s="27">
        <v>5.2615523E7</v>
      </c>
      <c r="C129" s="61">
        <v>86681.26</v>
      </c>
      <c r="D129" s="61">
        <v>891788.6</v>
      </c>
      <c r="E129" s="27">
        <v>427841.0</v>
      </c>
      <c r="F129" s="27">
        <v>2150543.0</v>
      </c>
      <c r="G129" s="1">
        <v>59.0</v>
      </c>
      <c r="H129" s="1">
        <v>62.0</v>
      </c>
      <c r="I129" s="1">
        <v>95.16</v>
      </c>
      <c r="J129" s="1">
        <v>10.05</v>
      </c>
      <c r="K129" s="26">
        <v>1.0</v>
      </c>
      <c r="L129" s="1" t="s">
        <v>810</v>
      </c>
      <c r="M129" s="1" t="s">
        <v>826</v>
      </c>
      <c r="N129" s="1">
        <v>2.0</v>
      </c>
      <c r="O129" s="101">
        <f t="shared" si="1"/>
        <v>86681.26</v>
      </c>
      <c r="P129" t="str">
        <f t="shared" si="2"/>
        <v> </v>
      </c>
      <c r="Q129" t="str">
        <f t="shared" si="3"/>
        <v> </v>
      </c>
    </row>
    <row r="130">
      <c r="A130" s="1" t="s">
        <v>411</v>
      </c>
      <c r="B130" s="27">
        <v>5.2612557E7</v>
      </c>
      <c r="C130" s="61">
        <v>86676.37</v>
      </c>
      <c r="D130" s="61">
        <v>3094856.0</v>
      </c>
      <c r="E130" s="27">
        <v>1162682.0</v>
      </c>
      <c r="F130" s="27">
        <v>1.0382259E7</v>
      </c>
      <c r="G130" s="1">
        <v>17.0</v>
      </c>
      <c r="H130" s="1">
        <v>17.0</v>
      </c>
      <c r="I130" s="1">
        <v>100.0</v>
      </c>
      <c r="J130" s="1">
        <v>35.0</v>
      </c>
      <c r="K130" s="26">
        <v>1.0</v>
      </c>
      <c r="L130" s="1" t="s">
        <v>591</v>
      </c>
      <c r="M130" s="1" t="s">
        <v>826</v>
      </c>
      <c r="N130" s="1">
        <v>2.0</v>
      </c>
      <c r="O130" s="101">
        <f t="shared" si="1"/>
        <v>86676.37</v>
      </c>
      <c r="P130" t="str">
        <f t="shared" si="2"/>
        <v> </v>
      </c>
      <c r="Q130" t="str">
        <f t="shared" si="3"/>
        <v> </v>
      </c>
    </row>
    <row r="131">
      <c r="A131" s="1" t="s">
        <v>419</v>
      </c>
      <c r="B131" s="27">
        <v>5.1870622E7</v>
      </c>
      <c r="C131" s="61">
        <v>85454.07</v>
      </c>
      <c r="D131" s="61">
        <v>1673246.0</v>
      </c>
      <c r="E131" s="27">
        <v>1007711.0</v>
      </c>
      <c r="F131" s="27">
        <v>6509626.0</v>
      </c>
      <c r="G131" s="1">
        <v>31.0</v>
      </c>
      <c r="H131" s="1">
        <v>31.0</v>
      </c>
      <c r="I131" s="1">
        <v>100.0</v>
      </c>
      <c r="J131" s="1">
        <v>19.23</v>
      </c>
      <c r="K131" s="26">
        <v>1.0</v>
      </c>
      <c r="L131" s="1" t="s">
        <v>775</v>
      </c>
      <c r="M131" s="1" t="s">
        <v>172</v>
      </c>
      <c r="N131" s="1">
        <v>2.0</v>
      </c>
      <c r="O131" t="str">
        <f t="shared" si="1"/>
        <v> </v>
      </c>
      <c r="P131" s="101">
        <f t="shared" si="2"/>
        <v>85454.07</v>
      </c>
      <c r="Q131" t="str">
        <f t="shared" si="3"/>
        <v> </v>
      </c>
    </row>
    <row r="132">
      <c r="A132" s="1" t="s">
        <v>429</v>
      </c>
      <c r="B132" s="27">
        <v>4.7910529E7</v>
      </c>
      <c r="C132" s="61">
        <v>78930.03</v>
      </c>
      <c r="D132" s="61">
        <v>684436.1</v>
      </c>
      <c r="E132" s="27">
        <v>305556.0</v>
      </c>
      <c r="F132" s="27">
        <v>3629014.0</v>
      </c>
      <c r="G132" s="1">
        <v>70.0</v>
      </c>
      <c r="H132" s="1">
        <v>70.0</v>
      </c>
      <c r="I132" s="1">
        <v>100.0</v>
      </c>
      <c r="J132" s="1">
        <v>8.62</v>
      </c>
      <c r="K132" s="26">
        <v>1.0</v>
      </c>
      <c r="L132" s="1" t="s">
        <v>811</v>
      </c>
      <c r="M132" s="1" t="s">
        <v>826</v>
      </c>
      <c r="N132" s="1">
        <v>2.0</v>
      </c>
      <c r="O132" s="101">
        <f t="shared" si="1"/>
        <v>78930.03</v>
      </c>
      <c r="P132" t="str">
        <f t="shared" si="2"/>
        <v> </v>
      </c>
      <c r="Q132" t="str">
        <f t="shared" si="3"/>
        <v> </v>
      </c>
    </row>
    <row r="133">
      <c r="A133" s="1" t="s">
        <v>407</v>
      </c>
      <c r="B133" s="27">
        <v>4.3810967E7</v>
      </c>
      <c r="C133" s="61">
        <v>72176.22</v>
      </c>
      <c r="D133" s="61">
        <v>2920731.0</v>
      </c>
      <c r="E133" s="27">
        <v>1913271.0</v>
      </c>
      <c r="F133" s="27">
        <v>3791948.0</v>
      </c>
      <c r="G133" s="1">
        <v>15.0</v>
      </c>
      <c r="H133" s="1">
        <v>17.0</v>
      </c>
      <c r="I133" s="1">
        <v>88.24</v>
      </c>
      <c r="J133" s="1">
        <v>34.5</v>
      </c>
      <c r="K133" s="26">
        <v>1.0</v>
      </c>
      <c r="L133" s="1" t="s">
        <v>226</v>
      </c>
      <c r="M133" s="1" t="s">
        <v>826</v>
      </c>
      <c r="N133" s="1">
        <v>2.0</v>
      </c>
      <c r="O133" s="101">
        <f t="shared" si="1"/>
        <v>72176.22</v>
      </c>
      <c r="P133" t="str">
        <f t="shared" si="2"/>
        <v> </v>
      </c>
      <c r="Q133" t="str">
        <f t="shared" si="3"/>
        <v> </v>
      </c>
    </row>
    <row r="134">
      <c r="A134" s="1" t="s">
        <v>441</v>
      </c>
      <c r="B134" s="27">
        <v>4.2511154E7</v>
      </c>
      <c r="C134" s="61">
        <v>70034.85</v>
      </c>
      <c r="D134" s="61">
        <v>99557.73</v>
      </c>
      <c r="E134" s="27">
        <v>41986.0</v>
      </c>
      <c r="F134" s="27">
        <v>354151.0</v>
      </c>
      <c r="G134" s="1">
        <v>427.0</v>
      </c>
      <c r="H134" s="1">
        <v>427.0</v>
      </c>
      <c r="I134" s="1">
        <v>100.0</v>
      </c>
      <c r="J134" s="1">
        <v>3.45</v>
      </c>
      <c r="K134" s="26">
        <v>1.0</v>
      </c>
      <c r="L134" s="1" t="s">
        <v>693</v>
      </c>
      <c r="M134" s="1" t="s">
        <v>182</v>
      </c>
      <c r="N134" s="1">
        <v>1.0</v>
      </c>
      <c r="O134" t="str">
        <f t="shared" si="1"/>
        <v> </v>
      </c>
      <c r="P134" s="101">
        <f t="shared" si="2"/>
        <v>70034.85</v>
      </c>
      <c r="Q134" s="101">
        <f t="shared" si="3"/>
        <v>70034.85</v>
      </c>
    </row>
    <row r="135">
      <c r="A135" s="1" t="s">
        <v>206</v>
      </c>
      <c r="B135" s="27">
        <v>4.2116613E7</v>
      </c>
      <c r="C135" s="61">
        <v>69384.86</v>
      </c>
      <c r="D135" s="61">
        <v>628606.1</v>
      </c>
      <c r="E135" s="27">
        <v>362402.0</v>
      </c>
      <c r="F135" s="27">
        <v>1434160.0</v>
      </c>
      <c r="G135" s="1">
        <v>67.0</v>
      </c>
      <c r="H135" s="1">
        <v>67.0</v>
      </c>
      <c r="I135" s="1">
        <v>100.0</v>
      </c>
      <c r="J135" s="1">
        <v>9.44</v>
      </c>
      <c r="K135" s="26">
        <v>1.0</v>
      </c>
      <c r="L135" s="1" t="s">
        <v>640</v>
      </c>
      <c r="M135" s="1" t="s">
        <v>150</v>
      </c>
      <c r="N135" s="1">
        <v>2.0</v>
      </c>
      <c r="O135" t="str">
        <f t="shared" si="1"/>
        <v> </v>
      </c>
      <c r="P135" s="101">
        <f t="shared" si="2"/>
        <v>69384.86</v>
      </c>
      <c r="Q135" t="str">
        <f t="shared" si="3"/>
        <v> </v>
      </c>
    </row>
    <row r="136">
      <c r="A136" s="1" t="s">
        <v>433</v>
      </c>
      <c r="B136" s="27">
        <v>4.0662287E7</v>
      </c>
      <c r="C136" s="61">
        <v>66988.94</v>
      </c>
      <c r="D136" s="61">
        <v>1270697.0</v>
      </c>
      <c r="E136" s="27">
        <v>576862.0</v>
      </c>
      <c r="F136" s="27">
        <v>3601822.0</v>
      </c>
      <c r="G136" s="1">
        <v>32.0</v>
      </c>
      <c r="H136" s="1">
        <v>33.0</v>
      </c>
      <c r="I136" s="1">
        <v>96.97</v>
      </c>
      <c r="J136" s="1">
        <v>55.5</v>
      </c>
      <c r="K136" s="26">
        <v>1.0</v>
      </c>
      <c r="L136" s="1" t="s">
        <v>812</v>
      </c>
      <c r="M136" s="1" t="s">
        <v>826</v>
      </c>
      <c r="N136" s="1">
        <v>2.0</v>
      </c>
      <c r="O136" s="101">
        <f t="shared" si="1"/>
        <v>66988.94</v>
      </c>
      <c r="P136" t="str">
        <f t="shared" si="2"/>
        <v> </v>
      </c>
      <c r="Q136" t="str">
        <f t="shared" si="3"/>
        <v> </v>
      </c>
    </row>
    <row r="137">
      <c r="A137" s="1" t="s">
        <v>453</v>
      </c>
      <c r="B137" s="27">
        <v>4.0392411E7</v>
      </c>
      <c r="C137" s="61">
        <v>66544.33</v>
      </c>
      <c r="D137" s="61">
        <v>2692828.0</v>
      </c>
      <c r="E137" s="27">
        <v>1883228.0</v>
      </c>
      <c r="F137" s="27">
        <v>3921791.0</v>
      </c>
      <c r="G137" s="1">
        <v>15.0</v>
      </c>
      <c r="H137" s="1">
        <v>15.0</v>
      </c>
      <c r="I137" s="1">
        <v>100.0</v>
      </c>
      <c r="J137" s="1">
        <v>41.0</v>
      </c>
      <c r="K137" s="26">
        <v>1.0</v>
      </c>
      <c r="L137" s="1" t="s">
        <v>446</v>
      </c>
      <c r="M137" s="1" t="s">
        <v>826</v>
      </c>
      <c r="N137" s="1">
        <v>2.0</v>
      </c>
      <c r="O137" s="101">
        <f t="shared" si="1"/>
        <v>66544.33</v>
      </c>
      <c r="P137" t="str">
        <f t="shared" si="2"/>
        <v> </v>
      </c>
      <c r="Q137" t="str">
        <f t="shared" si="3"/>
        <v> </v>
      </c>
    </row>
    <row r="138">
      <c r="A138" s="1" t="s">
        <v>437</v>
      </c>
      <c r="B138" s="27">
        <v>3.9772364E7</v>
      </c>
      <c r="C138" s="61">
        <v>65522.84</v>
      </c>
      <c r="D138" s="61">
        <v>451958.7</v>
      </c>
      <c r="E138" s="27">
        <v>244628.0</v>
      </c>
      <c r="F138" s="27">
        <v>1192118.0</v>
      </c>
      <c r="G138" s="1">
        <v>88.0</v>
      </c>
      <c r="H138" s="1">
        <v>88.0</v>
      </c>
      <c r="I138" s="1">
        <v>100.0</v>
      </c>
      <c r="J138" s="1">
        <v>7.16</v>
      </c>
      <c r="K138" s="26">
        <v>1.0</v>
      </c>
      <c r="L138" s="1" t="s">
        <v>746</v>
      </c>
      <c r="M138" s="1" t="s">
        <v>826</v>
      </c>
      <c r="N138" s="1">
        <v>2.0</v>
      </c>
      <c r="O138" s="101">
        <f t="shared" si="1"/>
        <v>65522.84</v>
      </c>
      <c r="P138" t="str">
        <f t="shared" si="2"/>
        <v> </v>
      </c>
      <c r="Q138" t="str">
        <f t="shared" si="3"/>
        <v> </v>
      </c>
    </row>
    <row r="139">
      <c r="A139" s="1" t="s">
        <v>431</v>
      </c>
      <c r="B139" s="27">
        <v>3.8622407E7</v>
      </c>
      <c r="C139" s="61">
        <v>63628.35</v>
      </c>
      <c r="D139" s="61">
        <v>1135953.0</v>
      </c>
      <c r="E139" s="27">
        <v>787566.0</v>
      </c>
      <c r="F139" s="27">
        <v>3497734.0</v>
      </c>
      <c r="G139" s="1">
        <v>34.0</v>
      </c>
      <c r="H139" s="1">
        <v>34.0</v>
      </c>
      <c r="I139" s="1">
        <v>100.0</v>
      </c>
      <c r="J139" s="1">
        <v>17.36</v>
      </c>
      <c r="K139" s="26">
        <v>1.0</v>
      </c>
      <c r="L139" s="1" t="s">
        <v>696</v>
      </c>
      <c r="M139" s="1" t="s">
        <v>182</v>
      </c>
      <c r="N139" s="1">
        <v>2.0</v>
      </c>
      <c r="O139" t="str">
        <f t="shared" si="1"/>
        <v> </v>
      </c>
      <c r="P139" s="101">
        <f t="shared" si="2"/>
        <v>63628.35</v>
      </c>
      <c r="Q139" t="str">
        <f t="shared" si="3"/>
        <v> </v>
      </c>
    </row>
    <row r="140">
      <c r="A140" s="1" t="s">
        <v>443</v>
      </c>
      <c r="B140" s="27">
        <v>3.6869978E7</v>
      </c>
      <c r="C140" s="61">
        <v>60741.31</v>
      </c>
      <c r="D140" s="61">
        <v>245799.8</v>
      </c>
      <c r="E140" s="27">
        <v>124827.0</v>
      </c>
      <c r="F140" s="27">
        <v>1224287.0</v>
      </c>
      <c r="G140" s="1">
        <v>150.0</v>
      </c>
      <c r="H140" s="1">
        <v>150.0</v>
      </c>
      <c r="I140" s="1">
        <v>100.0</v>
      </c>
      <c r="J140" s="1">
        <v>5.69</v>
      </c>
      <c r="K140" s="26">
        <v>1.0</v>
      </c>
      <c r="L140" s="1" t="s">
        <v>778</v>
      </c>
      <c r="M140" s="1" t="s">
        <v>187</v>
      </c>
      <c r="N140" s="1">
        <v>2.0</v>
      </c>
      <c r="O140" t="str">
        <f t="shared" si="1"/>
        <v> </v>
      </c>
      <c r="P140" s="101">
        <f t="shared" si="2"/>
        <v>60741.31</v>
      </c>
      <c r="Q140" t="str">
        <f t="shared" si="3"/>
        <v> </v>
      </c>
    </row>
    <row r="141">
      <c r="A141" s="1" t="s">
        <v>213</v>
      </c>
      <c r="B141" s="27">
        <v>3.6738987E7</v>
      </c>
      <c r="C141" s="61">
        <v>60525.51</v>
      </c>
      <c r="D141" s="61">
        <v>2161117.0</v>
      </c>
      <c r="E141" s="27">
        <v>1598101.0</v>
      </c>
      <c r="F141" s="27">
        <v>3807769.0</v>
      </c>
      <c r="G141" s="1">
        <v>17.0</v>
      </c>
      <c r="H141" s="1">
        <v>17.0</v>
      </c>
      <c r="I141" s="1">
        <v>100.0</v>
      </c>
      <c r="J141" s="1">
        <v>34.63</v>
      </c>
      <c r="K141" s="26">
        <v>1.0</v>
      </c>
      <c r="L141" s="1" t="s">
        <v>641</v>
      </c>
      <c r="M141" s="1" t="s">
        <v>150</v>
      </c>
      <c r="N141" s="1">
        <v>2.0</v>
      </c>
      <c r="O141" t="str">
        <f t="shared" si="1"/>
        <v> </v>
      </c>
      <c r="P141" s="101">
        <f t="shared" si="2"/>
        <v>60525.51</v>
      </c>
      <c r="Q141" t="str">
        <f t="shared" si="3"/>
        <v> </v>
      </c>
    </row>
    <row r="142">
      <c r="A142" s="1" t="s">
        <v>215</v>
      </c>
      <c r="B142" s="27">
        <v>3.39417E7</v>
      </c>
      <c r="C142" s="61">
        <v>55917.13</v>
      </c>
      <c r="D142" s="61">
        <v>556421.3</v>
      </c>
      <c r="E142" s="27">
        <v>477132.0</v>
      </c>
      <c r="F142" s="27">
        <v>560280.0</v>
      </c>
      <c r="G142" s="1">
        <v>61.0</v>
      </c>
      <c r="H142" s="1">
        <v>61.0</v>
      </c>
      <c r="I142" s="1">
        <v>100.0</v>
      </c>
      <c r="J142" s="1">
        <v>9.69</v>
      </c>
      <c r="K142" s="26">
        <v>0.0</v>
      </c>
      <c r="L142" s="1" t="s">
        <v>149</v>
      </c>
      <c r="M142" s="1" t="s">
        <v>826</v>
      </c>
      <c r="N142" s="1">
        <v>2.0</v>
      </c>
      <c r="O142" s="101">
        <f t="shared" si="1"/>
        <v>55917.13</v>
      </c>
      <c r="P142" t="str">
        <f t="shared" si="2"/>
        <v> </v>
      </c>
      <c r="Q142" t="str">
        <f t="shared" si="3"/>
        <v> </v>
      </c>
    </row>
    <row r="143">
      <c r="A143" s="1" t="s">
        <v>435</v>
      </c>
      <c r="B143" s="27">
        <v>3.2618161E7</v>
      </c>
      <c r="C143" s="61">
        <v>53736.67</v>
      </c>
      <c r="D143" s="61">
        <v>195318.3</v>
      </c>
      <c r="E143" s="27">
        <v>96351.0</v>
      </c>
      <c r="F143" s="27">
        <v>409378.0</v>
      </c>
      <c r="G143" s="1">
        <v>167.0</v>
      </c>
      <c r="H143" s="1">
        <v>167.0</v>
      </c>
      <c r="I143" s="1">
        <v>100.0</v>
      </c>
      <c r="J143" s="1">
        <v>3.72</v>
      </c>
      <c r="K143" s="26">
        <v>1.0</v>
      </c>
      <c r="L143" s="1" t="s">
        <v>779</v>
      </c>
      <c r="M143" s="1" t="s">
        <v>826</v>
      </c>
      <c r="N143" s="1">
        <v>2.0</v>
      </c>
      <c r="O143" s="101">
        <f t="shared" si="1"/>
        <v>53736.67</v>
      </c>
      <c r="P143" t="str">
        <f t="shared" si="2"/>
        <v> </v>
      </c>
      <c r="Q143" t="str">
        <f t="shared" si="3"/>
        <v> </v>
      </c>
    </row>
    <row r="144">
      <c r="A144" s="1" t="s">
        <v>451</v>
      </c>
      <c r="B144" s="27">
        <v>3.1505226E7</v>
      </c>
      <c r="C144" s="61">
        <v>51903.17</v>
      </c>
      <c r="D144" s="61">
        <v>6301045.0</v>
      </c>
      <c r="E144" s="27">
        <v>5359441.0</v>
      </c>
      <c r="F144" s="27">
        <v>6821435.0</v>
      </c>
      <c r="G144" s="1">
        <v>5.0</v>
      </c>
      <c r="H144" s="1">
        <v>5.0</v>
      </c>
      <c r="I144" s="1">
        <v>100.0</v>
      </c>
      <c r="J144" s="1">
        <v>131.25</v>
      </c>
      <c r="K144" s="26">
        <v>1.0</v>
      </c>
      <c r="L144" s="1" t="s">
        <v>446</v>
      </c>
      <c r="M144" s="1" t="s">
        <v>150</v>
      </c>
      <c r="N144" s="1">
        <v>2.0</v>
      </c>
      <c r="O144" t="str">
        <f t="shared" si="1"/>
        <v> </v>
      </c>
      <c r="P144" s="101">
        <f t="shared" si="2"/>
        <v>51903.17</v>
      </c>
      <c r="Q144" t="str">
        <f t="shared" si="3"/>
        <v> </v>
      </c>
    </row>
    <row r="145">
      <c r="A145" s="1" t="s">
        <v>449</v>
      </c>
      <c r="B145" s="27">
        <v>2.9284279E7</v>
      </c>
      <c r="C145" s="61">
        <v>48244.28</v>
      </c>
      <c r="D145" s="61">
        <v>1626905.0</v>
      </c>
      <c r="E145" s="27">
        <v>659520.0</v>
      </c>
      <c r="F145" s="27">
        <v>3059771.0</v>
      </c>
      <c r="G145" s="1">
        <v>18.0</v>
      </c>
      <c r="H145" s="1">
        <v>18.0</v>
      </c>
      <c r="I145" s="1">
        <v>100.0</v>
      </c>
      <c r="J145" s="1">
        <v>32.53</v>
      </c>
      <c r="K145" s="26">
        <v>1.0</v>
      </c>
      <c r="L145" s="1" t="s">
        <v>592</v>
      </c>
      <c r="M145" s="1" t="s">
        <v>826</v>
      </c>
      <c r="N145" s="1">
        <v>2.0</v>
      </c>
      <c r="O145" s="101">
        <f t="shared" si="1"/>
        <v>48244.28</v>
      </c>
      <c r="P145" t="str">
        <f t="shared" si="2"/>
        <v> </v>
      </c>
      <c r="Q145" t="str">
        <f t="shared" si="3"/>
        <v> </v>
      </c>
    </row>
    <row r="146">
      <c r="A146" s="1" t="s">
        <v>216</v>
      </c>
      <c r="B146" s="27">
        <v>2.9068641E7</v>
      </c>
      <c r="C146" s="61">
        <v>47889.03</v>
      </c>
      <c r="D146" s="61">
        <v>1529928.0</v>
      </c>
      <c r="E146" s="27">
        <v>870362.0</v>
      </c>
      <c r="F146" s="27">
        <v>2696624.0</v>
      </c>
      <c r="G146" s="1">
        <v>19.0</v>
      </c>
      <c r="H146" s="1">
        <v>19.0</v>
      </c>
      <c r="I146" s="1">
        <v>100.0</v>
      </c>
      <c r="J146" s="1">
        <v>32.22</v>
      </c>
      <c r="K146" s="26">
        <v>1.0</v>
      </c>
      <c r="L146" s="1" t="s">
        <v>643</v>
      </c>
      <c r="M146" s="1" t="s">
        <v>150</v>
      </c>
      <c r="N146" s="1">
        <v>2.0</v>
      </c>
      <c r="O146" t="str">
        <f t="shared" si="1"/>
        <v> </v>
      </c>
      <c r="P146" s="101">
        <f t="shared" si="2"/>
        <v>47889.03</v>
      </c>
      <c r="Q146" t="str">
        <f t="shared" si="3"/>
        <v> </v>
      </c>
    </row>
    <row r="147">
      <c r="A147" s="1" t="s">
        <v>225</v>
      </c>
      <c r="B147" s="27">
        <v>2.7719139E7</v>
      </c>
      <c r="C147" s="61">
        <v>45665.8</v>
      </c>
      <c r="D147" s="61">
        <v>369588.5</v>
      </c>
      <c r="E147" s="27">
        <v>223997.0</v>
      </c>
      <c r="F147" s="27">
        <v>691447.0</v>
      </c>
      <c r="G147" s="1">
        <v>75.0</v>
      </c>
      <c r="H147" s="1">
        <v>75.0</v>
      </c>
      <c r="I147" s="1">
        <v>100.0</v>
      </c>
      <c r="J147" s="1">
        <v>10.0</v>
      </c>
      <c r="K147" s="26">
        <v>1.0</v>
      </c>
      <c r="L147" s="1" t="s">
        <v>644</v>
      </c>
      <c r="M147" s="1" t="s">
        <v>187</v>
      </c>
      <c r="N147" s="1">
        <v>2.0</v>
      </c>
      <c r="O147" t="str">
        <f t="shared" si="1"/>
        <v> </v>
      </c>
      <c r="P147" s="101">
        <f t="shared" si="2"/>
        <v>45665.8</v>
      </c>
      <c r="Q147" t="str">
        <f t="shared" si="3"/>
        <v> </v>
      </c>
    </row>
    <row r="148">
      <c r="A148" s="1" t="s">
        <v>447</v>
      </c>
      <c r="B148" s="27">
        <v>2.7698785E7</v>
      </c>
      <c r="C148" s="61">
        <v>45632.27</v>
      </c>
      <c r="D148" s="61">
        <v>364457.7</v>
      </c>
      <c r="E148" s="27">
        <v>258419.0</v>
      </c>
      <c r="F148" s="27">
        <v>536711.0</v>
      </c>
      <c r="G148" s="1">
        <v>76.0</v>
      </c>
      <c r="H148" s="1">
        <v>76.0</v>
      </c>
      <c r="I148" s="1">
        <v>100.0</v>
      </c>
      <c r="J148" s="1">
        <v>7.25</v>
      </c>
      <c r="K148" s="26">
        <v>1.0</v>
      </c>
      <c r="L148" s="1" t="s">
        <v>780</v>
      </c>
      <c r="M148" s="1" t="s">
        <v>187</v>
      </c>
      <c r="N148" s="1">
        <v>2.0</v>
      </c>
      <c r="O148" t="str">
        <f t="shared" si="1"/>
        <v> </v>
      </c>
      <c r="P148" s="101">
        <f t="shared" si="2"/>
        <v>45632.27</v>
      </c>
      <c r="Q148" t="str">
        <f t="shared" si="3"/>
        <v> </v>
      </c>
    </row>
    <row r="149">
      <c r="A149" s="1" t="s">
        <v>455</v>
      </c>
      <c r="B149" s="27">
        <v>2.4083278E7</v>
      </c>
      <c r="C149" s="61">
        <v>39675.91</v>
      </c>
      <c r="D149" s="61">
        <v>602081.9</v>
      </c>
      <c r="E149" s="27">
        <v>379292.0</v>
      </c>
      <c r="F149" s="27">
        <v>1216831.0</v>
      </c>
      <c r="G149" s="1">
        <v>40.0</v>
      </c>
      <c r="H149" s="1">
        <v>40.0</v>
      </c>
      <c r="I149" s="1">
        <v>100.0</v>
      </c>
      <c r="J149" s="1">
        <v>21.07</v>
      </c>
      <c r="K149" s="26">
        <v>1.0</v>
      </c>
      <c r="L149" s="1" t="s">
        <v>814</v>
      </c>
      <c r="M149" s="1" t="s">
        <v>826</v>
      </c>
      <c r="N149" s="1">
        <v>2.0</v>
      </c>
      <c r="O149" s="101">
        <f t="shared" si="1"/>
        <v>39675.91</v>
      </c>
      <c r="P149" t="str">
        <f t="shared" si="2"/>
        <v> </v>
      </c>
      <c r="Q149" t="str">
        <f t="shared" si="3"/>
        <v> </v>
      </c>
    </row>
    <row r="150">
      <c r="A150" s="1" t="s">
        <v>439</v>
      </c>
      <c r="B150" s="27">
        <v>2.3878622E7</v>
      </c>
      <c r="C150" s="61">
        <v>39338.75</v>
      </c>
      <c r="D150" s="61">
        <v>852807.9</v>
      </c>
      <c r="E150" s="27">
        <v>536159.0</v>
      </c>
      <c r="F150" s="27">
        <v>1530662.0</v>
      </c>
      <c r="G150" s="1">
        <v>28.0</v>
      </c>
      <c r="H150" s="1">
        <v>31.0</v>
      </c>
      <c r="I150" s="1">
        <v>90.32</v>
      </c>
      <c r="J150" s="1">
        <v>19.07</v>
      </c>
      <c r="K150" s="26">
        <v>1.0</v>
      </c>
      <c r="L150" s="1" t="s">
        <v>403</v>
      </c>
      <c r="M150" s="1" t="s">
        <v>826</v>
      </c>
      <c r="N150" s="1">
        <v>2.0</v>
      </c>
      <c r="O150" s="101">
        <f t="shared" si="1"/>
        <v>39338.75</v>
      </c>
      <c r="P150" t="str">
        <f t="shared" si="2"/>
        <v> </v>
      </c>
      <c r="Q150" t="str">
        <f t="shared" si="3"/>
        <v> </v>
      </c>
    </row>
    <row r="151">
      <c r="A151" s="1" t="s">
        <v>445</v>
      </c>
      <c r="B151" s="27">
        <v>2.2611966E7</v>
      </c>
      <c r="C151" s="61">
        <v>37252.0</v>
      </c>
      <c r="D151" s="61">
        <v>1615140.0</v>
      </c>
      <c r="E151" s="27">
        <v>1078644.0</v>
      </c>
      <c r="F151" s="27">
        <v>2211786.0</v>
      </c>
      <c r="G151" s="1">
        <v>14.0</v>
      </c>
      <c r="H151" s="1">
        <v>16.0</v>
      </c>
      <c r="I151" s="1">
        <v>87.5</v>
      </c>
      <c r="J151" s="1">
        <v>36.87</v>
      </c>
      <c r="K151" s="26">
        <v>1.0</v>
      </c>
      <c r="L151" s="1" t="s">
        <v>214</v>
      </c>
      <c r="M151" s="1" t="s">
        <v>826</v>
      </c>
      <c r="N151" s="1">
        <v>2.0</v>
      </c>
      <c r="O151" s="101">
        <f t="shared" si="1"/>
        <v>37252</v>
      </c>
      <c r="P151" t="str">
        <f t="shared" si="2"/>
        <v> </v>
      </c>
      <c r="Q151" t="str">
        <f t="shared" si="3"/>
        <v> </v>
      </c>
    </row>
    <row r="152">
      <c r="A152" s="1" t="s">
        <v>452</v>
      </c>
      <c r="B152" s="27">
        <v>2.0131904E7</v>
      </c>
      <c r="C152" s="61">
        <v>33166.23</v>
      </c>
      <c r="D152" s="61">
        <v>1830173.0</v>
      </c>
      <c r="E152" s="27">
        <v>1309307.0</v>
      </c>
      <c r="F152" s="27">
        <v>2845962.0</v>
      </c>
      <c r="G152" s="1">
        <v>11.0</v>
      </c>
      <c r="H152" s="1">
        <v>12.0</v>
      </c>
      <c r="I152" s="1">
        <v>91.67</v>
      </c>
      <c r="J152" s="1">
        <v>51.36</v>
      </c>
      <c r="K152" s="26">
        <v>1.0</v>
      </c>
      <c r="L152" s="1" t="s">
        <v>815</v>
      </c>
      <c r="M152" s="1" t="s">
        <v>826</v>
      </c>
      <c r="N152" s="1">
        <v>2.0</v>
      </c>
      <c r="O152" s="101">
        <f t="shared" si="1"/>
        <v>33166.23</v>
      </c>
      <c r="P152" t="str">
        <f t="shared" si="2"/>
        <v> </v>
      </c>
      <c r="Q152" t="str">
        <f t="shared" si="3"/>
        <v> </v>
      </c>
    </row>
    <row r="153">
      <c r="A153" s="1" t="s">
        <v>459</v>
      </c>
      <c r="B153" s="27">
        <v>2.0026047E7</v>
      </c>
      <c r="C153" s="61">
        <v>32991.84</v>
      </c>
      <c r="D153" s="61">
        <v>2225117.0</v>
      </c>
      <c r="E153" s="27">
        <v>1471644.0</v>
      </c>
      <c r="F153" s="27">
        <v>3174608.0</v>
      </c>
      <c r="G153" s="1">
        <v>9.0</v>
      </c>
      <c r="H153" s="1">
        <v>9.0</v>
      </c>
      <c r="I153" s="1">
        <v>100.0</v>
      </c>
      <c r="J153" s="1">
        <v>89.6</v>
      </c>
      <c r="K153" s="26">
        <v>1.0</v>
      </c>
      <c r="L153" s="1" t="s">
        <v>699</v>
      </c>
      <c r="M153" s="1" t="s">
        <v>182</v>
      </c>
      <c r="N153" s="1">
        <v>2.0</v>
      </c>
      <c r="O153" t="str">
        <f t="shared" si="1"/>
        <v> </v>
      </c>
      <c r="P153" s="101">
        <f t="shared" si="2"/>
        <v>32991.84</v>
      </c>
      <c r="Q153" t="str">
        <f t="shared" si="3"/>
        <v> </v>
      </c>
    </row>
    <row r="154">
      <c r="A154" s="1" t="s">
        <v>816</v>
      </c>
      <c r="B154" s="27">
        <v>1.7165763E7</v>
      </c>
      <c r="C154" s="61">
        <v>28279.68</v>
      </c>
      <c r="D154" s="61">
        <v>780262.0</v>
      </c>
      <c r="E154" s="27">
        <v>390170.0</v>
      </c>
      <c r="F154" s="27">
        <v>1847882.0</v>
      </c>
      <c r="G154" s="1">
        <v>22.0</v>
      </c>
      <c r="H154" s="1">
        <v>22.0</v>
      </c>
      <c r="I154" s="1">
        <v>100.0</v>
      </c>
      <c r="J154" s="1">
        <v>26.62</v>
      </c>
      <c r="K154" s="26">
        <v>1.0</v>
      </c>
      <c r="L154" s="1" t="s">
        <v>817</v>
      </c>
      <c r="M154" s="1" t="s">
        <v>826</v>
      </c>
      <c r="N154" s="1">
        <v>2.0</v>
      </c>
      <c r="O154" s="101">
        <f t="shared" si="1"/>
        <v>28279.68</v>
      </c>
      <c r="P154" t="str">
        <f t="shared" si="2"/>
        <v> </v>
      </c>
      <c r="Q154" t="str">
        <f t="shared" si="3"/>
        <v> </v>
      </c>
    </row>
    <row r="155">
      <c r="A155" s="1" t="s">
        <v>227</v>
      </c>
      <c r="B155" s="27">
        <v>1.5755702E7</v>
      </c>
      <c r="C155" s="61">
        <v>25956.68</v>
      </c>
      <c r="D155" s="61">
        <v>1575570.0</v>
      </c>
      <c r="E155" s="27">
        <v>1058359.0</v>
      </c>
      <c r="F155" s="27">
        <v>2606656.0</v>
      </c>
      <c r="G155" s="1">
        <v>10.0</v>
      </c>
      <c r="H155" s="1">
        <v>10.0</v>
      </c>
      <c r="I155" s="1">
        <v>100.0</v>
      </c>
      <c r="J155" s="1">
        <v>52.67</v>
      </c>
      <c r="K155" s="26">
        <v>1.0</v>
      </c>
      <c r="L155" s="1" t="s">
        <v>646</v>
      </c>
      <c r="M155" s="1" t="s">
        <v>187</v>
      </c>
      <c r="N155" s="1">
        <v>2.0</v>
      </c>
      <c r="O155" t="str">
        <f t="shared" si="1"/>
        <v> </v>
      </c>
      <c r="P155" s="101">
        <f t="shared" si="2"/>
        <v>25956.68</v>
      </c>
      <c r="Q155" t="str">
        <f t="shared" si="3"/>
        <v> </v>
      </c>
    </row>
    <row r="156">
      <c r="A156" s="1" t="s">
        <v>220</v>
      </c>
      <c r="B156" s="27">
        <v>1.4879275E7</v>
      </c>
      <c r="C156" s="61">
        <v>24512.81</v>
      </c>
      <c r="D156" s="61">
        <v>743963.8</v>
      </c>
      <c r="E156" s="27">
        <v>479723.0</v>
      </c>
      <c r="F156" s="27">
        <v>1990205.0</v>
      </c>
      <c r="G156" s="1">
        <v>20.0</v>
      </c>
      <c r="H156" s="1">
        <v>20.0</v>
      </c>
      <c r="I156" s="1">
        <v>100.0</v>
      </c>
      <c r="J156" s="1">
        <v>30.47</v>
      </c>
      <c r="K156" s="26">
        <v>1.0</v>
      </c>
      <c r="L156" s="1" t="s">
        <v>647</v>
      </c>
      <c r="M156" s="1" t="s">
        <v>150</v>
      </c>
      <c r="N156" s="1">
        <v>2.0</v>
      </c>
      <c r="O156" t="str">
        <f t="shared" si="1"/>
        <v> </v>
      </c>
      <c r="P156" s="101">
        <f t="shared" si="2"/>
        <v>24512.81</v>
      </c>
      <c r="Q156" t="str">
        <f t="shared" si="3"/>
        <v> </v>
      </c>
    </row>
    <row r="157">
      <c r="A157" s="1" t="s">
        <v>648</v>
      </c>
      <c r="B157" s="27">
        <v>1.3278396E7</v>
      </c>
      <c r="C157" s="61">
        <v>21875.45</v>
      </c>
      <c r="D157" s="61">
        <v>829899.8</v>
      </c>
      <c r="E157" s="27">
        <v>436135.0</v>
      </c>
      <c r="F157" s="27">
        <v>1375955.0</v>
      </c>
      <c r="G157" s="1">
        <v>16.0</v>
      </c>
      <c r="H157" s="1">
        <v>16.0</v>
      </c>
      <c r="I157" s="1">
        <v>100.0</v>
      </c>
      <c r="J157" s="1">
        <v>67.63</v>
      </c>
      <c r="K157" s="26">
        <v>1.0</v>
      </c>
      <c r="L157" s="1" t="s">
        <v>649</v>
      </c>
      <c r="M157" s="1" t="s">
        <v>187</v>
      </c>
      <c r="N157" s="1">
        <v>2.0</v>
      </c>
      <c r="O157" t="str">
        <f t="shared" si="1"/>
        <v> </v>
      </c>
      <c r="P157" s="101">
        <f t="shared" si="2"/>
        <v>21875.45</v>
      </c>
      <c r="Q157" t="str">
        <f t="shared" si="3"/>
        <v> </v>
      </c>
    </row>
    <row r="158">
      <c r="A158" s="1" t="s">
        <v>469</v>
      </c>
      <c r="B158" s="27">
        <v>1.1862737E7</v>
      </c>
      <c r="C158" s="61">
        <v>19543.22</v>
      </c>
      <c r="D158" s="61">
        <v>119825.6</v>
      </c>
      <c r="E158" s="27">
        <v>89338.0</v>
      </c>
      <c r="F158" s="27">
        <v>236226.0</v>
      </c>
      <c r="G158" s="1">
        <v>99.0</v>
      </c>
      <c r="H158" s="1">
        <v>99.0</v>
      </c>
      <c r="I158" s="1">
        <v>100.0</v>
      </c>
      <c r="J158" s="1">
        <v>27.42</v>
      </c>
      <c r="K158" s="26">
        <v>1.0</v>
      </c>
      <c r="L158" s="1" t="s">
        <v>748</v>
      </c>
      <c r="M158" s="1" t="s">
        <v>826</v>
      </c>
      <c r="N158" s="1">
        <v>2.0</v>
      </c>
      <c r="O158" s="101">
        <f t="shared" si="1"/>
        <v>19543.22</v>
      </c>
      <c r="P158" t="str">
        <f t="shared" si="2"/>
        <v> </v>
      </c>
      <c r="Q158" t="str">
        <f t="shared" si="3"/>
        <v> </v>
      </c>
    </row>
    <row r="159">
      <c r="A159" s="1" t="s">
        <v>457</v>
      </c>
      <c r="B159" s="27">
        <v>1.0490182E7</v>
      </c>
      <c r="C159" s="61">
        <v>17282.01</v>
      </c>
      <c r="D159" s="61">
        <v>2098037.0</v>
      </c>
      <c r="E159" s="27">
        <v>1500388.0</v>
      </c>
      <c r="F159" s="27">
        <v>3002397.0</v>
      </c>
      <c r="G159" s="1">
        <v>5.0</v>
      </c>
      <c r="H159" s="1">
        <v>5.0</v>
      </c>
      <c r="I159" s="1">
        <v>100.0</v>
      </c>
      <c r="J159" s="1">
        <v>110.5</v>
      </c>
      <c r="K159" s="26">
        <v>1.0</v>
      </c>
      <c r="L159" s="1" t="s">
        <v>226</v>
      </c>
      <c r="M159" s="1" t="s">
        <v>826</v>
      </c>
      <c r="N159" s="1">
        <v>2.0</v>
      </c>
      <c r="O159" s="101">
        <f t="shared" si="1"/>
        <v>17282.01</v>
      </c>
      <c r="P159" t="str">
        <f t="shared" si="2"/>
        <v> </v>
      </c>
      <c r="Q159" t="str">
        <f t="shared" si="3"/>
        <v> </v>
      </c>
    </row>
    <row r="160">
      <c r="A160" s="1" t="s">
        <v>222</v>
      </c>
      <c r="B160" s="27">
        <v>8510826.0</v>
      </c>
      <c r="C160" s="61">
        <v>14021.13</v>
      </c>
      <c r="D160" s="61">
        <v>4255413.0</v>
      </c>
      <c r="E160" s="27">
        <v>2340684.0</v>
      </c>
      <c r="F160" s="27">
        <v>6170142.0</v>
      </c>
      <c r="G160" s="1">
        <v>2.0</v>
      </c>
      <c r="H160" s="1">
        <v>2.0</v>
      </c>
      <c r="I160" s="1">
        <v>100.0</v>
      </c>
      <c r="J160" s="1">
        <v>231.0</v>
      </c>
      <c r="K160" s="26">
        <v>1.0</v>
      </c>
      <c r="L160" s="1" t="s">
        <v>466</v>
      </c>
      <c r="M160" s="1" t="s">
        <v>150</v>
      </c>
      <c r="N160" s="1">
        <v>2.0</v>
      </c>
      <c r="O160" t="str">
        <f t="shared" si="1"/>
        <v> </v>
      </c>
      <c r="P160" s="101">
        <f t="shared" si="2"/>
        <v>14021.13</v>
      </c>
      <c r="Q160" t="str">
        <f t="shared" si="3"/>
        <v> </v>
      </c>
    </row>
    <row r="161">
      <c r="A161" s="1" t="s">
        <v>463</v>
      </c>
      <c r="B161" s="27">
        <v>4989940.0</v>
      </c>
      <c r="C161" s="61">
        <v>8220.66</v>
      </c>
      <c r="D161" s="61">
        <v>27876.76</v>
      </c>
      <c r="E161" s="27">
        <v>15808.0</v>
      </c>
      <c r="F161" s="27">
        <v>54057.0</v>
      </c>
      <c r="G161" s="1">
        <v>179.0</v>
      </c>
      <c r="H161" s="1">
        <v>179.0</v>
      </c>
      <c r="I161" s="1">
        <v>100.0</v>
      </c>
      <c r="J161" s="1">
        <v>3.39</v>
      </c>
      <c r="K161" s="26">
        <v>1.0</v>
      </c>
      <c r="L161" s="1" t="s">
        <v>593</v>
      </c>
      <c r="M161" s="1" t="s">
        <v>826</v>
      </c>
      <c r="N161" s="1">
        <v>2.0</v>
      </c>
      <c r="O161" s="101">
        <f t="shared" si="1"/>
        <v>8220.66</v>
      </c>
      <c r="P161" t="str">
        <f t="shared" si="2"/>
        <v> </v>
      </c>
      <c r="Q161" t="str">
        <f t="shared" si="3"/>
        <v> </v>
      </c>
    </row>
    <row r="162">
      <c r="A162" s="1" t="s">
        <v>477</v>
      </c>
      <c r="B162" s="27">
        <v>4453405.0</v>
      </c>
      <c r="C162" s="61">
        <v>7336.75</v>
      </c>
      <c r="D162" s="61">
        <v>41235.23</v>
      </c>
      <c r="E162" s="27">
        <v>24898.0</v>
      </c>
      <c r="F162" s="27">
        <v>86110.0</v>
      </c>
      <c r="G162" s="1">
        <v>108.0</v>
      </c>
      <c r="H162" s="1">
        <v>108.0</v>
      </c>
      <c r="I162" s="1">
        <v>100.0</v>
      </c>
      <c r="J162" s="1">
        <v>19.37</v>
      </c>
      <c r="K162" s="26">
        <v>1.0</v>
      </c>
      <c r="L162" s="1" t="s">
        <v>750</v>
      </c>
      <c r="M162" s="1" t="s">
        <v>826</v>
      </c>
      <c r="N162" s="1">
        <v>2.0</v>
      </c>
      <c r="O162" s="101">
        <f t="shared" si="1"/>
        <v>7336.75</v>
      </c>
      <c r="P162" t="str">
        <f t="shared" si="2"/>
        <v> </v>
      </c>
      <c r="Q162" t="str">
        <f t="shared" si="3"/>
        <v> </v>
      </c>
    </row>
    <row r="163">
      <c r="A163" s="1" t="s">
        <v>594</v>
      </c>
      <c r="B163" s="27">
        <v>4384689.0</v>
      </c>
      <c r="C163" s="61">
        <v>7223.54</v>
      </c>
      <c r="D163" s="61">
        <v>4384689.0</v>
      </c>
      <c r="E163" s="27">
        <v>4384689.0</v>
      </c>
      <c r="F163" s="27">
        <v>4384689.0</v>
      </c>
      <c r="G163" s="1">
        <v>1.0</v>
      </c>
      <c r="H163" s="1">
        <v>1.0</v>
      </c>
      <c r="I163" s="1">
        <v>100.0</v>
      </c>
      <c r="J163" s="1" t="s">
        <v>223</v>
      </c>
      <c r="K163" s="26">
        <v>1.0</v>
      </c>
      <c r="L163" s="1" t="s">
        <v>226</v>
      </c>
      <c r="M163" s="1" t="s">
        <v>826</v>
      </c>
      <c r="N163" s="1">
        <v>2.0</v>
      </c>
      <c r="O163" s="101">
        <f t="shared" si="1"/>
        <v>7223.54</v>
      </c>
      <c r="P163" t="str">
        <f t="shared" si="2"/>
        <v> </v>
      </c>
      <c r="Q163" t="str">
        <f t="shared" si="3"/>
        <v> </v>
      </c>
    </row>
    <row r="164">
      <c r="A164" s="1" t="s">
        <v>461</v>
      </c>
      <c r="B164" s="27">
        <v>4133944.0</v>
      </c>
      <c r="C164" s="61">
        <v>6810.45</v>
      </c>
      <c r="D164" s="61">
        <v>2066972.0</v>
      </c>
      <c r="E164" s="27">
        <v>1405033.0</v>
      </c>
      <c r="F164" s="27">
        <v>2728911.0</v>
      </c>
      <c r="G164" s="1">
        <v>2.0</v>
      </c>
      <c r="H164" s="1">
        <v>2.0</v>
      </c>
      <c r="I164" s="1">
        <v>100.0</v>
      </c>
      <c r="J164" s="1">
        <v>86.0</v>
      </c>
      <c r="K164" s="26">
        <v>1.0</v>
      </c>
      <c r="L164" s="1" t="s">
        <v>466</v>
      </c>
      <c r="M164" s="1" t="s">
        <v>826</v>
      </c>
      <c r="N164" s="1">
        <v>2.0</v>
      </c>
      <c r="O164" s="101">
        <f t="shared" si="1"/>
        <v>6810.45</v>
      </c>
      <c r="P164" t="str">
        <f t="shared" si="2"/>
        <v> </v>
      </c>
      <c r="Q164" t="str">
        <f t="shared" si="3"/>
        <v> </v>
      </c>
    </row>
    <row r="165">
      <c r="A165" s="1" t="s">
        <v>471</v>
      </c>
      <c r="B165" s="27">
        <v>3404281.0</v>
      </c>
      <c r="C165" s="61">
        <v>5608.37</v>
      </c>
      <c r="D165" s="61">
        <v>1702141.0</v>
      </c>
      <c r="E165" s="27">
        <v>938546.0</v>
      </c>
      <c r="F165" s="27">
        <v>2465735.0</v>
      </c>
      <c r="G165" s="1">
        <v>2.0</v>
      </c>
      <c r="H165" s="1">
        <v>2.0</v>
      </c>
      <c r="I165" s="1">
        <v>100.0</v>
      </c>
      <c r="J165" s="1" t="s">
        <v>223</v>
      </c>
      <c r="K165" s="26">
        <v>0.0</v>
      </c>
      <c r="L165" s="1" t="s">
        <v>149</v>
      </c>
      <c r="M165" s="1" t="s">
        <v>826</v>
      </c>
      <c r="N165" s="1">
        <v>2.0</v>
      </c>
      <c r="O165" s="101">
        <f t="shared" si="1"/>
        <v>5608.37</v>
      </c>
      <c r="P165" t="str">
        <f t="shared" si="2"/>
        <v> </v>
      </c>
      <c r="Q165" t="str">
        <f t="shared" si="3"/>
        <v> </v>
      </c>
    </row>
    <row r="166">
      <c r="A166" s="1" t="s">
        <v>467</v>
      </c>
      <c r="B166" s="27">
        <v>2395330.0</v>
      </c>
      <c r="C166" s="61">
        <v>3946.18</v>
      </c>
      <c r="D166" s="61">
        <v>32812.74</v>
      </c>
      <c r="E166" s="27">
        <v>24237.0</v>
      </c>
      <c r="F166" s="27">
        <v>46637.0</v>
      </c>
      <c r="G166" s="1">
        <v>73.0</v>
      </c>
      <c r="H166" s="1">
        <v>73.0</v>
      </c>
      <c r="I166" s="1">
        <v>100.0</v>
      </c>
      <c r="J166" s="1">
        <v>8.58</v>
      </c>
      <c r="K166" s="26">
        <v>1.0</v>
      </c>
      <c r="L166" s="1" t="s">
        <v>595</v>
      </c>
      <c r="M166" s="1" t="s">
        <v>150</v>
      </c>
      <c r="N166" s="1">
        <v>2.0</v>
      </c>
      <c r="O166" t="str">
        <f t="shared" si="1"/>
        <v> </v>
      </c>
      <c r="P166" s="101">
        <f t="shared" si="2"/>
        <v>3946.18</v>
      </c>
      <c r="Q166" t="str">
        <f t="shared" si="3"/>
        <v> </v>
      </c>
    </row>
    <row r="167">
      <c r="A167" s="1" t="s">
        <v>476</v>
      </c>
      <c r="B167" s="27">
        <v>825580.0</v>
      </c>
      <c r="C167" s="61">
        <v>1360.1</v>
      </c>
      <c r="D167" s="61">
        <v>13992.88</v>
      </c>
      <c r="E167" s="27">
        <v>12208.0</v>
      </c>
      <c r="F167" s="27">
        <v>14076.0</v>
      </c>
      <c r="G167" s="1">
        <v>59.0</v>
      </c>
      <c r="H167" s="1">
        <v>59.0</v>
      </c>
      <c r="I167" s="1">
        <v>100.0</v>
      </c>
      <c r="J167" s="1">
        <v>1.37</v>
      </c>
      <c r="K167" s="26">
        <v>0.0</v>
      </c>
      <c r="L167" s="1" t="s">
        <v>149</v>
      </c>
      <c r="M167" s="1" t="s">
        <v>826</v>
      </c>
      <c r="N167" s="1">
        <v>2.0</v>
      </c>
      <c r="O167" s="101">
        <f t="shared" si="1"/>
        <v>1360.1</v>
      </c>
      <c r="P167" t="str">
        <f t="shared" si="2"/>
        <v> </v>
      </c>
      <c r="Q167" t="str">
        <f t="shared" si="3"/>
        <v> </v>
      </c>
    </row>
    <row r="168">
      <c r="A168" s="1" t="s">
        <v>465</v>
      </c>
      <c r="B168" s="27">
        <v>804299.0</v>
      </c>
      <c r="C168" s="61">
        <v>1325.04</v>
      </c>
      <c r="D168" s="61">
        <v>804299.0</v>
      </c>
      <c r="E168" s="27">
        <v>804299.0</v>
      </c>
      <c r="F168" s="27">
        <v>804299.0</v>
      </c>
      <c r="G168" s="1">
        <v>1.0</v>
      </c>
      <c r="H168" s="1">
        <v>1.0</v>
      </c>
      <c r="I168" s="1">
        <v>100.0</v>
      </c>
      <c r="J168" s="1" t="s">
        <v>223</v>
      </c>
      <c r="K168" s="26">
        <v>1.0</v>
      </c>
      <c r="L168" s="1" t="s">
        <v>226</v>
      </c>
      <c r="M168" s="1" t="s">
        <v>826</v>
      </c>
      <c r="N168" s="1">
        <v>2.0</v>
      </c>
      <c r="O168" s="101">
        <f t="shared" si="1"/>
        <v>1325.04</v>
      </c>
      <c r="P168" t="str">
        <f t="shared" si="2"/>
        <v> </v>
      </c>
      <c r="Q168" t="str">
        <f t="shared" si="3"/>
        <v> </v>
      </c>
    </row>
    <row r="169">
      <c r="A169" s="1" t="s">
        <v>474</v>
      </c>
      <c r="B169" s="27">
        <v>500076.0</v>
      </c>
      <c r="C169" s="61">
        <v>823.85</v>
      </c>
      <c r="D169" s="61">
        <v>250038.0</v>
      </c>
      <c r="E169" s="27">
        <v>243287.0</v>
      </c>
      <c r="F169" s="27">
        <v>256789.0</v>
      </c>
      <c r="G169" s="1">
        <v>2.0</v>
      </c>
      <c r="H169" s="1">
        <v>2.0</v>
      </c>
      <c r="I169" s="1">
        <v>100.0</v>
      </c>
      <c r="J169" s="1" t="s">
        <v>223</v>
      </c>
      <c r="K169" s="26">
        <v>1.0</v>
      </c>
      <c r="L169" s="1" t="s">
        <v>226</v>
      </c>
      <c r="M169" s="1" t="s">
        <v>182</v>
      </c>
      <c r="N169" s="1">
        <v>2.0</v>
      </c>
      <c r="O169" t="str">
        <f t="shared" si="1"/>
        <v> </v>
      </c>
      <c r="P169" s="101">
        <f t="shared" si="2"/>
        <v>823.85</v>
      </c>
      <c r="Q169" t="str">
        <f t="shared" si="3"/>
        <v> </v>
      </c>
    </row>
    <row r="170">
      <c r="A170" s="1" t="s">
        <v>479</v>
      </c>
      <c r="B170" s="27">
        <v>141528.0</v>
      </c>
      <c r="C170" s="61">
        <v>233.16</v>
      </c>
      <c r="D170" s="61">
        <v>3931.33</v>
      </c>
      <c r="E170" s="27">
        <v>1148.0</v>
      </c>
      <c r="F170" s="27">
        <v>5911.0</v>
      </c>
      <c r="G170" s="1">
        <v>36.0</v>
      </c>
      <c r="H170" s="1">
        <v>36.0</v>
      </c>
      <c r="I170" s="1">
        <v>100.0</v>
      </c>
      <c r="J170" s="1">
        <v>16.7</v>
      </c>
      <c r="K170" s="26">
        <v>0.0</v>
      </c>
      <c r="L170" s="1" t="s">
        <v>149</v>
      </c>
      <c r="M170" s="1" t="s">
        <v>150</v>
      </c>
      <c r="N170" s="1">
        <v>2.0</v>
      </c>
      <c r="O170" t="str">
        <f t="shared" si="1"/>
        <v> </v>
      </c>
      <c r="P170" s="101">
        <f t="shared" si="2"/>
        <v>233.16</v>
      </c>
      <c r="Q170" t="str">
        <f t="shared" si="3"/>
        <v> </v>
      </c>
    </row>
    <row r="171">
      <c r="A171" s="1" t="s">
        <v>480</v>
      </c>
      <c r="B171" s="27">
        <v>97424.0</v>
      </c>
      <c r="C171" s="1">
        <v>160.5</v>
      </c>
      <c r="D171" s="61">
        <v>3747.08</v>
      </c>
      <c r="E171" s="27">
        <v>1161.0</v>
      </c>
      <c r="F171" s="27">
        <v>5769.0</v>
      </c>
      <c r="G171" s="1">
        <v>26.0</v>
      </c>
      <c r="H171" s="1">
        <v>26.0</v>
      </c>
      <c r="I171" s="1">
        <v>100.0</v>
      </c>
      <c r="J171" s="1">
        <v>25.0</v>
      </c>
      <c r="K171" s="26">
        <v>0.0</v>
      </c>
      <c r="L171" s="1" t="s">
        <v>149</v>
      </c>
      <c r="M171" s="1" t="s">
        <v>150</v>
      </c>
      <c r="N171" s="1">
        <v>2.0</v>
      </c>
      <c r="O171" t="str">
        <f t="shared" si="1"/>
        <v> </v>
      </c>
      <c r="P171">
        <f t="shared" si="2"/>
        <v>160.5</v>
      </c>
      <c r="Q171" t="str">
        <f t="shared" si="3"/>
        <v> </v>
      </c>
    </row>
    <row r="172">
      <c r="O172" s="5">
        <f t="shared" ref="O172:Q172" si="4">sum(O1:O171)</f>
        <v>58009288.46</v>
      </c>
      <c r="P172" s="5">
        <f t="shared" si="4"/>
        <v>85224231.23</v>
      </c>
      <c r="Q172" s="5">
        <f t="shared" si="4"/>
        <v>22880038.18</v>
      </c>
    </row>
    <row r="173">
      <c r="O173" s="5">
        <f>O172+Q172</f>
        <v>80889326.64</v>
      </c>
      <c r="P173" s="5">
        <f>P172-Q172</f>
        <v>62344193.05</v>
      </c>
    </row>
    <row r="174">
      <c r="P174">
        <f>P172/(1+0.014*5)*0.014</f>
        <v>1115083.399</v>
      </c>
    </row>
    <row r="176">
      <c r="A176" s="1"/>
      <c r="B176" s="27"/>
      <c r="C176" s="61"/>
      <c r="D176" s="61"/>
      <c r="E176" s="27"/>
      <c r="F176" s="27"/>
      <c r="G176" s="1"/>
      <c r="H176" s="1"/>
      <c r="I176" s="1"/>
      <c r="J176" s="1"/>
      <c r="K176" s="26"/>
      <c r="L176" s="1"/>
      <c r="M176" s="1"/>
      <c r="N176" s="1"/>
    </row>
    <row r="177">
      <c r="A177" s="1"/>
      <c r="B177" s="27"/>
      <c r="C177" s="61"/>
      <c r="D177" s="61"/>
      <c r="E177" s="27"/>
      <c r="F177" s="27"/>
      <c r="G177" s="1"/>
      <c r="H177" s="1"/>
      <c r="I177" s="1"/>
      <c r="J177" s="1"/>
      <c r="K177" s="26"/>
      <c r="L177" s="1"/>
      <c r="M177" s="1"/>
      <c r="N177" s="1"/>
    </row>
    <row r="178">
      <c r="N178" s="1"/>
    </row>
    <row r="179">
      <c r="N179" s="1"/>
    </row>
    <row r="180">
      <c r="N180" s="1"/>
    </row>
    <row r="181">
      <c r="N181" s="1"/>
    </row>
    <row r="182">
      <c r="A182" s="1"/>
      <c r="B182" s="27"/>
      <c r="C182" s="61"/>
      <c r="D182" s="61"/>
      <c r="E182" s="27"/>
      <c r="F182" s="27"/>
      <c r="G182" s="1"/>
      <c r="H182" s="1"/>
      <c r="I182" s="1"/>
      <c r="J182" s="1"/>
      <c r="K182" s="26"/>
      <c r="L182" s="1"/>
      <c r="M182" s="1"/>
      <c r="N182" s="1"/>
    </row>
    <row r="183">
      <c r="N183" s="1"/>
    </row>
    <row r="184">
      <c r="N184" s="1"/>
    </row>
    <row r="185">
      <c r="N185" s="1"/>
    </row>
    <row r="186">
      <c r="A186" s="1"/>
      <c r="B186" s="27"/>
      <c r="C186" s="61"/>
      <c r="D186" s="61"/>
      <c r="E186" s="27"/>
      <c r="F186" s="27"/>
      <c r="G186" s="1"/>
      <c r="H186" s="1"/>
      <c r="I186" s="1"/>
      <c r="J186" s="1"/>
      <c r="K186" s="26"/>
      <c r="L186" s="1"/>
      <c r="M186" s="1"/>
      <c r="N186" s="1"/>
    </row>
    <row r="187">
      <c r="A187" s="1"/>
      <c r="B187" s="27"/>
      <c r="C187" s="61"/>
      <c r="D187" s="61"/>
      <c r="E187" s="27"/>
      <c r="F187" s="27"/>
      <c r="G187" s="1"/>
      <c r="H187" s="1"/>
      <c r="I187" s="1"/>
      <c r="J187" s="1"/>
      <c r="K187" s="26"/>
      <c r="L187" s="1"/>
      <c r="M187" s="1"/>
      <c r="N187" s="1"/>
    </row>
    <row r="188">
      <c r="A188" s="1"/>
      <c r="B188" s="27"/>
      <c r="C188" s="61"/>
      <c r="D188" s="61"/>
      <c r="E188" s="27"/>
      <c r="F188" s="27"/>
      <c r="G188" s="1"/>
      <c r="H188" s="1"/>
      <c r="I188" s="1"/>
      <c r="J188" s="1"/>
      <c r="K188" s="26"/>
      <c r="L188" s="1"/>
      <c r="M188" s="1"/>
      <c r="N188" s="1"/>
    </row>
    <row r="189">
      <c r="N189" s="1"/>
    </row>
    <row r="190">
      <c r="N190" s="1"/>
    </row>
    <row r="191">
      <c r="A191" s="1"/>
      <c r="B191" s="27"/>
      <c r="C191" s="61"/>
      <c r="D191" s="61"/>
      <c r="E191" s="27"/>
      <c r="F191" s="27"/>
      <c r="G191" s="1"/>
      <c r="H191" s="1"/>
      <c r="I191" s="1"/>
      <c r="J191" s="1"/>
      <c r="K191" s="26"/>
      <c r="L191" s="1"/>
      <c r="M191" s="1"/>
      <c r="N191" s="1"/>
    </row>
    <row r="192">
      <c r="A192" s="1"/>
      <c r="B192" s="27"/>
      <c r="C192" s="61"/>
      <c r="D192" s="61"/>
      <c r="E192" s="27"/>
      <c r="F192" s="27"/>
      <c r="G192" s="1"/>
      <c r="H192" s="1"/>
      <c r="I192" s="1"/>
      <c r="J192" s="1"/>
      <c r="K192" s="26"/>
      <c r="L192" s="1"/>
      <c r="M192" s="1"/>
      <c r="N192" s="1"/>
    </row>
    <row r="193">
      <c r="A193" s="1"/>
      <c r="B193" s="27"/>
      <c r="C193" s="61"/>
      <c r="D193" s="61"/>
      <c r="E193" s="27"/>
      <c r="F193" s="27"/>
      <c r="G193" s="1"/>
      <c r="H193" s="1"/>
      <c r="I193" s="1"/>
      <c r="J193" s="1"/>
      <c r="K193" s="26"/>
      <c r="L193" s="1"/>
      <c r="M193" s="1"/>
      <c r="N193" s="1"/>
    </row>
    <row r="194">
      <c r="A194" s="1"/>
      <c r="B194" s="27"/>
      <c r="C194" s="61"/>
      <c r="D194" s="61"/>
      <c r="E194" s="27"/>
      <c r="F194" s="27"/>
      <c r="G194" s="1"/>
      <c r="H194" s="1"/>
      <c r="I194" s="1"/>
      <c r="J194" s="1"/>
      <c r="K194" s="26"/>
      <c r="L194" s="1"/>
      <c r="M194" s="1"/>
      <c r="N194" s="1">
        <v>5.0</v>
      </c>
    </row>
    <row r="195">
      <c r="N195" s="1">
        <v>5.0</v>
      </c>
    </row>
    <row r="196">
      <c r="N196" s="1">
        <v>5.0</v>
      </c>
    </row>
    <row r="197">
      <c r="N197" s="1">
        <v>5.0</v>
      </c>
    </row>
    <row r="198">
      <c r="A198" s="1"/>
      <c r="B198" s="27"/>
      <c r="C198" s="61"/>
      <c r="D198" s="61"/>
      <c r="E198" s="27"/>
      <c r="F198" s="27"/>
      <c r="G198" s="1"/>
      <c r="H198" s="1"/>
      <c r="I198" s="1"/>
      <c r="J198" s="1"/>
      <c r="K198" s="26"/>
      <c r="L198" s="1"/>
      <c r="M198" s="1"/>
      <c r="N198" s="1">
        <v>5.0</v>
      </c>
    </row>
    <row r="199">
      <c r="N199" s="1">
        <v>5.0</v>
      </c>
    </row>
    <row r="200">
      <c r="A200" s="1" t="s">
        <v>196</v>
      </c>
      <c r="B200" s="27">
        <v>4.17928865E8</v>
      </c>
      <c r="C200" s="61">
        <v>688515.43</v>
      </c>
      <c r="D200" s="61">
        <v>926671.6</v>
      </c>
      <c r="E200" s="27">
        <v>518905.0</v>
      </c>
      <c r="F200" s="27">
        <v>3204855.0</v>
      </c>
      <c r="G200" s="1">
        <v>451.0</v>
      </c>
      <c r="H200" s="1">
        <v>451.0</v>
      </c>
      <c r="I200" s="1">
        <v>100.0</v>
      </c>
      <c r="J200" s="1">
        <v>1.82</v>
      </c>
      <c r="K200" s="26">
        <v>1.0</v>
      </c>
      <c r="L200" s="1" t="s">
        <v>700</v>
      </c>
      <c r="M200" s="1" t="s">
        <v>182</v>
      </c>
      <c r="N200" s="1">
        <v>5.0</v>
      </c>
    </row>
    <row r="201">
      <c r="A201" s="1" t="s">
        <v>180</v>
      </c>
      <c r="B201" s="27">
        <v>1.403065981E9</v>
      </c>
      <c r="C201" s="61">
        <v>2311476.08</v>
      </c>
      <c r="D201" s="61">
        <v>926727.9</v>
      </c>
      <c r="E201" s="27">
        <v>444071.0</v>
      </c>
      <c r="F201" s="27">
        <v>3392001.0</v>
      </c>
      <c r="G201" s="27">
        <v>1514.0</v>
      </c>
      <c r="H201" s="27">
        <v>1514.0</v>
      </c>
      <c r="I201" s="1">
        <v>100.0</v>
      </c>
      <c r="J201" s="1">
        <v>2.38</v>
      </c>
      <c r="K201" s="26">
        <v>1.0</v>
      </c>
      <c r="L201" s="1" t="s">
        <v>701</v>
      </c>
      <c r="M201" s="1" t="s">
        <v>182</v>
      </c>
      <c r="N201" s="1">
        <v>5.0</v>
      </c>
    </row>
    <row r="202">
      <c r="N202" s="1">
        <v>5.0</v>
      </c>
    </row>
    <row r="203">
      <c r="A203" s="1" t="s">
        <v>202</v>
      </c>
      <c r="B203" s="27">
        <v>5.84380085E8</v>
      </c>
      <c r="C203" s="61">
        <v>962734.9</v>
      </c>
      <c r="D203" s="61">
        <v>596915.3</v>
      </c>
      <c r="E203" s="27">
        <v>215369.0</v>
      </c>
      <c r="F203" s="27">
        <v>3513832.0</v>
      </c>
      <c r="G203" s="1">
        <v>979.0</v>
      </c>
      <c r="H203" s="1">
        <v>979.0</v>
      </c>
      <c r="I203" s="1">
        <v>100.0</v>
      </c>
      <c r="J203" s="1">
        <v>1.36</v>
      </c>
      <c r="K203" s="26">
        <v>1.0</v>
      </c>
      <c r="L203" s="1" t="s">
        <v>819</v>
      </c>
      <c r="M203" s="1" t="s">
        <v>826</v>
      </c>
      <c r="N203" s="1">
        <v>5.0</v>
      </c>
    </row>
  </sheetData>
  <autoFilter ref="$A$1:$N$198">
    <sortState ref="A1:N198">
      <sortCondition descending="1" ref="B1:B198"/>
      <sortCondition ref="A1:A19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110</v>
      </c>
      <c r="B1" s="40" t="str">
        <f t="shared" ref="B1:K1" si="1">B9</f>
        <v/>
      </c>
      <c r="C1" s="40" t="str">
        <f t="shared" si="1"/>
        <v/>
      </c>
      <c r="D1" s="40" t="str">
        <f t="shared" si="1"/>
        <v/>
      </c>
      <c r="E1" s="40" t="str">
        <f t="shared" si="1"/>
        <v/>
      </c>
      <c r="F1" s="40" t="str">
        <f t="shared" si="1"/>
        <v/>
      </c>
      <c r="G1" s="40" t="str">
        <f t="shared" si="1"/>
        <v/>
      </c>
      <c r="H1" s="40" t="str">
        <f t="shared" si="1"/>
        <v/>
      </c>
      <c r="I1" s="40" t="str">
        <f t="shared" si="1"/>
        <v/>
      </c>
      <c r="J1" s="40" t="str">
        <f t="shared" si="1"/>
        <v/>
      </c>
      <c r="K1" s="40" t="str">
        <f t="shared" si="1"/>
        <v/>
      </c>
    </row>
    <row r="2">
      <c r="A2" s="41" t="s">
        <v>111</v>
      </c>
      <c r="B2" s="42" t="str">
        <f t="shared" ref="B2:K2" si="2">Average(B7:B1001)</f>
        <v>#DIV/0!</v>
      </c>
      <c r="C2" s="43" t="str">
        <f t="shared" si="2"/>
        <v>#DIV/0!</v>
      </c>
      <c r="D2" s="43" t="str">
        <f t="shared" si="2"/>
        <v>#DIV/0!</v>
      </c>
      <c r="E2" s="43" t="str">
        <f t="shared" si="2"/>
        <v>#DIV/0!</v>
      </c>
      <c r="F2" s="42" t="str">
        <f t="shared" si="2"/>
        <v>#DIV/0!</v>
      </c>
      <c r="G2" s="43" t="str">
        <f t="shared" si="2"/>
        <v>#DIV/0!</v>
      </c>
      <c r="H2" s="43" t="str">
        <f t="shared" si="2"/>
        <v>#DIV/0!</v>
      </c>
      <c r="I2" s="42" t="str">
        <f t="shared" si="2"/>
        <v>#DIV/0!</v>
      </c>
      <c r="J2" s="42" t="str">
        <f t="shared" si="2"/>
        <v>#DIV/0!</v>
      </c>
      <c r="K2" s="42" t="str">
        <f t="shared" si="2"/>
        <v>#DIV/0!</v>
      </c>
    </row>
    <row r="3">
      <c r="A3" s="41" t="s">
        <v>112</v>
      </c>
      <c r="B3" s="42">
        <f t="shared" ref="B3:K3" si="3">Min(B7:B1001)</f>
        <v>0</v>
      </c>
      <c r="C3" s="43">
        <f t="shared" si="3"/>
        <v>0</v>
      </c>
      <c r="D3" s="43">
        <f t="shared" si="3"/>
        <v>0</v>
      </c>
      <c r="E3" s="43">
        <f t="shared" si="3"/>
        <v>0</v>
      </c>
      <c r="F3" s="42">
        <f t="shared" si="3"/>
        <v>0</v>
      </c>
      <c r="G3" s="43">
        <f t="shared" si="3"/>
        <v>0</v>
      </c>
      <c r="H3" s="43">
        <f t="shared" si="3"/>
        <v>0</v>
      </c>
      <c r="I3" s="42">
        <f t="shared" si="3"/>
        <v>0</v>
      </c>
      <c r="J3" s="42">
        <f t="shared" si="3"/>
        <v>0</v>
      </c>
      <c r="K3" s="42">
        <f t="shared" si="3"/>
        <v>0</v>
      </c>
    </row>
    <row r="4">
      <c r="A4" s="41" t="s">
        <v>113</v>
      </c>
      <c r="B4" s="42" t="str">
        <f t="shared" ref="B4:K4" si="4">Median(B7:B1001)</f>
        <v>#NUM!</v>
      </c>
      <c r="C4" s="43" t="str">
        <f t="shared" si="4"/>
        <v>#NUM!</v>
      </c>
      <c r="D4" s="43" t="str">
        <f t="shared" si="4"/>
        <v>#NUM!</v>
      </c>
      <c r="E4" s="43" t="str">
        <f t="shared" si="4"/>
        <v>#NUM!</v>
      </c>
      <c r="F4" s="42" t="str">
        <f t="shared" si="4"/>
        <v>#NUM!</v>
      </c>
      <c r="G4" s="43" t="str">
        <f t="shared" si="4"/>
        <v>#NUM!</v>
      </c>
      <c r="H4" s="43" t="str">
        <f t="shared" si="4"/>
        <v>#NUM!</v>
      </c>
      <c r="I4" s="42" t="str">
        <f t="shared" si="4"/>
        <v>#NUM!</v>
      </c>
      <c r="J4" s="42" t="str">
        <f t="shared" si="4"/>
        <v>#NUM!</v>
      </c>
      <c r="K4" s="42" t="str">
        <f t="shared" si="4"/>
        <v>#NUM!</v>
      </c>
    </row>
    <row r="5">
      <c r="A5" s="41" t="s">
        <v>114</v>
      </c>
      <c r="B5" s="42">
        <f t="shared" ref="B5:K5" si="5">Max(B7:B1001)</f>
        <v>0</v>
      </c>
      <c r="C5" s="43">
        <f t="shared" si="5"/>
        <v>0</v>
      </c>
      <c r="D5" s="43">
        <f t="shared" si="5"/>
        <v>0</v>
      </c>
      <c r="E5" s="43">
        <f t="shared" si="5"/>
        <v>0</v>
      </c>
      <c r="F5" s="42">
        <f t="shared" si="5"/>
        <v>0</v>
      </c>
      <c r="G5" s="43">
        <f t="shared" si="5"/>
        <v>0</v>
      </c>
      <c r="H5" s="43">
        <f t="shared" si="5"/>
        <v>0</v>
      </c>
      <c r="I5" s="42">
        <f t="shared" si="5"/>
        <v>0</v>
      </c>
      <c r="J5" s="42">
        <f t="shared" si="5"/>
        <v>0</v>
      </c>
      <c r="K5" s="42">
        <f t="shared" si="5"/>
        <v>0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</row>
    <row r="7">
      <c r="A7" s="1" t="s">
        <v>115</v>
      </c>
      <c r="B7" s="1"/>
      <c r="C7" s="23"/>
      <c r="D7" s="23"/>
      <c r="E7" s="23"/>
      <c r="F7" s="1"/>
      <c r="G7" s="23"/>
      <c r="H7" s="23"/>
      <c r="I7" s="1"/>
      <c r="J7" s="1"/>
      <c r="K7" s="1"/>
    </row>
    <row r="8">
      <c r="A8" s="1"/>
      <c r="B8" s="1"/>
      <c r="C8" s="23"/>
      <c r="D8" s="23"/>
      <c r="E8" s="23"/>
      <c r="F8" s="1"/>
      <c r="G8" s="23"/>
      <c r="H8" s="23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23"/>
      <c r="D10" s="23"/>
      <c r="E10" s="23"/>
      <c r="F10" s="1"/>
      <c r="G10" s="23"/>
      <c r="H10" s="23"/>
      <c r="I10" s="1"/>
      <c r="J10" s="1"/>
      <c r="K10" s="1"/>
    </row>
    <row r="11">
      <c r="A11" s="1"/>
      <c r="B11" s="1"/>
      <c r="C11" s="23"/>
      <c r="D11" s="23"/>
      <c r="E11" s="23"/>
      <c r="F11" s="1"/>
      <c r="G11" s="23"/>
      <c r="H11" s="23"/>
      <c r="I11" s="1"/>
      <c r="J11" s="1"/>
      <c r="K11" s="1"/>
    </row>
    <row r="12">
      <c r="A12" s="1"/>
      <c r="B12" s="1"/>
      <c r="C12" s="26"/>
      <c r="D12" s="23"/>
      <c r="E12" s="23"/>
      <c r="F12" s="1"/>
      <c r="G12" s="23"/>
      <c r="H12" s="23"/>
      <c r="I12" s="1"/>
      <c r="J12" s="1"/>
      <c r="K12" s="1"/>
    </row>
    <row r="13">
      <c r="A13" s="1"/>
      <c r="B13" s="1"/>
      <c r="C13" s="26"/>
      <c r="D13" s="23"/>
      <c r="E13" s="23"/>
      <c r="F13" s="1"/>
      <c r="G13" s="23"/>
      <c r="H13" s="23"/>
      <c r="I13" s="1"/>
      <c r="J13" s="1"/>
      <c r="K13" s="1"/>
    </row>
    <row r="14">
      <c r="A14" s="1"/>
      <c r="B14" s="1"/>
      <c r="C14" s="26"/>
      <c r="D14" s="23"/>
      <c r="E14" s="23"/>
      <c r="F14" s="1"/>
      <c r="G14" s="23"/>
      <c r="H14" s="23"/>
      <c r="I14" s="1"/>
      <c r="J14" s="1"/>
      <c r="K14" s="1"/>
    </row>
    <row r="15">
      <c r="A15" s="1"/>
      <c r="B15" s="1"/>
      <c r="C15" s="23"/>
      <c r="D15" s="23"/>
      <c r="E15" s="23"/>
      <c r="F15" s="1"/>
      <c r="G15" s="23"/>
      <c r="H15" s="23"/>
      <c r="I15" s="1"/>
      <c r="J15" s="1"/>
      <c r="K15" s="1"/>
    </row>
    <row r="16">
      <c r="A16" s="1"/>
      <c r="B16" s="1"/>
      <c r="C16" s="23"/>
      <c r="D16" s="23"/>
      <c r="E16" s="23"/>
      <c r="F16" s="1"/>
      <c r="G16" s="23"/>
      <c r="H16" s="23"/>
      <c r="I16" s="1"/>
      <c r="J16" s="1"/>
      <c r="K16" s="1"/>
    </row>
    <row r="17">
      <c r="A17" s="1"/>
      <c r="B17" s="1"/>
      <c r="C17" s="23"/>
      <c r="D17" s="23"/>
      <c r="E17" s="23"/>
      <c r="F17" s="1"/>
      <c r="G17" s="23"/>
      <c r="H17" s="23"/>
      <c r="I17" s="1"/>
      <c r="J17" s="1"/>
      <c r="K17" s="1"/>
    </row>
    <row r="18">
      <c r="A18" s="1"/>
      <c r="B18" s="1"/>
      <c r="C18" s="23"/>
      <c r="D18" s="23"/>
      <c r="E18" s="23"/>
      <c r="F18" s="1"/>
      <c r="G18" s="23"/>
      <c r="H18" s="23"/>
      <c r="I18" s="1"/>
      <c r="J18" s="1"/>
      <c r="K18" s="1"/>
    </row>
    <row r="19">
      <c r="A19" s="1"/>
      <c r="B19" s="1"/>
      <c r="C19" s="26"/>
      <c r="D19" s="23"/>
      <c r="E19" s="23"/>
      <c r="F19" s="1"/>
      <c r="G19" s="23"/>
      <c r="H19" s="23"/>
      <c r="I19" s="1"/>
      <c r="J19" s="1"/>
      <c r="K19" s="1"/>
    </row>
    <row r="20">
      <c r="A20" s="1"/>
      <c r="B20" s="1"/>
      <c r="C20" s="26"/>
      <c r="D20" s="23"/>
      <c r="E20" s="23"/>
      <c r="F20" s="1"/>
      <c r="G20" s="23"/>
      <c r="H20" s="23"/>
      <c r="I20" s="1"/>
      <c r="J20" s="1"/>
      <c r="K20" s="1"/>
    </row>
    <row r="21">
      <c r="A21" s="1"/>
      <c r="B21" s="1"/>
      <c r="C21" s="23"/>
      <c r="D21" s="23"/>
      <c r="E21" s="23"/>
      <c r="F21" s="1"/>
      <c r="G21" s="23"/>
      <c r="H21" s="23"/>
      <c r="I21" s="1"/>
      <c r="J21" s="1"/>
      <c r="K21" s="1"/>
    </row>
    <row r="22">
      <c r="A22" s="1"/>
      <c r="B22" s="1"/>
      <c r="C22" s="26"/>
      <c r="D22" s="23"/>
      <c r="E22" s="23"/>
      <c r="F22" s="1"/>
      <c r="G22" s="23"/>
      <c r="H22" s="23"/>
      <c r="I22" s="1"/>
      <c r="J22" s="1"/>
      <c r="K22" s="1"/>
    </row>
    <row r="23">
      <c r="A23" s="1"/>
      <c r="B23" s="1"/>
      <c r="C23" s="23"/>
      <c r="D23" s="23"/>
      <c r="E23" s="23"/>
      <c r="F23" s="1"/>
      <c r="G23" s="23"/>
      <c r="H23" s="23"/>
      <c r="I23" s="1"/>
      <c r="J23" s="1"/>
      <c r="K23" s="1"/>
    </row>
    <row r="24">
      <c r="A24" s="1"/>
      <c r="B24" s="1"/>
      <c r="C24" s="23"/>
      <c r="D24" s="23"/>
      <c r="E24" s="23"/>
      <c r="F24" s="1"/>
      <c r="G24" s="23"/>
      <c r="H24" s="23"/>
      <c r="I24" s="1"/>
      <c r="J24" s="1"/>
      <c r="K24" s="1"/>
    </row>
    <row r="25">
      <c r="A25" s="1"/>
      <c r="B25" s="1"/>
      <c r="C25" s="23"/>
      <c r="D25" s="23"/>
      <c r="E25" s="23"/>
      <c r="F25" s="1"/>
      <c r="G25" s="23"/>
      <c r="H25" s="23"/>
      <c r="I25" s="1"/>
      <c r="J25" s="1"/>
      <c r="K25" s="1"/>
    </row>
    <row r="26">
      <c r="A26" s="1"/>
      <c r="B26" s="1"/>
      <c r="C26" s="23"/>
      <c r="D26" s="23"/>
      <c r="E26" s="23"/>
      <c r="F26" s="1"/>
      <c r="G26" s="23"/>
      <c r="H26" s="23"/>
      <c r="I26" s="1"/>
      <c r="J26" s="1"/>
      <c r="K26" s="1"/>
    </row>
    <row r="27">
      <c r="A27" s="1"/>
      <c r="B27" s="1"/>
      <c r="C27" s="23"/>
      <c r="D27" s="23"/>
      <c r="E27" s="23"/>
      <c r="F27" s="1"/>
      <c r="G27" s="23"/>
      <c r="H27" s="23"/>
      <c r="I27" s="1"/>
      <c r="J27" s="1"/>
      <c r="K27" s="1"/>
    </row>
    <row r="28">
      <c r="A28" s="1"/>
      <c r="B28" s="1"/>
      <c r="C28" s="23"/>
      <c r="D28" s="23"/>
      <c r="E28" s="23"/>
      <c r="F28" s="1"/>
      <c r="G28" s="23"/>
      <c r="H28" s="23"/>
      <c r="I28" s="1"/>
      <c r="J28" s="1"/>
      <c r="K28" s="1"/>
    </row>
    <row r="29">
      <c r="A29" s="1"/>
      <c r="B29" s="1"/>
      <c r="C29" s="23"/>
      <c r="D29" s="23"/>
      <c r="E29" s="23"/>
      <c r="F29" s="1"/>
      <c r="G29" s="23"/>
      <c r="H29" s="23"/>
      <c r="I29" s="1"/>
      <c r="J29" s="1"/>
      <c r="K29" s="1"/>
    </row>
    <row r="30">
      <c r="A30" s="1"/>
      <c r="B30" s="1"/>
      <c r="C30" s="23"/>
      <c r="D30" s="26"/>
      <c r="E30" s="23"/>
      <c r="F30" s="1"/>
      <c r="G30" s="23"/>
      <c r="H30" s="23"/>
      <c r="I30" s="1"/>
      <c r="J30" s="1"/>
      <c r="K30" s="1"/>
    </row>
    <row r="31">
      <c r="A31" s="1"/>
      <c r="B31" s="1"/>
      <c r="C31" s="23"/>
      <c r="D31" s="26"/>
      <c r="E31" s="23"/>
      <c r="F31" s="1"/>
      <c r="G31" s="23"/>
      <c r="H31" s="23"/>
      <c r="I31" s="1"/>
      <c r="J31" s="1"/>
      <c r="K31" s="1"/>
    </row>
    <row r="32">
      <c r="A32" s="1"/>
      <c r="B32" s="1"/>
      <c r="C32" s="26"/>
      <c r="D32" s="23"/>
      <c r="E32" s="23"/>
      <c r="F32" s="1"/>
      <c r="G32" s="23"/>
      <c r="H32" s="23"/>
      <c r="I32" s="1"/>
      <c r="J32" s="1"/>
      <c r="K32" s="1"/>
    </row>
    <row r="33">
      <c r="A33" s="1"/>
      <c r="B33" s="1"/>
      <c r="C33" s="26"/>
      <c r="D33" s="23"/>
      <c r="E33" s="23"/>
      <c r="F33" s="1"/>
      <c r="G33" s="23"/>
      <c r="H33" s="23"/>
      <c r="I33" s="1"/>
      <c r="J33" s="1"/>
      <c r="K33" s="1"/>
    </row>
    <row r="34">
      <c r="A34" s="1"/>
      <c r="B34" s="1"/>
      <c r="C34" s="23"/>
      <c r="D34" s="23"/>
      <c r="E34" s="23"/>
      <c r="F34" s="1"/>
      <c r="G34" s="23"/>
      <c r="H34" s="23"/>
      <c r="I34" s="1"/>
      <c r="J34" s="1"/>
      <c r="K34" s="1"/>
    </row>
    <row r="35">
      <c r="A35" s="1"/>
      <c r="B35" s="1"/>
      <c r="C35" s="23"/>
      <c r="D35" s="23"/>
      <c r="E35" s="23"/>
      <c r="F35" s="1"/>
      <c r="G35" s="23"/>
      <c r="H35" s="23"/>
      <c r="I35" s="1"/>
      <c r="J35" s="1"/>
      <c r="K35" s="1"/>
    </row>
    <row r="36">
      <c r="A36" s="1"/>
      <c r="B36" s="1"/>
      <c r="C36" s="23"/>
      <c r="D36" s="23"/>
      <c r="E36" s="23"/>
      <c r="F36" s="1"/>
      <c r="G36" s="23"/>
      <c r="H36" s="23"/>
      <c r="I36" s="1"/>
      <c r="J36" s="1"/>
      <c r="K36" s="1"/>
    </row>
    <row r="37">
      <c r="A37" s="1"/>
      <c r="B37" s="1"/>
      <c r="C37" s="26"/>
      <c r="D37" s="23"/>
      <c r="E37" s="23"/>
      <c r="F37" s="1"/>
      <c r="G37" s="23"/>
      <c r="H37" s="23"/>
      <c r="I37" s="1"/>
      <c r="J37" s="1"/>
      <c r="K37" s="1"/>
    </row>
    <row r="38">
      <c r="A38" s="1"/>
      <c r="B38" s="1"/>
      <c r="C38" s="26"/>
      <c r="D38" s="23"/>
      <c r="E38" s="23"/>
      <c r="F38" s="1"/>
      <c r="G38" s="23"/>
      <c r="H38" s="23"/>
      <c r="I38" s="1"/>
      <c r="J38" s="1"/>
      <c r="K38" s="1"/>
    </row>
    <row r="39">
      <c r="A39" s="1"/>
      <c r="B39" s="1"/>
      <c r="C39" s="23"/>
      <c r="D39" s="23"/>
      <c r="E39" s="23"/>
      <c r="F39" s="1"/>
      <c r="G39" s="23"/>
      <c r="H39" s="23"/>
      <c r="I39" s="1"/>
      <c r="J39" s="1"/>
      <c r="K39" s="1"/>
    </row>
    <row r="40">
      <c r="A40" s="1"/>
      <c r="B40" s="1"/>
      <c r="C40" s="26"/>
      <c r="D40" s="23"/>
      <c r="E40" s="23"/>
      <c r="F40" s="1"/>
      <c r="G40" s="23"/>
      <c r="H40" s="23"/>
      <c r="I40" s="1"/>
      <c r="J40" s="1"/>
      <c r="K40" s="1"/>
    </row>
    <row r="41">
      <c r="A41" s="1"/>
      <c r="B41" s="1"/>
      <c r="C41" s="26"/>
      <c r="D41" s="23"/>
      <c r="E41" s="23"/>
      <c r="F41" s="1"/>
      <c r="G41" s="23"/>
      <c r="H41" s="23"/>
      <c r="I41" s="1"/>
      <c r="J41" s="1"/>
      <c r="K41" s="1"/>
    </row>
    <row r="42">
      <c r="A42" s="1"/>
      <c r="B42" s="1"/>
      <c r="C42" s="26"/>
      <c r="D42" s="23"/>
      <c r="E42" s="23"/>
      <c r="F42" s="1"/>
      <c r="G42" s="23"/>
      <c r="H42" s="23"/>
      <c r="I42" s="1"/>
      <c r="J42" s="1"/>
      <c r="K42" s="1"/>
    </row>
    <row r="43">
      <c r="A43" s="1"/>
      <c r="B43" s="1"/>
      <c r="C43" s="23"/>
      <c r="D43" s="23"/>
      <c r="E43" s="23"/>
      <c r="F43" s="1"/>
      <c r="G43" s="23"/>
      <c r="H43" s="23"/>
      <c r="I43" s="1"/>
      <c r="J43" s="1"/>
      <c r="K43" s="1"/>
    </row>
    <row r="44">
      <c r="A44" s="1"/>
      <c r="B44" s="1"/>
      <c r="C44" s="26"/>
      <c r="D44" s="23"/>
      <c r="E44" s="23"/>
      <c r="F44" s="1"/>
      <c r="G44" s="23"/>
      <c r="H44" s="23"/>
      <c r="I44" s="1"/>
      <c r="J44" s="1"/>
      <c r="K44" s="1"/>
    </row>
    <row r="45">
      <c r="A45" s="1"/>
      <c r="B45" s="1"/>
      <c r="C45" s="23"/>
      <c r="D45" s="23"/>
      <c r="E45" s="23"/>
      <c r="F45" s="1"/>
      <c r="G45" s="23"/>
      <c r="H45" s="23"/>
      <c r="I45" s="1"/>
      <c r="J45" s="1"/>
      <c r="K45" s="1"/>
    </row>
    <row r="46">
      <c r="A46" s="1"/>
      <c r="B46" s="1"/>
      <c r="C46" s="23"/>
      <c r="D46" s="23"/>
      <c r="E46" s="23"/>
      <c r="F46" s="1"/>
      <c r="G46" s="23"/>
      <c r="H46" s="23"/>
      <c r="I46" s="1"/>
      <c r="J46" s="1"/>
      <c r="K46" s="1"/>
    </row>
    <row r="47">
      <c r="A47" s="1"/>
      <c r="B47" s="1"/>
      <c r="C47" s="23"/>
      <c r="D47" s="23"/>
      <c r="E47" s="23"/>
      <c r="F47" s="1"/>
      <c r="G47" s="23"/>
      <c r="H47" s="23"/>
      <c r="I47" s="1"/>
      <c r="J47" s="1"/>
      <c r="K47" s="1"/>
    </row>
    <row r="48">
      <c r="A48" s="1"/>
      <c r="B48" s="1"/>
      <c r="C48" s="23"/>
      <c r="D48" s="23"/>
      <c r="E48" s="23"/>
      <c r="F48" s="1"/>
      <c r="G48" s="23"/>
      <c r="H48" s="23"/>
      <c r="I48" s="1"/>
      <c r="J48" s="1"/>
      <c r="K48" s="1"/>
    </row>
    <row r="49">
      <c r="A49" s="1"/>
      <c r="B49" s="1"/>
      <c r="C49" s="23"/>
      <c r="D49" s="23"/>
      <c r="E49" s="23"/>
      <c r="F49" s="1"/>
      <c r="G49" s="23"/>
      <c r="H49" s="23"/>
      <c r="I49" s="1"/>
      <c r="J49" s="1"/>
      <c r="K49" s="1"/>
    </row>
    <row r="50">
      <c r="A50" s="1"/>
      <c r="B50" s="1"/>
      <c r="C50" s="23"/>
      <c r="D50" s="23"/>
      <c r="E50" s="23"/>
      <c r="F50" s="1"/>
      <c r="G50" s="23"/>
      <c r="H50" s="23"/>
      <c r="I50" s="1"/>
      <c r="J50" s="1"/>
      <c r="K50" s="1"/>
    </row>
    <row r="51">
      <c r="A51" s="1"/>
      <c r="B51" s="1"/>
      <c r="C51" s="23"/>
      <c r="D51" s="23"/>
      <c r="E51" s="23"/>
      <c r="F51" s="1"/>
      <c r="G51" s="23"/>
      <c r="H51" s="23"/>
      <c r="I51" s="1"/>
      <c r="J51" s="1"/>
      <c r="K51" s="1"/>
    </row>
    <row r="52">
      <c r="A52" s="1"/>
      <c r="B52" s="1"/>
      <c r="C52" s="23"/>
      <c r="D52" s="23"/>
      <c r="E52" s="23"/>
      <c r="F52" s="1"/>
      <c r="G52" s="23"/>
      <c r="H52" s="23"/>
      <c r="I52" s="1"/>
      <c r="J52" s="1"/>
      <c r="K52" s="1"/>
    </row>
    <row r="53">
      <c r="A53" s="1"/>
      <c r="B53" s="1"/>
      <c r="C53" s="23"/>
      <c r="D53" s="23"/>
      <c r="E53" s="23"/>
      <c r="F53" s="1"/>
      <c r="G53" s="23"/>
      <c r="H53" s="23"/>
      <c r="I53" s="1"/>
      <c r="J53" s="1"/>
      <c r="K53" s="1"/>
    </row>
    <row r="54">
      <c r="A54" s="1"/>
      <c r="B54" s="1"/>
      <c r="C54" s="23"/>
      <c r="D54" s="23"/>
      <c r="E54" s="23"/>
      <c r="F54" s="1"/>
      <c r="G54" s="23"/>
      <c r="H54" s="23"/>
      <c r="I54" s="1"/>
      <c r="J54" s="1"/>
      <c r="K54" s="1"/>
    </row>
    <row r="55">
      <c r="A55" s="1"/>
      <c r="B55" s="1"/>
      <c r="C55" s="26"/>
      <c r="D55" s="23"/>
      <c r="E55" s="23"/>
      <c r="F55" s="1"/>
      <c r="G55" s="23"/>
      <c r="H55" s="23"/>
      <c r="I55" s="1"/>
      <c r="J55" s="1"/>
      <c r="K55" s="1"/>
    </row>
    <row r="56">
      <c r="A56" s="1"/>
      <c r="B56" s="1"/>
      <c r="C56" s="23"/>
      <c r="D56" s="23"/>
      <c r="E56" s="23"/>
      <c r="F56" s="1"/>
      <c r="G56" s="23"/>
      <c r="H56" s="23"/>
      <c r="I56" s="1"/>
      <c r="J56" s="1"/>
      <c r="K56" s="1"/>
    </row>
    <row r="57">
      <c r="A57" s="1"/>
      <c r="B57" s="1"/>
      <c r="C57" s="23"/>
      <c r="D57" s="23"/>
      <c r="E57" s="23"/>
      <c r="F57" s="1"/>
      <c r="G57" s="23"/>
      <c r="H57" s="23"/>
      <c r="I57" s="1"/>
      <c r="J57" s="1"/>
      <c r="K57" s="1"/>
    </row>
    <row r="58">
      <c r="A58" s="1"/>
      <c r="B58" s="1"/>
      <c r="C58" s="23"/>
      <c r="D58" s="23"/>
      <c r="E58" s="23"/>
      <c r="F58" s="1"/>
      <c r="G58" s="23"/>
      <c r="H58" s="23"/>
      <c r="I58" s="1"/>
      <c r="J58" s="1"/>
      <c r="K58" s="1"/>
    </row>
    <row r="59">
      <c r="A59" s="1"/>
      <c r="B59" s="1"/>
      <c r="C59" s="23"/>
      <c r="D59" s="23"/>
      <c r="E59" s="23"/>
      <c r="F59" s="1"/>
      <c r="G59" s="23"/>
      <c r="H59" s="23"/>
      <c r="I59" s="1"/>
      <c r="J59" s="1"/>
      <c r="K59" s="1"/>
    </row>
    <row r="60">
      <c r="A60" s="1"/>
      <c r="B60" s="1"/>
      <c r="C60" s="23"/>
      <c r="D60" s="23"/>
      <c r="E60" s="23"/>
      <c r="F60" s="1"/>
      <c r="G60" s="23"/>
      <c r="H60" s="23"/>
      <c r="I60" s="1"/>
      <c r="J60" s="1"/>
      <c r="K60" s="1"/>
    </row>
    <row r="61">
      <c r="A61" s="1"/>
      <c r="B61" s="1"/>
      <c r="C61" s="23"/>
      <c r="D61" s="26"/>
      <c r="E61" s="23"/>
      <c r="F61" s="1"/>
      <c r="G61" s="23"/>
      <c r="H61" s="23"/>
      <c r="I61" s="1"/>
      <c r="J61" s="1"/>
      <c r="K61" s="1"/>
    </row>
    <row r="62">
      <c r="A62" s="1"/>
      <c r="B62" s="1"/>
      <c r="C62" s="23"/>
      <c r="D62" s="26"/>
      <c r="E62" s="23"/>
      <c r="F62" s="1"/>
      <c r="G62" s="23"/>
      <c r="H62" s="23"/>
      <c r="I62" s="1"/>
      <c r="J62" s="1"/>
      <c r="K62" s="1"/>
    </row>
    <row r="63">
      <c r="A63" s="1"/>
      <c r="B63" s="1"/>
      <c r="C63" s="23"/>
      <c r="D63" s="23"/>
      <c r="E63" s="23"/>
      <c r="F63" s="1"/>
      <c r="G63" s="23"/>
      <c r="H63" s="23"/>
      <c r="I63" s="1"/>
      <c r="J63" s="1"/>
      <c r="K63" s="1"/>
    </row>
    <row r="64">
      <c r="A64" s="1"/>
      <c r="B64" s="1"/>
      <c r="C64" s="23"/>
      <c r="D64" s="26"/>
      <c r="E64" s="23"/>
      <c r="F64" s="1"/>
      <c r="G64" s="23"/>
      <c r="H64" s="23"/>
      <c r="I64" s="1"/>
      <c r="J64" s="1"/>
      <c r="K64" s="1"/>
    </row>
    <row r="65">
      <c r="A65" s="1"/>
      <c r="B65" s="1"/>
      <c r="C65" s="26"/>
      <c r="D65" s="26"/>
      <c r="E65" s="23"/>
      <c r="F65" s="1"/>
      <c r="G65" s="23"/>
      <c r="H65" s="23"/>
      <c r="I65" s="1"/>
      <c r="J65" s="1"/>
      <c r="K65" s="1"/>
    </row>
    <row r="66">
      <c r="A66" s="1"/>
      <c r="B66" s="1"/>
      <c r="C66" s="23"/>
      <c r="D66" s="23"/>
      <c r="E66" s="26"/>
      <c r="F66" s="1"/>
      <c r="G66" s="23"/>
      <c r="H66" s="23"/>
      <c r="I66" s="1"/>
      <c r="J66" s="1"/>
      <c r="K66" s="1"/>
    </row>
    <row r="67">
      <c r="A67" s="1"/>
      <c r="B67" s="1"/>
      <c r="C67" s="23"/>
      <c r="D67" s="23"/>
      <c r="E67" s="23"/>
      <c r="F67" s="1"/>
      <c r="G67" s="23"/>
      <c r="H67" s="23"/>
      <c r="I67" s="1"/>
      <c r="J67" s="1"/>
      <c r="K67" s="1"/>
    </row>
    <row r="68">
      <c r="A68" s="1"/>
      <c r="B68" s="1"/>
      <c r="C68" s="23"/>
      <c r="D68" s="23"/>
      <c r="E68" s="23"/>
      <c r="F68" s="1"/>
      <c r="G68" s="23"/>
      <c r="H68" s="23"/>
      <c r="I68" s="1"/>
      <c r="J68" s="1"/>
      <c r="K68" s="1"/>
    </row>
    <row r="69">
      <c r="A69" s="1"/>
      <c r="B69" s="1"/>
      <c r="C69" s="23"/>
      <c r="D69" s="23"/>
      <c r="E69" s="23"/>
      <c r="F69" s="1"/>
      <c r="G69" s="23"/>
      <c r="H69" s="23"/>
      <c r="I69" s="1"/>
      <c r="J69" s="1"/>
      <c r="K69" s="1"/>
    </row>
    <row r="70">
      <c r="A70" s="1"/>
      <c r="B70" s="1"/>
      <c r="C70" s="23"/>
      <c r="D70" s="23"/>
      <c r="E70" s="23"/>
      <c r="F70" s="1"/>
      <c r="G70" s="23"/>
      <c r="H70" s="23"/>
      <c r="I70" s="1"/>
      <c r="J70" s="1"/>
      <c r="K70" s="1"/>
    </row>
    <row r="71">
      <c r="A71" s="1"/>
      <c r="B71" s="1"/>
      <c r="C71" s="26"/>
      <c r="D71" s="23"/>
      <c r="E71" s="23"/>
      <c r="F71" s="1"/>
      <c r="G71" s="23"/>
      <c r="H71" s="23"/>
      <c r="I71" s="1"/>
      <c r="J71" s="1"/>
      <c r="K71" s="1"/>
    </row>
    <row r="72">
      <c r="A72" s="1"/>
      <c r="B72" s="1"/>
      <c r="C72" s="23"/>
      <c r="D72" s="23"/>
      <c r="E72" s="23"/>
      <c r="F72" s="1"/>
      <c r="G72" s="23"/>
      <c r="H72" s="23"/>
      <c r="I72" s="1"/>
      <c r="J72" s="1"/>
      <c r="K72" s="1"/>
    </row>
    <row r="73">
      <c r="A73" s="1"/>
      <c r="B73" s="1"/>
      <c r="C73" s="23"/>
      <c r="D73" s="23"/>
      <c r="E73" s="23"/>
      <c r="F73" s="1"/>
      <c r="G73" s="23"/>
      <c r="H73" s="23"/>
      <c r="I73" s="1"/>
      <c r="J73" s="1"/>
      <c r="K73" s="1"/>
    </row>
    <row r="74">
      <c r="A74" s="1"/>
      <c r="B74" s="1"/>
      <c r="C74" s="23"/>
      <c r="D74" s="23"/>
      <c r="E74" s="23"/>
      <c r="F74" s="1"/>
      <c r="G74" s="23"/>
      <c r="H74" s="23"/>
      <c r="I74" s="1"/>
      <c r="J74" s="1"/>
      <c r="K74" s="1"/>
    </row>
    <row r="75">
      <c r="A75" s="1"/>
      <c r="B75" s="1"/>
      <c r="C75" s="23"/>
      <c r="D75" s="23"/>
      <c r="E75" s="23"/>
      <c r="F75" s="1"/>
      <c r="G75" s="23"/>
      <c r="H75" s="23"/>
      <c r="I75" s="1"/>
      <c r="J75" s="1"/>
      <c r="K75" s="1"/>
    </row>
    <row r="76">
      <c r="A76" s="1"/>
      <c r="B76" s="1"/>
      <c r="C76" s="23"/>
      <c r="D76" s="23"/>
      <c r="E76" s="23"/>
      <c r="F76" s="1"/>
      <c r="G76" s="23"/>
      <c r="H76" s="23"/>
      <c r="I76" s="1"/>
      <c r="J76" s="1"/>
      <c r="K76" s="1"/>
    </row>
    <row r="77">
      <c r="A77" s="1"/>
      <c r="B77" s="1"/>
      <c r="C77" s="23"/>
      <c r="D77" s="23"/>
      <c r="E77" s="23"/>
      <c r="F77" s="1"/>
      <c r="G77" s="23"/>
      <c r="H77" s="23"/>
      <c r="I77" s="1"/>
      <c r="J77" s="1"/>
      <c r="K77" s="1"/>
    </row>
    <row r="78">
      <c r="A78" s="1"/>
      <c r="B78" s="1"/>
      <c r="C78" s="23"/>
      <c r="D78" s="23"/>
      <c r="E78" s="23"/>
      <c r="F78" s="1"/>
      <c r="G78" s="23"/>
      <c r="H78" s="23"/>
      <c r="I78" s="1"/>
      <c r="J78" s="1"/>
      <c r="K78" s="1"/>
    </row>
    <row r="79">
      <c r="A79" s="1"/>
      <c r="B79" s="1"/>
      <c r="C79" s="23"/>
      <c r="D79" s="23"/>
      <c r="E79" s="23"/>
      <c r="F79" s="1"/>
      <c r="G79" s="23"/>
      <c r="H79" s="23"/>
      <c r="I79" s="1"/>
      <c r="J79" s="1"/>
      <c r="K79" s="1"/>
    </row>
    <row r="80">
      <c r="A80" s="1"/>
      <c r="B80" s="1"/>
      <c r="C80" s="23"/>
      <c r="D80" s="23"/>
      <c r="E80" s="23"/>
      <c r="F80" s="1"/>
      <c r="G80" s="23"/>
      <c r="H80" s="23"/>
      <c r="I80" s="1"/>
      <c r="J80" s="1"/>
      <c r="K80" s="1"/>
    </row>
    <row r="81">
      <c r="A81" s="1"/>
      <c r="B81" s="1"/>
      <c r="C81" s="23"/>
      <c r="D81" s="23"/>
      <c r="E81" s="23"/>
      <c r="F81" s="1"/>
      <c r="G81" s="23"/>
      <c r="H81" s="23"/>
      <c r="I81" s="1"/>
      <c r="J81" s="1"/>
      <c r="K81" s="1"/>
    </row>
    <row r="82">
      <c r="A82" s="1"/>
      <c r="B82" s="1"/>
      <c r="C82" s="23"/>
      <c r="D82" s="23"/>
      <c r="E82" s="23"/>
      <c r="F82" s="1"/>
      <c r="G82" s="23"/>
      <c r="H82" s="23"/>
      <c r="I82" s="1"/>
      <c r="J82" s="1"/>
      <c r="K82" s="1"/>
    </row>
    <row r="83">
      <c r="A83" s="1"/>
      <c r="B83" s="1"/>
      <c r="C83" s="23"/>
      <c r="D83" s="23"/>
      <c r="E83" s="23"/>
      <c r="F83" s="1"/>
      <c r="G83" s="23"/>
      <c r="H83" s="23"/>
      <c r="I83" s="1"/>
      <c r="J83" s="1"/>
      <c r="K83" s="1"/>
    </row>
    <row r="84">
      <c r="A84" s="1"/>
      <c r="B84" s="1"/>
      <c r="C84" s="23"/>
      <c r="D84" s="23"/>
      <c r="E84" s="23"/>
      <c r="F84" s="1"/>
      <c r="G84" s="23"/>
      <c r="H84" s="23"/>
      <c r="I84" s="1"/>
      <c r="J84" s="1"/>
      <c r="K84" s="1"/>
    </row>
    <row r="85">
      <c r="A85" s="1"/>
      <c r="B85" s="1"/>
      <c r="C85" s="23"/>
      <c r="D85" s="23"/>
      <c r="E85" s="23"/>
      <c r="F85" s="1"/>
      <c r="G85" s="23"/>
      <c r="H85" s="23"/>
      <c r="I85" s="1"/>
      <c r="J85" s="1"/>
      <c r="K85" s="1"/>
    </row>
    <row r="86">
      <c r="A86" s="1"/>
      <c r="B86" s="1"/>
      <c r="C86" s="23"/>
      <c r="D86" s="23"/>
      <c r="E86" s="23"/>
      <c r="F86" s="1"/>
      <c r="G86" s="23"/>
      <c r="H86" s="23"/>
      <c r="I86" s="1"/>
      <c r="J86" s="1"/>
      <c r="K86" s="1"/>
    </row>
    <row r="87">
      <c r="A87" s="1"/>
      <c r="B87" s="1"/>
      <c r="C87" s="23"/>
      <c r="D87" s="23"/>
      <c r="E87" s="23"/>
      <c r="F87" s="1"/>
      <c r="G87" s="23"/>
      <c r="H87" s="23"/>
      <c r="I87" s="1"/>
      <c r="J87" s="1"/>
      <c r="K87" s="1"/>
    </row>
    <row r="88">
      <c r="A88" s="1"/>
      <c r="B88" s="1"/>
      <c r="C88" s="23"/>
      <c r="D88" s="23"/>
      <c r="E88" s="23"/>
      <c r="F88" s="1"/>
      <c r="G88" s="23"/>
      <c r="H88" s="23"/>
      <c r="I88" s="1"/>
      <c r="J88" s="1"/>
      <c r="K88" s="1"/>
    </row>
    <row r="89">
      <c r="A89" s="1"/>
      <c r="B89" s="1"/>
      <c r="C89" s="23"/>
      <c r="D89" s="23"/>
      <c r="E89" s="23"/>
      <c r="F89" s="1"/>
      <c r="G89" s="23"/>
      <c r="H89" s="23"/>
      <c r="I89" s="1"/>
      <c r="J89" s="1"/>
      <c r="K89" s="1"/>
    </row>
    <row r="90">
      <c r="A90" s="1"/>
      <c r="B90" s="1"/>
      <c r="C90" s="23"/>
      <c r="D90" s="23"/>
      <c r="E90" s="23"/>
      <c r="F90" s="1"/>
      <c r="G90" s="23"/>
      <c r="H90" s="23"/>
      <c r="I90" s="1"/>
      <c r="J90" s="1"/>
      <c r="K90" s="1"/>
    </row>
    <row r="91">
      <c r="A91" s="1"/>
      <c r="B91" s="1"/>
      <c r="C91" s="26"/>
      <c r="D91" s="23"/>
      <c r="E91" s="23"/>
      <c r="F91" s="1"/>
      <c r="G91" s="23"/>
      <c r="H91" s="23"/>
      <c r="I91" s="1"/>
      <c r="J91" s="1"/>
      <c r="K91" s="1"/>
    </row>
    <row r="92">
      <c r="A92" s="1"/>
      <c r="B92" s="1"/>
      <c r="C92" s="23"/>
      <c r="D92" s="23"/>
      <c r="E92" s="23"/>
      <c r="F92" s="1"/>
      <c r="G92" s="23"/>
      <c r="H92" s="23"/>
      <c r="I92" s="1"/>
      <c r="J92" s="1"/>
      <c r="K92" s="1"/>
    </row>
    <row r="93">
      <c r="A93" s="1"/>
      <c r="B93" s="1"/>
      <c r="C93" s="23"/>
      <c r="D93" s="23"/>
      <c r="E93" s="23"/>
      <c r="F93" s="1"/>
      <c r="G93" s="23"/>
      <c r="H93" s="23"/>
      <c r="I93" s="1"/>
      <c r="J93" s="1"/>
      <c r="K93" s="1"/>
    </row>
    <row r="94">
      <c r="A94" s="1"/>
      <c r="B94" s="1"/>
      <c r="C94" s="23"/>
      <c r="D94" s="23"/>
      <c r="E94" s="23"/>
      <c r="F94" s="1"/>
      <c r="G94" s="23"/>
      <c r="H94" s="23"/>
      <c r="I94" s="1"/>
      <c r="J94" s="1"/>
      <c r="K94" s="1"/>
    </row>
    <row r="95">
      <c r="A95" s="1"/>
      <c r="B95" s="1"/>
      <c r="C95" s="23"/>
      <c r="D95" s="23"/>
      <c r="E95" s="23"/>
      <c r="F95" s="1"/>
      <c r="G95" s="23"/>
      <c r="H95" s="23"/>
      <c r="I95" s="1"/>
      <c r="J95" s="1"/>
      <c r="K95" s="1"/>
    </row>
    <row r="96">
      <c r="A96" s="1"/>
      <c r="B96" s="1"/>
      <c r="C96" s="23"/>
      <c r="D96" s="23"/>
      <c r="E96" s="23"/>
      <c r="F96" s="1"/>
      <c r="G96" s="23"/>
      <c r="H96" s="23"/>
      <c r="I96" s="1"/>
      <c r="J96" s="1"/>
      <c r="K96" s="1"/>
    </row>
    <row r="97">
      <c r="A97" s="1"/>
      <c r="B97" s="1"/>
      <c r="C97" s="23"/>
      <c r="D97" s="23"/>
      <c r="E97" s="23"/>
      <c r="F97" s="1"/>
      <c r="G97" s="23"/>
      <c r="H97" s="23"/>
      <c r="I97" s="1"/>
      <c r="J97" s="1"/>
      <c r="K97" s="1"/>
    </row>
    <row r="98">
      <c r="A98" s="1"/>
      <c r="B98" s="1"/>
      <c r="C98" s="26"/>
      <c r="D98" s="23"/>
      <c r="E98" s="23"/>
      <c r="F98" s="1"/>
      <c r="G98" s="23"/>
      <c r="H98" s="23"/>
      <c r="I98" s="1"/>
      <c r="J98" s="1"/>
      <c r="K98" s="1"/>
    </row>
    <row r="99">
      <c r="A99" s="1"/>
      <c r="B99" s="1"/>
      <c r="C99" s="23"/>
      <c r="D99" s="23"/>
      <c r="E99" s="23"/>
      <c r="F99" s="1"/>
      <c r="G99" s="23"/>
      <c r="H99" s="23"/>
      <c r="I99" s="1"/>
      <c r="J99" s="1"/>
      <c r="K99" s="1"/>
    </row>
    <row r="100">
      <c r="A100" s="1"/>
      <c r="B100" s="1"/>
      <c r="C100" s="23"/>
      <c r="D100" s="23"/>
      <c r="E100" s="23"/>
      <c r="F100" s="1"/>
      <c r="G100" s="23"/>
      <c r="H100" s="23"/>
      <c r="I100" s="1"/>
      <c r="J100" s="1"/>
      <c r="K100" s="1"/>
    </row>
    <row r="101">
      <c r="A101" s="1"/>
      <c r="B101" s="1"/>
      <c r="C101" s="23"/>
      <c r="D101" s="23"/>
      <c r="E101" s="23"/>
      <c r="F101" s="1"/>
      <c r="G101" s="23"/>
      <c r="H101" s="23"/>
      <c r="I101" s="1"/>
      <c r="J101" s="1"/>
      <c r="K101" s="1"/>
    </row>
    <row r="102">
      <c r="A102" s="1"/>
      <c r="B102" s="1"/>
      <c r="C102" s="23"/>
      <c r="D102" s="23"/>
      <c r="E102" s="23"/>
      <c r="F102" s="1"/>
      <c r="G102" s="23"/>
      <c r="H102" s="23"/>
      <c r="I102" s="1"/>
      <c r="J102" s="1"/>
      <c r="K102" s="1"/>
    </row>
    <row r="103">
      <c r="A103" s="1"/>
      <c r="B103" s="1"/>
      <c r="C103" s="23"/>
      <c r="D103" s="23"/>
      <c r="E103" s="23"/>
      <c r="F103" s="1"/>
      <c r="G103" s="23"/>
      <c r="H103" s="23"/>
      <c r="I103" s="1"/>
      <c r="J103" s="1"/>
      <c r="K103" s="1"/>
    </row>
    <row r="104">
      <c r="A104" s="1"/>
      <c r="B104" s="1"/>
      <c r="C104" s="23"/>
      <c r="D104" s="23"/>
      <c r="E104" s="23"/>
      <c r="F104" s="1"/>
      <c r="G104" s="23"/>
      <c r="H104" s="23"/>
      <c r="I104" s="1"/>
      <c r="J104" s="1"/>
      <c r="K104" s="1"/>
    </row>
    <row r="105">
      <c r="A105" s="1"/>
      <c r="B105" s="1"/>
      <c r="C105" s="23"/>
      <c r="D105" s="23"/>
      <c r="E105" s="23"/>
      <c r="F105" s="1"/>
      <c r="G105" s="23"/>
      <c r="H105" s="23"/>
      <c r="I105" s="1"/>
      <c r="J105" s="1"/>
      <c r="K105" s="1"/>
    </row>
    <row r="106">
      <c r="A106" s="1"/>
      <c r="B106" s="1"/>
      <c r="C106" s="23"/>
      <c r="D106" s="23"/>
      <c r="E106" s="23"/>
      <c r="F106" s="1"/>
      <c r="G106" s="23"/>
      <c r="H106" s="23"/>
      <c r="I106" s="1"/>
      <c r="J106" s="1"/>
      <c r="K106" s="1"/>
    </row>
    <row r="107">
      <c r="A107" s="1"/>
      <c r="B107" s="1"/>
      <c r="C107" s="23"/>
      <c r="D107" s="23"/>
      <c r="E107" s="23"/>
      <c r="F107" s="1"/>
      <c r="G107" s="23"/>
      <c r="H107" s="23"/>
      <c r="I107" s="1"/>
      <c r="J107" s="1"/>
      <c r="K107" s="1"/>
    </row>
    <row r="108">
      <c r="A108" s="1"/>
      <c r="B108" s="1"/>
      <c r="C108" s="23"/>
      <c r="D108" s="23"/>
      <c r="E108" s="23"/>
      <c r="F108" s="1"/>
      <c r="G108" s="23"/>
      <c r="H108" s="23"/>
      <c r="I108" s="1"/>
      <c r="J108" s="1"/>
      <c r="K108" s="1"/>
    </row>
    <row r="109">
      <c r="A109" s="1"/>
      <c r="B109" s="1"/>
      <c r="C109" s="23"/>
      <c r="D109" s="23"/>
      <c r="E109" s="23"/>
      <c r="F109" s="1"/>
      <c r="G109" s="23"/>
      <c r="H109" s="23"/>
      <c r="I109" s="1"/>
      <c r="J109" s="1"/>
      <c r="K109" s="1"/>
    </row>
    <row r="110">
      <c r="A110" s="1"/>
      <c r="B110" s="1"/>
      <c r="C110" s="23"/>
      <c r="D110" s="23"/>
      <c r="E110" s="23"/>
      <c r="F110" s="1"/>
      <c r="G110" s="23"/>
      <c r="H110" s="23"/>
      <c r="I110" s="1"/>
      <c r="J110" s="1"/>
      <c r="K110" s="1"/>
    </row>
    <row r="111">
      <c r="A111" s="1"/>
      <c r="B111" s="1"/>
      <c r="C111" s="23"/>
      <c r="D111" s="23"/>
      <c r="E111" s="23"/>
      <c r="F111" s="1"/>
      <c r="G111" s="23"/>
      <c r="H111" s="23"/>
      <c r="I111" s="1"/>
      <c r="J111" s="1"/>
      <c r="K111" s="1"/>
    </row>
    <row r="112">
      <c r="A112" s="1"/>
      <c r="B112" s="1"/>
      <c r="C112" s="23"/>
      <c r="D112" s="23"/>
      <c r="E112" s="23"/>
      <c r="F112" s="1"/>
      <c r="G112" s="23"/>
      <c r="H112" s="23"/>
      <c r="I112" s="1"/>
      <c r="J112" s="1"/>
      <c r="K112" s="1"/>
    </row>
    <row r="113">
      <c r="A113" s="1"/>
      <c r="B113" s="1"/>
      <c r="C113" s="23"/>
      <c r="D113" s="23"/>
      <c r="E113" s="23"/>
      <c r="F113" s="1"/>
      <c r="G113" s="23"/>
      <c r="H113" s="23"/>
      <c r="I113" s="1"/>
      <c r="J113" s="1"/>
      <c r="K113" s="1"/>
    </row>
    <row r="114">
      <c r="A114" s="1"/>
      <c r="B114" s="1"/>
      <c r="C114" s="23"/>
      <c r="D114" s="23"/>
      <c r="E114" s="23"/>
      <c r="F114" s="1"/>
      <c r="G114" s="23"/>
      <c r="H114" s="23"/>
      <c r="I114" s="1"/>
      <c r="J114" s="1"/>
      <c r="K114" s="1"/>
    </row>
    <row r="115">
      <c r="A115" s="1"/>
      <c r="B115" s="1"/>
      <c r="C115" s="23"/>
      <c r="D115" s="23"/>
      <c r="E115" s="23"/>
      <c r="F115" s="1"/>
      <c r="G115" s="23"/>
      <c r="H115" s="23"/>
      <c r="I115" s="1"/>
      <c r="J115" s="1"/>
      <c r="K115" s="1"/>
    </row>
    <row r="116">
      <c r="A116" s="1"/>
      <c r="B116" s="1"/>
      <c r="C116" s="23"/>
      <c r="D116" s="23"/>
      <c r="E116" s="23"/>
      <c r="F116" s="1"/>
      <c r="G116" s="23"/>
      <c r="H116" s="23"/>
      <c r="I116" s="1"/>
      <c r="J116" s="1"/>
      <c r="K116" s="1"/>
    </row>
    <row r="117">
      <c r="A117" s="1"/>
      <c r="B117" s="1"/>
      <c r="C117" s="23"/>
      <c r="D117" s="23"/>
      <c r="E117" s="26"/>
      <c r="F117" s="1"/>
      <c r="G117" s="23"/>
      <c r="H117" s="23"/>
      <c r="I117" s="1"/>
      <c r="J117" s="1"/>
      <c r="K117" s="1"/>
    </row>
    <row r="118">
      <c r="A118" s="1"/>
      <c r="B118" s="1"/>
      <c r="C118" s="23"/>
      <c r="D118" s="23"/>
      <c r="E118" s="26"/>
      <c r="F118" s="1"/>
      <c r="G118" s="23"/>
      <c r="H118" s="23"/>
      <c r="I118" s="1"/>
      <c r="J118" s="1"/>
      <c r="K118" s="1"/>
    </row>
    <row r="119">
      <c r="A119" s="1"/>
      <c r="B119" s="1"/>
      <c r="C119" s="23"/>
      <c r="D119" s="23"/>
      <c r="E119" s="26"/>
      <c r="F119" s="1"/>
      <c r="G119" s="23"/>
      <c r="H119" s="23"/>
      <c r="I119" s="1"/>
      <c r="J119" s="1"/>
      <c r="K119" s="1"/>
    </row>
    <row r="120">
      <c r="A120" s="1"/>
      <c r="B120" s="1"/>
      <c r="C120" s="23"/>
      <c r="D120" s="26"/>
      <c r="E120" s="23"/>
      <c r="F120" s="1"/>
      <c r="G120" s="23"/>
      <c r="H120" s="23"/>
      <c r="I120" s="1"/>
      <c r="J120" s="1"/>
      <c r="K120" s="1"/>
    </row>
    <row r="121">
      <c r="A121" s="1"/>
      <c r="B121" s="1"/>
      <c r="C121" s="23"/>
      <c r="D121" s="26"/>
      <c r="E121" s="23"/>
      <c r="F121" s="1"/>
      <c r="G121" s="23"/>
      <c r="H121" s="23"/>
      <c r="I121" s="1"/>
      <c r="J121" s="1"/>
      <c r="K121" s="1"/>
    </row>
    <row r="122">
      <c r="A122" s="1"/>
      <c r="B122" s="1"/>
      <c r="C122" s="23"/>
      <c r="D122" s="26"/>
      <c r="E122" s="23"/>
      <c r="F122" s="1"/>
      <c r="G122" s="23"/>
      <c r="H122" s="23"/>
      <c r="I122" s="1"/>
      <c r="J122" s="1"/>
      <c r="K122" s="1"/>
    </row>
    <row r="123">
      <c r="A123" s="1"/>
      <c r="B123" s="1"/>
      <c r="C123" s="23"/>
      <c r="D123" s="23"/>
      <c r="E123" s="23"/>
      <c r="F123" s="1"/>
      <c r="G123" s="23"/>
      <c r="H123" s="23"/>
      <c r="I123" s="1"/>
      <c r="J123" s="1"/>
      <c r="K123" s="1"/>
    </row>
    <row r="124">
      <c r="A124" s="1"/>
      <c r="B124" s="1"/>
      <c r="C124" s="23"/>
      <c r="D124" s="23"/>
      <c r="E124" s="23"/>
      <c r="F124" s="1"/>
      <c r="G124" s="23"/>
      <c r="H124" s="23"/>
      <c r="I124" s="1"/>
      <c r="J124" s="1"/>
      <c r="K124" s="1"/>
    </row>
    <row r="125">
      <c r="A125" s="1"/>
      <c r="B125" s="1"/>
      <c r="C125" s="23"/>
      <c r="D125" s="23"/>
      <c r="E125" s="23"/>
      <c r="F125" s="1"/>
      <c r="G125" s="23"/>
      <c r="H125" s="23"/>
      <c r="I125" s="1"/>
      <c r="J125" s="1"/>
      <c r="K125" s="1"/>
    </row>
    <row r="126">
      <c r="A126" s="1"/>
      <c r="B126" s="1"/>
      <c r="C126" s="23"/>
      <c r="D126" s="23"/>
      <c r="E126" s="23"/>
      <c r="F126" s="1"/>
      <c r="G126" s="23"/>
      <c r="H126" s="23"/>
      <c r="I126" s="1"/>
      <c r="J126" s="1"/>
      <c r="K126" s="1"/>
    </row>
    <row r="127">
      <c r="A127" s="1"/>
      <c r="B127" s="1"/>
      <c r="C127" s="23"/>
      <c r="D127" s="23"/>
      <c r="E127" s="23"/>
      <c r="F127" s="1"/>
      <c r="G127" s="23"/>
      <c r="H127" s="23"/>
      <c r="I127" s="1"/>
      <c r="J127" s="1"/>
      <c r="K127" s="1"/>
    </row>
    <row r="128">
      <c r="A128" s="1"/>
      <c r="B128" s="1"/>
      <c r="C128" s="23"/>
      <c r="D128" s="23"/>
      <c r="E128" s="23"/>
      <c r="F128" s="1"/>
      <c r="G128" s="23"/>
      <c r="H128" s="23"/>
      <c r="I128" s="1"/>
      <c r="J128" s="1"/>
      <c r="K128" s="1"/>
    </row>
    <row r="129">
      <c r="A129" s="1"/>
      <c r="B129" s="1"/>
      <c r="C129" s="23"/>
      <c r="D129" s="23"/>
      <c r="E129" s="23"/>
      <c r="F129" s="1"/>
      <c r="G129" s="23"/>
      <c r="H129" s="23"/>
      <c r="I129" s="1"/>
      <c r="J129" s="1"/>
      <c r="K129" s="1"/>
    </row>
    <row r="130">
      <c r="A130" s="1"/>
      <c r="B130" s="1"/>
      <c r="C130" s="23"/>
      <c r="D130" s="23"/>
      <c r="E130" s="23"/>
      <c r="F130" s="1"/>
      <c r="G130" s="23"/>
      <c r="H130" s="23"/>
      <c r="I130" s="1"/>
      <c r="J130" s="1"/>
      <c r="K130" s="1"/>
    </row>
    <row r="131">
      <c r="A131" s="1"/>
      <c r="B131" s="1"/>
      <c r="C131" s="23"/>
      <c r="D131" s="23"/>
      <c r="E131" s="23"/>
      <c r="F131" s="1"/>
      <c r="G131" s="23"/>
      <c r="H131" s="23"/>
      <c r="I131" s="1"/>
      <c r="J131" s="1"/>
      <c r="K131" s="1"/>
    </row>
    <row r="132">
      <c r="A132" s="1"/>
      <c r="B132" s="1"/>
      <c r="C132" s="23"/>
      <c r="D132" s="23"/>
      <c r="E132" s="23"/>
      <c r="F132" s="1"/>
      <c r="G132" s="23"/>
      <c r="H132" s="23"/>
      <c r="I132" s="1"/>
      <c r="J132" s="1"/>
      <c r="K132" s="1"/>
    </row>
    <row r="133">
      <c r="A133" s="1"/>
      <c r="B133" s="1"/>
      <c r="C133" s="23"/>
      <c r="D133" s="23"/>
      <c r="E133" s="23"/>
      <c r="F133" s="1"/>
      <c r="G133" s="23"/>
      <c r="H133" s="23"/>
      <c r="I133" s="1"/>
      <c r="J133" s="1"/>
      <c r="K133" s="1"/>
    </row>
    <row r="134">
      <c r="A134" s="1"/>
      <c r="B134" s="1"/>
      <c r="C134" s="23"/>
      <c r="D134" s="23"/>
      <c r="E134" s="23"/>
      <c r="F134" s="1"/>
      <c r="G134" s="23"/>
      <c r="H134" s="23"/>
      <c r="I134" s="1"/>
      <c r="J134" s="1"/>
      <c r="K134" s="1"/>
    </row>
    <row r="135">
      <c r="A135" s="1"/>
      <c r="B135" s="1"/>
      <c r="C135" s="23"/>
      <c r="D135" s="23"/>
      <c r="E135" s="23"/>
      <c r="F135" s="1"/>
      <c r="G135" s="23"/>
      <c r="H135" s="23"/>
      <c r="I135" s="1"/>
      <c r="J135" s="1"/>
      <c r="K135" s="1"/>
    </row>
    <row r="136">
      <c r="A136" s="1"/>
      <c r="B136" s="1"/>
      <c r="C136" s="23"/>
      <c r="D136" s="23"/>
      <c r="E136" s="23"/>
      <c r="F136" s="1"/>
      <c r="G136" s="23"/>
      <c r="H136" s="23"/>
      <c r="I136" s="1"/>
      <c r="J136" s="1"/>
      <c r="K136" s="1"/>
    </row>
    <row r="137">
      <c r="A137" s="1"/>
      <c r="B137" s="1"/>
      <c r="C137" s="26"/>
      <c r="D137" s="23"/>
      <c r="E137" s="23"/>
      <c r="F137" s="1"/>
      <c r="G137" s="23"/>
      <c r="H137" s="23"/>
      <c r="I137" s="1"/>
      <c r="J137" s="1"/>
      <c r="K137" s="1"/>
    </row>
    <row r="138">
      <c r="A138" s="1"/>
      <c r="B138" s="1"/>
      <c r="C138" s="26"/>
      <c r="D138" s="23"/>
      <c r="E138" s="23"/>
      <c r="F138" s="1"/>
      <c r="G138" s="23"/>
      <c r="H138" s="23"/>
      <c r="I138" s="1"/>
      <c r="J138" s="1"/>
      <c r="K138" s="1"/>
    </row>
    <row r="139">
      <c r="A139" s="1"/>
      <c r="B139" s="1"/>
      <c r="C139" s="26"/>
      <c r="D139" s="23"/>
      <c r="E139" s="23"/>
      <c r="F139" s="1"/>
      <c r="G139" s="23"/>
      <c r="H139" s="23"/>
      <c r="I139" s="1"/>
      <c r="J139" s="1"/>
      <c r="K139" s="1"/>
    </row>
    <row r="140">
      <c r="A140" s="1"/>
      <c r="B140" s="1"/>
      <c r="C140" s="26"/>
      <c r="D140" s="23"/>
      <c r="E140" s="23"/>
      <c r="F140" s="1"/>
      <c r="G140" s="23"/>
      <c r="H140" s="23"/>
      <c r="I140" s="1"/>
      <c r="J140" s="1"/>
      <c r="K140" s="1"/>
    </row>
    <row r="141">
      <c r="A141" s="1"/>
      <c r="B141" s="1"/>
      <c r="C141" s="26"/>
      <c r="D141" s="23"/>
      <c r="E141" s="23"/>
      <c r="F141" s="1"/>
      <c r="G141" s="23"/>
      <c r="H141" s="23"/>
      <c r="I141" s="1"/>
      <c r="J141" s="1"/>
      <c r="K141" s="1"/>
    </row>
    <row r="142">
      <c r="A142" s="1"/>
      <c r="B142" s="1"/>
      <c r="C142" s="23"/>
      <c r="D142" s="23"/>
      <c r="E142" s="23"/>
      <c r="F142" s="1"/>
      <c r="G142" s="23"/>
      <c r="H142" s="23"/>
      <c r="I142" s="1"/>
      <c r="J142" s="1"/>
      <c r="K142" s="1"/>
    </row>
    <row r="143">
      <c r="A143" s="1"/>
      <c r="B143" s="1"/>
      <c r="C143" s="23"/>
      <c r="D143" s="23"/>
      <c r="E143" s="23"/>
      <c r="F143" s="1"/>
      <c r="G143" s="23"/>
      <c r="H143" s="23"/>
      <c r="I143" s="1"/>
      <c r="J143" s="1"/>
      <c r="K143" s="1"/>
    </row>
    <row r="144">
      <c r="A144" s="1"/>
      <c r="B144" s="1"/>
      <c r="C144" s="23"/>
      <c r="D144" s="23"/>
      <c r="E144" s="23"/>
      <c r="F144" s="1"/>
      <c r="G144" s="23"/>
      <c r="H144" s="23"/>
      <c r="I144" s="1"/>
      <c r="J144" s="1"/>
      <c r="K144" s="1"/>
    </row>
    <row r="145">
      <c r="A145" s="1"/>
      <c r="B145" s="1"/>
      <c r="C145" s="23"/>
      <c r="D145" s="23"/>
      <c r="E145" s="23"/>
      <c r="F145" s="1"/>
      <c r="G145" s="23"/>
      <c r="H145" s="23"/>
      <c r="I145" s="1"/>
      <c r="J145" s="1"/>
      <c r="K145" s="1"/>
    </row>
    <row r="146">
      <c r="A146" s="1"/>
      <c r="B146" s="1"/>
      <c r="C146" s="26"/>
      <c r="D146" s="23"/>
      <c r="E146" s="23"/>
      <c r="F146" s="1"/>
      <c r="G146" s="23"/>
      <c r="H146" s="23"/>
      <c r="I146" s="1"/>
      <c r="J146" s="1"/>
      <c r="K146" s="1"/>
    </row>
    <row r="147">
      <c r="A147" s="1"/>
      <c r="B147" s="1"/>
      <c r="C147" s="23"/>
      <c r="D147" s="23"/>
      <c r="E147" s="23"/>
      <c r="F147" s="1"/>
      <c r="G147" s="23"/>
      <c r="H147" s="23"/>
      <c r="I147" s="1"/>
      <c r="J147" s="1"/>
      <c r="K147" s="1"/>
    </row>
    <row r="148">
      <c r="A148" s="1"/>
      <c r="B148" s="1"/>
      <c r="C148" s="23"/>
      <c r="D148" s="26"/>
      <c r="E148" s="23"/>
      <c r="F148" s="1"/>
      <c r="G148" s="23"/>
      <c r="H148" s="23"/>
      <c r="I148" s="1"/>
      <c r="J148" s="1"/>
      <c r="K148" s="1"/>
    </row>
    <row r="149">
      <c r="A149" s="1"/>
      <c r="B149" s="1"/>
      <c r="C149" s="23"/>
      <c r="D149" s="23"/>
      <c r="E149" s="23"/>
      <c r="F149" s="1"/>
      <c r="G149" s="23"/>
      <c r="H149" s="23"/>
      <c r="I149" s="1"/>
      <c r="J149" s="1"/>
      <c r="K149" s="1"/>
    </row>
    <row r="150">
      <c r="A150" s="1"/>
      <c r="B150" s="1"/>
      <c r="C150" s="23"/>
      <c r="D150" s="23"/>
      <c r="E150" s="23"/>
      <c r="F150" s="1"/>
      <c r="G150" s="23"/>
      <c r="H150" s="23"/>
      <c r="I150" s="1"/>
      <c r="J150" s="1"/>
      <c r="K150" s="1"/>
    </row>
    <row r="151">
      <c r="A151" s="1"/>
      <c r="B151" s="1"/>
      <c r="C151" s="23"/>
      <c r="D151" s="23"/>
      <c r="E151" s="23"/>
      <c r="F151" s="1"/>
      <c r="G151" s="23"/>
      <c r="H151" s="23"/>
      <c r="I151" s="1"/>
      <c r="J151" s="1"/>
      <c r="K151" s="1"/>
    </row>
    <row r="152">
      <c r="A152" s="1"/>
      <c r="B152" s="1"/>
      <c r="C152" s="23"/>
      <c r="D152" s="26"/>
      <c r="E152" s="23"/>
      <c r="F152" s="1"/>
      <c r="G152" s="23"/>
      <c r="H152" s="23"/>
      <c r="I152" s="1"/>
      <c r="J152" s="1"/>
      <c r="K152" s="1"/>
    </row>
    <row r="153">
      <c r="A153" s="1"/>
      <c r="B153" s="1"/>
      <c r="C153" s="23"/>
      <c r="D153" s="23"/>
      <c r="E153" s="23"/>
      <c r="F153" s="1"/>
      <c r="G153" s="23"/>
      <c r="H153" s="23"/>
      <c r="I153" s="1"/>
      <c r="J153" s="1"/>
      <c r="K153" s="1"/>
    </row>
    <row r="154">
      <c r="A154" s="1"/>
      <c r="B154" s="1"/>
      <c r="C154" s="23"/>
      <c r="D154" s="23"/>
      <c r="E154" s="23"/>
      <c r="F154" s="1"/>
      <c r="G154" s="23"/>
      <c r="H154" s="23"/>
      <c r="I154" s="1"/>
      <c r="J154" s="1"/>
      <c r="K154" s="1"/>
    </row>
    <row r="155">
      <c r="A155" s="1"/>
      <c r="B155" s="1"/>
      <c r="C155" s="23"/>
      <c r="D155" s="23"/>
      <c r="E155" s="23"/>
      <c r="F155" s="1"/>
      <c r="G155" s="23"/>
      <c r="H155" s="23"/>
      <c r="I155" s="1"/>
      <c r="J155" s="1"/>
      <c r="K155" s="1"/>
    </row>
    <row r="156">
      <c r="A156" s="1"/>
      <c r="B156" s="1"/>
      <c r="C156" s="26"/>
      <c r="D156" s="23"/>
      <c r="E156" s="23"/>
      <c r="F156" s="1"/>
      <c r="G156" s="23"/>
      <c r="H156" s="23"/>
      <c r="I156" s="1"/>
      <c r="J156" s="1"/>
      <c r="K156" s="1"/>
    </row>
    <row r="157">
      <c r="A157" s="1"/>
      <c r="B157" s="1"/>
      <c r="C157" s="23"/>
      <c r="D157" s="23"/>
      <c r="E157" s="23"/>
      <c r="F157" s="1"/>
      <c r="G157" s="23"/>
      <c r="H157" s="23"/>
      <c r="I157" s="1"/>
      <c r="J157" s="1"/>
      <c r="K157" s="1"/>
    </row>
    <row r="158">
      <c r="A158" s="1"/>
      <c r="B158" s="1"/>
      <c r="C158" s="23"/>
      <c r="D158" s="23"/>
      <c r="E158" s="23"/>
      <c r="F158" s="1"/>
      <c r="G158" s="23"/>
      <c r="H158" s="23"/>
      <c r="I158" s="1"/>
      <c r="J158" s="1"/>
      <c r="K158" s="1"/>
    </row>
    <row r="159">
      <c r="A159" s="1"/>
      <c r="B159" s="1"/>
      <c r="C159" s="23"/>
      <c r="D159" s="23"/>
      <c r="E159" s="23"/>
      <c r="F159" s="1"/>
      <c r="G159" s="23"/>
      <c r="H159" s="23"/>
      <c r="I159" s="1"/>
      <c r="J159" s="1"/>
      <c r="K159" s="1"/>
    </row>
    <row r="160">
      <c r="A160" s="1"/>
      <c r="B160" s="1"/>
      <c r="C160" s="23"/>
      <c r="D160" s="23"/>
      <c r="E160" s="23"/>
      <c r="F160" s="1"/>
      <c r="G160" s="23"/>
      <c r="H160" s="23"/>
      <c r="I160" s="1"/>
      <c r="J160" s="1"/>
      <c r="K160" s="1"/>
    </row>
    <row r="161">
      <c r="A161" s="1"/>
      <c r="B161" s="1"/>
      <c r="C161" s="23"/>
      <c r="D161" s="23"/>
      <c r="E161" s="23"/>
      <c r="F161" s="1"/>
      <c r="G161" s="23"/>
      <c r="H161" s="23"/>
      <c r="I161" s="1"/>
      <c r="J161" s="1"/>
      <c r="K161" s="1"/>
    </row>
    <row r="162">
      <c r="A162" s="1"/>
      <c r="B162" s="1"/>
      <c r="C162" s="23"/>
      <c r="D162" s="26"/>
      <c r="E162" s="23"/>
      <c r="F162" s="1"/>
      <c r="G162" s="23"/>
      <c r="H162" s="23"/>
      <c r="I162" s="1"/>
      <c r="J162" s="1"/>
      <c r="K162" s="1"/>
    </row>
    <row r="163">
      <c r="A163" s="1"/>
      <c r="B163" s="1"/>
      <c r="C163" s="23"/>
      <c r="D163" s="23"/>
      <c r="E163" s="23"/>
      <c r="F163" s="1"/>
      <c r="G163" s="23"/>
      <c r="H163" s="23"/>
      <c r="I163" s="1"/>
      <c r="J163" s="1"/>
      <c r="K163" s="1"/>
    </row>
    <row r="164">
      <c r="A164" s="1"/>
      <c r="B164" s="1"/>
      <c r="C164" s="23"/>
      <c r="D164" s="23"/>
      <c r="E164" s="23"/>
      <c r="F164" s="1"/>
      <c r="G164" s="23"/>
      <c r="H164" s="23"/>
      <c r="I164" s="1"/>
      <c r="J164" s="1"/>
      <c r="K164" s="1"/>
    </row>
    <row r="165">
      <c r="A165" s="1"/>
      <c r="B165" s="1"/>
      <c r="C165" s="23"/>
      <c r="D165" s="23"/>
      <c r="E165" s="23"/>
      <c r="F165" s="1"/>
      <c r="G165" s="23"/>
      <c r="H165" s="23"/>
      <c r="I165" s="1"/>
      <c r="J165" s="1"/>
      <c r="K165" s="1"/>
    </row>
    <row r="166">
      <c r="A166" s="1"/>
      <c r="B166" s="1"/>
      <c r="C166" s="23"/>
      <c r="D166" s="23"/>
      <c r="E166" s="23"/>
      <c r="F166" s="1"/>
      <c r="G166" s="23"/>
      <c r="H166" s="23"/>
      <c r="I166" s="1"/>
      <c r="J166" s="1"/>
      <c r="K166" s="1"/>
    </row>
    <row r="167">
      <c r="A167" s="1"/>
      <c r="B167" s="1"/>
      <c r="C167" s="23"/>
      <c r="D167" s="26"/>
      <c r="E167" s="23"/>
      <c r="F167" s="1"/>
      <c r="G167" s="23"/>
      <c r="H167" s="23"/>
      <c r="I167" s="1"/>
      <c r="J167" s="1"/>
      <c r="K167" s="1"/>
    </row>
    <row r="168">
      <c r="A168" s="1"/>
      <c r="B168" s="1"/>
      <c r="C168" s="23"/>
      <c r="D168" s="23"/>
      <c r="E168" s="23"/>
      <c r="F168" s="1"/>
      <c r="G168" s="23"/>
      <c r="H168" s="23"/>
      <c r="I168" s="1"/>
      <c r="J168" s="1"/>
      <c r="K168" s="1"/>
    </row>
    <row r="169">
      <c r="A169" s="1"/>
      <c r="B169" s="1"/>
      <c r="C169" s="23"/>
      <c r="D169" s="23"/>
      <c r="E169" s="23"/>
      <c r="F169" s="1"/>
      <c r="G169" s="23"/>
      <c r="H169" s="23"/>
      <c r="I169" s="1"/>
      <c r="J169" s="1"/>
      <c r="K169" s="1"/>
    </row>
    <row r="170">
      <c r="A170" s="1"/>
      <c r="B170" s="1"/>
      <c r="C170" s="23"/>
      <c r="D170" s="23"/>
      <c r="E170" s="23"/>
      <c r="F170" s="1"/>
      <c r="G170" s="23"/>
      <c r="H170" s="23"/>
      <c r="I170" s="1"/>
      <c r="J170" s="1"/>
      <c r="K170" s="1"/>
    </row>
    <row r="171">
      <c r="A171" s="1"/>
      <c r="B171" s="1"/>
      <c r="C171" s="23"/>
      <c r="D171" s="23"/>
      <c r="E171" s="23"/>
      <c r="F171" s="1"/>
      <c r="G171" s="23"/>
      <c r="H171" s="23"/>
      <c r="I171" s="1"/>
      <c r="J171" s="1"/>
      <c r="K171" s="1"/>
    </row>
    <row r="172">
      <c r="A172" s="1"/>
      <c r="B172" s="1"/>
      <c r="C172" s="26"/>
      <c r="D172" s="23"/>
      <c r="E172" s="23"/>
      <c r="F172" s="1"/>
      <c r="G172" s="23"/>
      <c r="H172" s="23"/>
      <c r="I172" s="1"/>
      <c r="J172" s="1"/>
      <c r="K172" s="1"/>
    </row>
    <row r="173">
      <c r="A173" s="1"/>
      <c r="B173" s="1"/>
      <c r="C173" s="26"/>
      <c r="D173" s="23"/>
      <c r="E173" s="23"/>
      <c r="F173" s="1"/>
      <c r="G173" s="23"/>
      <c r="H173" s="23"/>
      <c r="I173" s="1"/>
      <c r="J173" s="1"/>
      <c r="K173" s="1"/>
    </row>
    <row r="174">
      <c r="A174" s="1"/>
      <c r="B174" s="1"/>
      <c r="C174" s="23"/>
      <c r="D174" s="23"/>
      <c r="E174" s="23"/>
      <c r="F174" s="1"/>
      <c r="G174" s="23"/>
      <c r="H174" s="23"/>
      <c r="I174" s="1"/>
      <c r="J174" s="1"/>
      <c r="K174" s="1"/>
    </row>
    <row r="175">
      <c r="A175" s="1"/>
      <c r="B175" s="1"/>
      <c r="C175" s="23"/>
      <c r="D175" s="26"/>
      <c r="E175" s="23"/>
      <c r="F175" s="1"/>
      <c r="G175" s="23"/>
      <c r="H175" s="23"/>
      <c r="I175" s="1"/>
      <c r="J175" s="1"/>
      <c r="K175" s="1"/>
    </row>
    <row r="176">
      <c r="A176" s="1"/>
      <c r="B176" s="1"/>
      <c r="C176" s="23"/>
      <c r="D176" s="26"/>
      <c r="E176" s="23"/>
      <c r="F176" s="1"/>
      <c r="G176" s="23"/>
      <c r="H176" s="23"/>
      <c r="I176" s="1"/>
      <c r="J176" s="1"/>
      <c r="K176" s="1"/>
    </row>
    <row r="177">
      <c r="A177" s="1"/>
      <c r="B177" s="1"/>
      <c r="C177" s="23"/>
      <c r="D177" s="26"/>
      <c r="E177" s="23"/>
      <c r="F177" s="1"/>
      <c r="G177" s="23"/>
      <c r="H177" s="23"/>
      <c r="I177" s="1"/>
      <c r="J177" s="1"/>
      <c r="K177" s="1"/>
    </row>
    <row r="178">
      <c r="A178" s="1"/>
      <c r="B178" s="1"/>
      <c r="C178" s="23"/>
      <c r="D178" s="26"/>
      <c r="E178" s="23"/>
      <c r="F178" s="1"/>
      <c r="G178" s="23"/>
      <c r="H178" s="23"/>
      <c r="I178" s="1"/>
      <c r="J178" s="1"/>
      <c r="K178" s="1"/>
    </row>
    <row r="179">
      <c r="A179" s="1"/>
      <c r="B179" s="1"/>
      <c r="C179" s="23"/>
      <c r="D179" s="26"/>
      <c r="E179" s="23"/>
      <c r="F179" s="1"/>
      <c r="G179" s="23"/>
      <c r="H179" s="23"/>
      <c r="I179" s="1"/>
      <c r="J179" s="1"/>
      <c r="K179" s="1"/>
    </row>
    <row r="180">
      <c r="A180" s="1"/>
      <c r="B180" s="1"/>
      <c r="C180" s="23"/>
      <c r="D180" s="26"/>
      <c r="E180" s="23"/>
      <c r="F180" s="1"/>
      <c r="G180" s="23"/>
      <c r="H180" s="23"/>
      <c r="I180" s="1"/>
      <c r="J180" s="1"/>
      <c r="K180" s="1"/>
    </row>
    <row r="181">
      <c r="A181" s="1"/>
      <c r="B181" s="1"/>
      <c r="C181" s="23"/>
      <c r="D181" s="26"/>
      <c r="E181" s="23"/>
      <c r="F181" s="1"/>
      <c r="G181" s="23"/>
      <c r="H181" s="23"/>
      <c r="I181" s="1"/>
      <c r="J181" s="1"/>
      <c r="K181" s="1"/>
    </row>
    <row r="182">
      <c r="A182" s="1"/>
      <c r="B182" s="1"/>
      <c r="C182" s="23"/>
      <c r="D182" s="23"/>
      <c r="E182" s="23"/>
      <c r="F182" s="1"/>
      <c r="G182" s="23"/>
      <c r="H182" s="23"/>
      <c r="I182" s="1"/>
      <c r="J182" s="1"/>
      <c r="K182" s="1"/>
    </row>
    <row r="183">
      <c r="A183" s="1"/>
      <c r="B183" s="1"/>
      <c r="C183" s="23"/>
      <c r="D183" s="23"/>
      <c r="E183" s="23"/>
      <c r="F183" s="1"/>
      <c r="G183" s="23"/>
      <c r="H183" s="23"/>
      <c r="I183" s="1"/>
      <c r="J183" s="1"/>
      <c r="K183" s="1"/>
    </row>
    <row r="184">
      <c r="A184" s="1"/>
      <c r="B184" s="1"/>
      <c r="C184" s="23"/>
      <c r="D184" s="23"/>
      <c r="E184" s="23"/>
      <c r="F184" s="1"/>
      <c r="G184" s="23"/>
      <c r="H184" s="23"/>
      <c r="I184" s="1"/>
      <c r="J184" s="1"/>
      <c r="K184" s="1"/>
    </row>
    <row r="185">
      <c r="A185" s="1"/>
      <c r="B185" s="1"/>
      <c r="C185" s="23"/>
      <c r="D185" s="23"/>
      <c r="E185" s="23"/>
      <c r="F185" s="1"/>
      <c r="G185" s="23"/>
      <c r="H185" s="23"/>
      <c r="I185" s="1"/>
      <c r="J185" s="1"/>
      <c r="K185" s="1"/>
    </row>
    <row r="186">
      <c r="A186" s="1"/>
      <c r="B186" s="1"/>
      <c r="C186" s="23"/>
      <c r="D186" s="23"/>
      <c r="E186" s="23"/>
      <c r="F186" s="1"/>
      <c r="G186" s="23"/>
      <c r="H186" s="23"/>
      <c r="I186" s="1"/>
      <c r="J186" s="1"/>
      <c r="K186" s="1"/>
    </row>
    <row r="187">
      <c r="A187" s="1"/>
      <c r="B187" s="1"/>
      <c r="C187" s="23"/>
      <c r="D187" s="23"/>
      <c r="E187" s="23"/>
      <c r="F187" s="1"/>
      <c r="G187" s="23"/>
      <c r="H187" s="23"/>
      <c r="I187" s="1"/>
      <c r="J187" s="1"/>
      <c r="K187" s="1"/>
    </row>
    <row r="188">
      <c r="A188" s="1"/>
      <c r="B188" s="1"/>
      <c r="C188" s="23"/>
      <c r="D188" s="23"/>
      <c r="E188" s="23"/>
      <c r="F188" s="1"/>
      <c r="G188" s="23"/>
      <c r="H188" s="23"/>
      <c r="I188" s="1"/>
      <c r="J188" s="1"/>
      <c r="K188" s="1"/>
    </row>
    <row r="189">
      <c r="A189" s="1"/>
      <c r="B189" s="1"/>
      <c r="C189" s="26"/>
      <c r="D189" s="23"/>
      <c r="E189" s="23"/>
      <c r="F189" s="1"/>
      <c r="G189" s="23"/>
      <c r="H189" s="23"/>
      <c r="I189" s="1"/>
      <c r="J189" s="1"/>
      <c r="K189" s="1"/>
    </row>
    <row r="190">
      <c r="A190" s="1"/>
      <c r="B190" s="1"/>
      <c r="C190" s="26"/>
      <c r="D190" s="23"/>
      <c r="E190" s="23"/>
      <c r="F190" s="1"/>
      <c r="G190" s="23"/>
      <c r="H190" s="23"/>
      <c r="I190" s="1"/>
      <c r="J190" s="1"/>
      <c r="K190" s="1"/>
    </row>
    <row r="191">
      <c r="A191" s="1"/>
      <c r="B191" s="1"/>
      <c r="C191" s="26"/>
      <c r="D191" s="23"/>
      <c r="E191" s="23"/>
      <c r="F191" s="1"/>
      <c r="G191" s="23"/>
      <c r="H191" s="23"/>
      <c r="I191" s="1"/>
      <c r="J191" s="1"/>
      <c r="K191" s="1"/>
    </row>
    <row r="192">
      <c r="A192" s="1"/>
      <c r="B192" s="1"/>
      <c r="C192" s="23"/>
      <c r="D192" s="23"/>
      <c r="E192" s="23"/>
      <c r="F192" s="1"/>
      <c r="G192" s="23"/>
      <c r="H192" s="23"/>
      <c r="I192" s="1"/>
      <c r="J192" s="1"/>
      <c r="K192" s="1"/>
    </row>
    <row r="193">
      <c r="A193" s="1"/>
      <c r="B193" s="1"/>
      <c r="C193" s="23"/>
      <c r="D193" s="23"/>
      <c r="E193" s="23"/>
      <c r="F193" s="1"/>
      <c r="G193" s="23"/>
      <c r="H193" s="23"/>
      <c r="I193" s="1"/>
      <c r="J193" s="1"/>
      <c r="K193" s="1"/>
    </row>
    <row r="194">
      <c r="A194" s="1"/>
      <c r="B194" s="1"/>
      <c r="C194" s="23"/>
      <c r="D194" s="23"/>
      <c r="E194" s="23"/>
      <c r="F194" s="1"/>
      <c r="G194" s="23"/>
      <c r="H194" s="23"/>
      <c r="I194" s="1"/>
      <c r="J194" s="1"/>
      <c r="K194" s="1"/>
    </row>
    <row r="195">
      <c r="A195" s="1"/>
      <c r="B195" s="1"/>
      <c r="C195" s="23"/>
      <c r="D195" s="23"/>
      <c r="E195" s="23"/>
      <c r="F195" s="1"/>
      <c r="G195" s="23"/>
      <c r="H195" s="23"/>
      <c r="I195" s="1"/>
      <c r="J195" s="1"/>
      <c r="K195" s="1"/>
    </row>
    <row r="196">
      <c r="A196" s="1"/>
      <c r="B196" s="1"/>
      <c r="C196" s="26"/>
      <c r="D196" s="23"/>
      <c r="E196" s="23"/>
      <c r="F196" s="1"/>
      <c r="G196" s="23"/>
      <c r="H196" s="23"/>
      <c r="I196" s="1"/>
      <c r="J196" s="1"/>
      <c r="K196" s="1"/>
    </row>
    <row r="197">
      <c r="A197" s="1"/>
      <c r="B197" s="1"/>
      <c r="C197" s="26"/>
      <c r="D197" s="23"/>
      <c r="E197" s="23"/>
      <c r="F197" s="1"/>
      <c r="G197" s="23"/>
      <c r="H197" s="23"/>
      <c r="I197" s="1"/>
      <c r="J197" s="1"/>
      <c r="K197" s="1"/>
    </row>
    <row r="198">
      <c r="A198" s="1"/>
      <c r="B198" s="1"/>
      <c r="C198" s="26"/>
      <c r="D198" s="23"/>
      <c r="E198" s="23"/>
      <c r="F198" s="1"/>
      <c r="G198" s="23"/>
      <c r="H198" s="23"/>
      <c r="I198" s="1"/>
      <c r="J198" s="1"/>
      <c r="K198" s="1"/>
    </row>
    <row r="199">
      <c r="A199" s="1"/>
      <c r="B199" s="1"/>
      <c r="C199" s="26"/>
      <c r="D199" s="23"/>
      <c r="E199" s="23"/>
      <c r="F199" s="1"/>
      <c r="G199" s="23"/>
      <c r="H199" s="23"/>
      <c r="I199" s="1"/>
      <c r="J199" s="1"/>
      <c r="K199" s="1"/>
    </row>
    <row r="200">
      <c r="A200" s="1"/>
      <c r="B200" s="1"/>
      <c r="C200" s="26"/>
      <c r="D200" s="23"/>
      <c r="E200" s="23"/>
      <c r="F200" s="1"/>
      <c r="G200" s="23"/>
      <c r="H200" s="23"/>
      <c r="I200" s="1"/>
      <c r="J200" s="1"/>
      <c r="K200" s="1"/>
    </row>
    <row r="201">
      <c r="A201" s="1"/>
      <c r="B201" s="1"/>
      <c r="C201" s="26"/>
      <c r="D201" s="23"/>
      <c r="E201" s="23"/>
      <c r="F201" s="1"/>
      <c r="G201" s="23"/>
      <c r="H201" s="23"/>
      <c r="I201" s="1"/>
      <c r="J201" s="1"/>
      <c r="K201" s="1"/>
    </row>
    <row r="202">
      <c r="A202" s="1"/>
      <c r="B202" s="1"/>
      <c r="C202" s="23"/>
      <c r="D202" s="23"/>
      <c r="E202" s="23"/>
      <c r="F202" s="1"/>
      <c r="G202" s="23"/>
      <c r="H202" s="23"/>
      <c r="I202" s="1"/>
      <c r="J202" s="1"/>
      <c r="K202" s="1"/>
    </row>
    <row r="203">
      <c r="A203" s="1"/>
      <c r="B203" s="1"/>
      <c r="C203" s="26"/>
      <c r="D203" s="26"/>
      <c r="E203" s="23"/>
      <c r="F203" s="1"/>
      <c r="G203" s="23"/>
      <c r="H203" s="23"/>
      <c r="I203" s="1"/>
      <c r="J203" s="1"/>
      <c r="K203" s="1"/>
    </row>
    <row r="204">
      <c r="A204" s="1"/>
      <c r="B204" s="1"/>
      <c r="C204" s="26"/>
      <c r="D204" s="23"/>
      <c r="E204" s="23"/>
      <c r="F204" s="1"/>
      <c r="G204" s="23"/>
      <c r="H204" s="23"/>
      <c r="I204" s="1"/>
      <c r="J204" s="1"/>
      <c r="K204" s="1"/>
    </row>
    <row r="205">
      <c r="A205" s="1"/>
      <c r="B205" s="1"/>
      <c r="C205" s="23"/>
      <c r="D205" s="23"/>
      <c r="E205" s="23"/>
      <c r="F205" s="1"/>
      <c r="G205" s="23"/>
      <c r="H205" s="23"/>
      <c r="I205" s="1"/>
      <c r="J205" s="1"/>
      <c r="K205" s="1"/>
    </row>
    <row r="206">
      <c r="A206" s="1"/>
      <c r="B206" s="1"/>
      <c r="C206" s="23"/>
      <c r="D206" s="23"/>
      <c r="E206" s="23"/>
      <c r="F206" s="1"/>
      <c r="G206" s="23"/>
      <c r="H206" s="23"/>
      <c r="I206" s="1"/>
      <c r="J206" s="1"/>
      <c r="K206" s="1"/>
    </row>
    <row r="207">
      <c r="A207" s="1"/>
      <c r="B207" s="1"/>
      <c r="C207" s="23"/>
      <c r="D207" s="23"/>
      <c r="E207" s="23"/>
      <c r="F207" s="1"/>
      <c r="G207" s="23"/>
      <c r="H207" s="23"/>
      <c r="I207" s="1"/>
      <c r="J207" s="1"/>
      <c r="K207" s="1"/>
    </row>
    <row r="208">
      <c r="A208" s="1"/>
      <c r="B208" s="1"/>
      <c r="C208" s="26"/>
      <c r="D208" s="23"/>
      <c r="E208" s="23"/>
      <c r="F208" s="1"/>
      <c r="G208" s="23"/>
      <c r="H208" s="23"/>
      <c r="I208" s="1"/>
      <c r="J208" s="1"/>
      <c r="K208" s="1"/>
    </row>
    <row r="209">
      <c r="A209" s="1"/>
      <c r="B209" s="1"/>
      <c r="C209" s="26"/>
      <c r="D209" s="23"/>
      <c r="E209" s="23"/>
      <c r="F209" s="1"/>
      <c r="G209" s="23"/>
      <c r="H209" s="23"/>
      <c r="I209" s="1"/>
      <c r="J209" s="1"/>
      <c r="K209" s="1"/>
    </row>
    <row r="210">
      <c r="A210" s="1"/>
      <c r="B210" s="1"/>
      <c r="C210" s="23"/>
      <c r="D210" s="23"/>
      <c r="E210" s="23"/>
      <c r="F210" s="1"/>
      <c r="G210" s="23"/>
      <c r="H210" s="23"/>
      <c r="I210" s="1"/>
      <c r="J210" s="1"/>
      <c r="K210" s="1"/>
    </row>
    <row r="211">
      <c r="A211" s="1"/>
      <c r="B211" s="1"/>
      <c r="C211" s="23"/>
      <c r="D211" s="23"/>
      <c r="E211" s="23"/>
      <c r="F211" s="1"/>
      <c r="G211" s="23"/>
      <c r="H211" s="23"/>
      <c r="I211" s="1"/>
      <c r="J211" s="1"/>
      <c r="K211" s="1"/>
    </row>
    <row r="212">
      <c r="A212" s="1"/>
      <c r="B212" s="1"/>
      <c r="C212" s="23"/>
      <c r="D212" s="23"/>
      <c r="E212" s="23"/>
      <c r="F212" s="1"/>
      <c r="G212" s="23"/>
      <c r="H212" s="23"/>
      <c r="I212" s="1"/>
      <c r="J212" s="1"/>
      <c r="K212" s="1"/>
    </row>
    <row r="213">
      <c r="A213" s="1"/>
      <c r="B213" s="1"/>
      <c r="C213" s="23"/>
      <c r="D213" s="23"/>
      <c r="E213" s="23"/>
      <c r="F213" s="1"/>
      <c r="G213" s="23"/>
      <c r="H213" s="23"/>
      <c r="I213" s="1"/>
      <c r="J213" s="1"/>
      <c r="K213" s="1"/>
    </row>
    <row r="214">
      <c r="A214" s="1"/>
      <c r="B214" s="1"/>
      <c r="C214" s="26"/>
      <c r="D214" s="23"/>
      <c r="E214" s="23"/>
      <c r="F214" s="1"/>
      <c r="G214" s="23"/>
      <c r="H214" s="23"/>
      <c r="I214" s="1"/>
      <c r="J214" s="1"/>
      <c r="K214" s="1"/>
    </row>
    <row r="215">
      <c r="A215" s="1"/>
      <c r="B215" s="1"/>
      <c r="C215" s="26"/>
      <c r="D215" s="23"/>
      <c r="E215" s="23"/>
      <c r="F215" s="1"/>
      <c r="G215" s="23"/>
      <c r="H215" s="23"/>
      <c r="I215" s="1"/>
      <c r="J215" s="1"/>
      <c r="K215" s="1"/>
    </row>
    <row r="216">
      <c r="A216" s="1"/>
      <c r="B216" s="1"/>
      <c r="C216" s="23"/>
      <c r="D216" s="23"/>
      <c r="E216" s="23"/>
      <c r="F216" s="1"/>
      <c r="G216" s="23"/>
      <c r="H216" s="23"/>
      <c r="I216" s="1"/>
      <c r="J216" s="1"/>
      <c r="K216" s="1"/>
    </row>
    <row r="217">
      <c r="A217" s="1"/>
      <c r="B217" s="1"/>
      <c r="C217" s="26"/>
      <c r="D217" s="23"/>
      <c r="E217" s="23"/>
      <c r="F217" s="1"/>
      <c r="G217" s="23"/>
      <c r="H217" s="23"/>
      <c r="I217" s="1"/>
      <c r="J217" s="1"/>
      <c r="K217" s="1"/>
    </row>
    <row r="218">
      <c r="A218" s="1"/>
      <c r="B218" s="1"/>
      <c r="C218" s="26"/>
      <c r="D218" s="23"/>
      <c r="E218" s="23"/>
      <c r="F218" s="1"/>
      <c r="G218" s="23"/>
      <c r="H218" s="23"/>
      <c r="I218" s="1"/>
      <c r="J218" s="1"/>
      <c r="K218" s="1"/>
    </row>
    <row r="219">
      <c r="A219" s="1"/>
      <c r="B219" s="1"/>
      <c r="C219" s="23"/>
      <c r="D219" s="26"/>
      <c r="E219" s="23"/>
      <c r="F219" s="1"/>
      <c r="G219" s="23"/>
      <c r="H219" s="23"/>
      <c r="I219" s="1"/>
      <c r="J219" s="1"/>
      <c r="K219" s="1"/>
    </row>
    <row r="220">
      <c r="A220" s="1"/>
      <c r="B220" s="1"/>
      <c r="C220" s="23"/>
      <c r="D220" s="23"/>
      <c r="E220" s="23"/>
      <c r="F220" s="1"/>
      <c r="G220" s="23"/>
      <c r="H220" s="23"/>
      <c r="I220" s="1"/>
      <c r="J220" s="1"/>
      <c r="K220" s="1"/>
    </row>
    <row r="221">
      <c r="A221" s="1"/>
      <c r="B221" s="1"/>
      <c r="C221" s="23"/>
      <c r="D221" s="23"/>
      <c r="E221" s="23"/>
      <c r="F221" s="1"/>
      <c r="G221" s="23"/>
      <c r="H221" s="23"/>
      <c r="I221" s="1"/>
      <c r="J221" s="1"/>
      <c r="K221" s="1"/>
    </row>
    <row r="222">
      <c r="A222" s="1"/>
      <c r="B222" s="1"/>
      <c r="C222" s="23"/>
      <c r="D222" s="23"/>
      <c r="E222" s="23"/>
      <c r="F222" s="1"/>
      <c r="G222" s="23"/>
      <c r="H222" s="23"/>
      <c r="I222" s="1"/>
      <c r="J222" s="1"/>
      <c r="K222" s="1"/>
    </row>
    <row r="223">
      <c r="A223" s="1"/>
      <c r="B223" s="1"/>
      <c r="C223" s="23"/>
      <c r="D223" s="23"/>
      <c r="E223" s="23"/>
      <c r="F223" s="1"/>
      <c r="G223" s="23"/>
      <c r="H223" s="23"/>
      <c r="I223" s="1"/>
      <c r="J223" s="1"/>
      <c r="K223" s="1"/>
    </row>
    <row r="224">
      <c r="A224" s="1"/>
      <c r="B224" s="1"/>
      <c r="C224" s="23"/>
      <c r="D224" s="23"/>
      <c r="E224" s="26"/>
      <c r="F224" s="1"/>
      <c r="G224" s="23"/>
      <c r="H224" s="23"/>
      <c r="I224" s="1"/>
      <c r="J224" s="1"/>
      <c r="K224" s="1"/>
    </row>
    <row r="225">
      <c r="A225" s="1"/>
      <c r="B225" s="1"/>
      <c r="C225" s="23"/>
      <c r="D225" s="23"/>
      <c r="E225" s="23"/>
      <c r="F225" s="1"/>
      <c r="G225" s="23"/>
      <c r="H225" s="23"/>
      <c r="I225" s="1"/>
      <c r="J225" s="1"/>
      <c r="K225" s="1"/>
    </row>
    <row r="226">
      <c r="A226" s="1"/>
      <c r="B226" s="1"/>
      <c r="C226" s="23"/>
      <c r="D226" s="23"/>
      <c r="E226" s="23"/>
      <c r="F226" s="1"/>
      <c r="G226" s="23"/>
      <c r="H226" s="23"/>
      <c r="I226" s="1"/>
      <c r="J226" s="1"/>
      <c r="K226" s="1"/>
    </row>
    <row r="227">
      <c r="A227" s="1"/>
      <c r="B227" s="1"/>
      <c r="C227" s="26"/>
      <c r="D227" s="23"/>
      <c r="E227" s="23"/>
      <c r="F227" s="1"/>
      <c r="G227" s="23"/>
      <c r="H227" s="23"/>
      <c r="I227" s="1"/>
      <c r="J227" s="1"/>
      <c r="K227" s="1"/>
    </row>
    <row r="228">
      <c r="A228" s="1"/>
      <c r="B228" s="1"/>
      <c r="C228" s="23"/>
      <c r="D228" s="23"/>
      <c r="E228" s="23"/>
      <c r="F228" s="1"/>
      <c r="G228" s="23"/>
      <c r="H228" s="23"/>
      <c r="I228" s="1"/>
      <c r="J228" s="1"/>
      <c r="K228" s="1"/>
    </row>
    <row r="229">
      <c r="A229" s="1"/>
      <c r="B229" s="1"/>
      <c r="C229" s="23"/>
      <c r="D229" s="23"/>
      <c r="E229" s="23"/>
      <c r="F229" s="1"/>
      <c r="G229" s="23"/>
      <c r="H229" s="23"/>
      <c r="I229" s="1"/>
      <c r="J229" s="1"/>
      <c r="K229" s="1"/>
    </row>
    <row r="230">
      <c r="A230" s="1"/>
      <c r="B230" s="1"/>
      <c r="C230" s="23"/>
      <c r="D230" s="23"/>
      <c r="E230" s="23"/>
      <c r="F230" s="1"/>
      <c r="G230" s="23"/>
      <c r="H230" s="23"/>
      <c r="I230" s="1"/>
      <c r="J230" s="1"/>
      <c r="K230" s="1"/>
    </row>
    <row r="231">
      <c r="A231" s="1"/>
      <c r="B231" s="1"/>
      <c r="C231" s="23"/>
      <c r="D231" s="23"/>
      <c r="E231" s="23"/>
      <c r="F231" s="1"/>
      <c r="G231" s="23"/>
      <c r="H231" s="23"/>
      <c r="I231" s="1"/>
      <c r="J231" s="1"/>
      <c r="K231" s="1"/>
    </row>
    <row r="232">
      <c r="A232" s="1"/>
      <c r="B232" s="1"/>
      <c r="C232" s="23"/>
      <c r="D232" s="26"/>
      <c r="E232" s="23"/>
      <c r="F232" s="1"/>
      <c r="G232" s="23"/>
      <c r="H232" s="23"/>
      <c r="I232" s="1"/>
      <c r="J232" s="1"/>
      <c r="K232" s="1"/>
    </row>
    <row r="233">
      <c r="A233" s="1"/>
      <c r="B233" s="1"/>
      <c r="C233" s="23"/>
      <c r="D233" s="23"/>
      <c r="E233" s="23"/>
      <c r="F233" s="1"/>
      <c r="G233" s="23"/>
      <c r="H233" s="23"/>
      <c r="I233" s="1"/>
      <c r="J233" s="1"/>
      <c r="K233" s="1"/>
    </row>
    <row r="234">
      <c r="A234" s="1"/>
      <c r="B234" s="1"/>
      <c r="C234" s="23"/>
      <c r="D234" s="23"/>
      <c r="E234" s="23"/>
      <c r="F234" s="1"/>
      <c r="G234" s="23"/>
      <c r="H234" s="23"/>
      <c r="I234" s="1"/>
      <c r="J234" s="1"/>
      <c r="K234" s="1"/>
    </row>
    <row r="235">
      <c r="A235" s="1"/>
      <c r="B235" s="1"/>
      <c r="C235" s="23"/>
      <c r="D235" s="23"/>
      <c r="E235" s="23"/>
      <c r="F235" s="1"/>
      <c r="G235" s="23"/>
      <c r="H235" s="23"/>
      <c r="I235" s="1"/>
      <c r="J235" s="1"/>
      <c r="K235" s="1"/>
    </row>
    <row r="236">
      <c r="A236" s="1"/>
      <c r="B236" s="1"/>
      <c r="C236" s="23"/>
      <c r="D236" s="23"/>
      <c r="E236" s="23"/>
      <c r="F236" s="1"/>
      <c r="G236" s="23"/>
      <c r="H236" s="23"/>
      <c r="I236" s="1"/>
      <c r="J236" s="1"/>
      <c r="K236" s="1"/>
    </row>
    <row r="237">
      <c r="A237" s="1"/>
      <c r="B237" s="1"/>
      <c r="C237" s="23"/>
      <c r="D237" s="23"/>
      <c r="E237" s="23"/>
      <c r="F237" s="1"/>
      <c r="G237" s="23"/>
      <c r="H237" s="23"/>
      <c r="I237" s="1"/>
      <c r="J237" s="1"/>
      <c r="K237" s="1"/>
    </row>
    <row r="238">
      <c r="A238" s="1"/>
      <c r="B238" s="1"/>
      <c r="C238" s="23"/>
      <c r="D238" s="23"/>
      <c r="E238" s="23"/>
      <c r="F238" s="1"/>
      <c r="G238" s="23"/>
      <c r="H238" s="23"/>
      <c r="I238" s="1"/>
      <c r="J238" s="1"/>
      <c r="K238" s="1"/>
    </row>
    <row r="239">
      <c r="A239" s="1"/>
      <c r="B239" s="1"/>
      <c r="C239" s="23"/>
      <c r="D239" s="23"/>
      <c r="E239" s="23"/>
      <c r="F239" s="1"/>
      <c r="G239" s="23"/>
      <c r="H239" s="23"/>
      <c r="I239" s="1"/>
      <c r="J239" s="1"/>
      <c r="K239" s="1"/>
    </row>
    <row r="240">
      <c r="A240" s="1"/>
      <c r="B240" s="1"/>
      <c r="C240" s="23"/>
      <c r="D240" s="23"/>
      <c r="E240" s="23"/>
      <c r="F240" s="1"/>
      <c r="G240" s="23"/>
      <c r="H240" s="23"/>
      <c r="I240" s="1"/>
      <c r="J240" s="1"/>
      <c r="K240" s="1"/>
    </row>
    <row r="241">
      <c r="A241" s="1"/>
      <c r="B241" s="1"/>
      <c r="C241" s="23"/>
      <c r="D241" s="23"/>
      <c r="E241" s="23"/>
      <c r="F241" s="1"/>
      <c r="G241" s="23"/>
      <c r="H241" s="23"/>
      <c r="I241" s="1"/>
      <c r="J241" s="1"/>
      <c r="K241" s="1"/>
    </row>
    <row r="242">
      <c r="A242" s="1"/>
      <c r="B242" s="1"/>
      <c r="C242" s="23"/>
      <c r="D242" s="23"/>
      <c r="E242" s="23"/>
      <c r="F242" s="1"/>
      <c r="G242" s="23"/>
      <c r="H242" s="23"/>
      <c r="I242" s="1"/>
      <c r="J242" s="1"/>
      <c r="K242" s="1"/>
    </row>
    <row r="243">
      <c r="A243" s="1"/>
      <c r="B243" s="1"/>
      <c r="C243" s="23"/>
      <c r="D243" s="23"/>
      <c r="E243" s="23"/>
      <c r="F243" s="1"/>
      <c r="G243" s="23"/>
      <c r="H243" s="23"/>
      <c r="I243" s="1"/>
      <c r="J243" s="1"/>
      <c r="K243" s="1"/>
    </row>
    <row r="244">
      <c r="A244" s="1"/>
      <c r="B244" s="1"/>
      <c r="C244" s="23"/>
      <c r="D244" s="23"/>
      <c r="E244" s="23"/>
      <c r="F244" s="1"/>
      <c r="G244" s="23"/>
      <c r="H244" s="23"/>
      <c r="I244" s="1"/>
      <c r="J244" s="1"/>
      <c r="K244" s="1"/>
    </row>
    <row r="245">
      <c r="A245" s="1"/>
      <c r="B245" s="1"/>
      <c r="C245" s="23"/>
      <c r="D245" s="23"/>
      <c r="E245" s="23"/>
      <c r="F245" s="1"/>
      <c r="G245" s="23"/>
      <c r="H245" s="23"/>
      <c r="I245" s="1"/>
      <c r="J245" s="1"/>
      <c r="K245" s="1"/>
    </row>
    <row r="246">
      <c r="A246" s="1"/>
      <c r="B246" s="1"/>
      <c r="C246" s="26"/>
      <c r="D246" s="23"/>
      <c r="E246" s="23"/>
      <c r="F246" s="1"/>
      <c r="G246" s="23"/>
      <c r="H246" s="23"/>
      <c r="I246" s="1"/>
      <c r="J246" s="1"/>
      <c r="K246" s="1"/>
    </row>
    <row r="247">
      <c r="A247" s="1"/>
      <c r="B247" s="1"/>
      <c r="C247" s="26"/>
      <c r="D247" s="23"/>
      <c r="E247" s="23"/>
      <c r="F247" s="1"/>
      <c r="G247" s="23"/>
      <c r="H247" s="23"/>
      <c r="I247" s="1"/>
      <c r="J247" s="1"/>
      <c r="K247" s="1"/>
    </row>
    <row r="248">
      <c r="A248" s="1"/>
      <c r="B248" s="1"/>
      <c r="C248" s="26"/>
      <c r="D248" s="23"/>
      <c r="E248" s="23"/>
      <c r="F248" s="1"/>
      <c r="G248" s="23"/>
      <c r="H248" s="23"/>
      <c r="I248" s="1"/>
      <c r="J248" s="1"/>
      <c r="K248" s="1"/>
    </row>
    <row r="249">
      <c r="A249" s="1"/>
      <c r="B249" s="1"/>
      <c r="C249" s="26"/>
      <c r="D249" s="23"/>
      <c r="E249" s="23"/>
      <c r="F249" s="1"/>
      <c r="G249" s="23"/>
      <c r="H249" s="23"/>
      <c r="I249" s="1"/>
      <c r="J249" s="1"/>
      <c r="K249" s="1"/>
    </row>
    <row r="250">
      <c r="A250" s="1"/>
      <c r="B250" s="1"/>
      <c r="C250" s="26"/>
      <c r="D250" s="23"/>
      <c r="E250" s="23"/>
      <c r="F250" s="1"/>
      <c r="G250" s="23"/>
      <c r="H250" s="23"/>
      <c r="I250" s="1"/>
      <c r="J250" s="1"/>
      <c r="K250" s="1"/>
    </row>
    <row r="251">
      <c r="A251" s="1"/>
      <c r="B251" s="1"/>
      <c r="C251" s="26"/>
      <c r="D251" s="23"/>
      <c r="E251" s="23"/>
      <c r="F251" s="1"/>
      <c r="G251" s="23"/>
      <c r="H251" s="23"/>
      <c r="I251" s="1"/>
      <c r="J251" s="1"/>
      <c r="K251" s="1"/>
    </row>
    <row r="252">
      <c r="A252" s="1"/>
      <c r="B252" s="1"/>
      <c r="C252" s="26"/>
      <c r="D252" s="23"/>
      <c r="E252" s="23"/>
      <c r="F252" s="1"/>
      <c r="G252" s="23"/>
      <c r="H252" s="23"/>
      <c r="I252" s="1"/>
      <c r="J252" s="1"/>
      <c r="K252" s="1"/>
    </row>
    <row r="253">
      <c r="A253" s="1"/>
      <c r="B253" s="1"/>
      <c r="C253" s="26"/>
      <c r="D253" s="23"/>
      <c r="E253" s="23"/>
      <c r="F253" s="1"/>
      <c r="G253" s="23"/>
      <c r="H253" s="23"/>
      <c r="I253" s="1"/>
      <c r="J253" s="1"/>
      <c r="K253" s="1"/>
    </row>
    <row r="254">
      <c r="A254" s="1"/>
      <c r="B254" s="1"/>
      <c r="C254" s="26"/>
      <c r="D254" s="23"/>
      <c r="E254" s="23"/>
      <c r="F254" s="1"/>
      <c r="G254" s="23"/>
      <c r="H254" s="23"/>
      <c r="I254" s="1"/>
      <c r="J254" s="1"/>
      <c r="K254" s="1"/>
    </row>
    <row r="255">
      <c r="A255" s="1"/>
      <c r="B255" s="1"/>
      <c r="C255" s="26"/>
      <c r="D255" s="23"/>
      <c r="E255" s="23"/>
      <c r="F255" s="1"/>
      <c r="G255" s="23"/>
      <c r="H255" s="23"/>
      <c r="I255" s="1"/>
      <c r="J255" s="1"/>
      <c r="K255" s="1"/>
    </row>
    <row r="256">
      <c r="A256" s="1"/>
      <c r="B256" s="1"/>
      <c r="C256" s="26"/>
      <c r="D256" s="23"/>
      <c r="E256" s="23"/>
      <c r="F256" s="1"/>
      <c r="G256" s="23"/>
      <c r="H256" s="23"/>
      <c r="I256" s="1"/>
      <c r="J256" s="1"/>
      <c r="K256" s="1"/>
    </row>
    <row r="257">
      <c r="A257" s="1"/>
      <c r="B257" s="1"/>
      <c r="C257" s="26"/>
      <c r="D257" s="23"/>
      <c r="E257" s="23"/>
      <c r="F257" s="1"/>
      <c r="G257" s="23"/>
      <c r="H257" s="23"/>
      <c r="I257" s="1"/>
      <c r="J257" s="1"/>
      <c r="K257" s="1"/>
    </row>
    <row r="258">
      <c r="A258" s="1"/>
      <c r="B258" s="1"/>
      <c r="C258" s="23"/>
      <c r="D258" s="23"/>
      <c r="E258" s="23"/>
      <c r="F258" s="1"/>
      <c r="G258" s="23"/>
      <c r="H258" s="23"/>
      <c r="I258" s="1"/>
      <c r="J258" s="1"/>
      <c r="K258" s="1"/>
    </row>
    <row r="259">
      <c r="A259" s="1"/>
      <c r="B259" s="1"/>
      <c r="C259" s="23"/>
      <c r="D259" s="23"/>
      <c r="E259" s="23"/>
      <c r="F259" s="1"/>
      <c r="G259" s="23"/>
      <c r="H259" s="23"/>
      <c r="I259" s="1"/>
      <c r="J259" s="1"/>
      <c r="K259" s="1"/>
    </row>
    <row r="260">
      <c r="A260" s="1"/>
      <c r="B260" s="1"/>
      <c r="C260" s="23"/>
      <c r="D260" s="23"/>
      <c r="E260" s="23"/>
      <c r="F260" s="1"/>
      <c r="G260" s="23"/>
      <c r="H260" s="23"/>
      <c r="I260" s="1"/>
      <c r="J260" s="1"/>
      <c r="K260" s="1"/>
    </row>
    <row r="261">
      <c r="A261" s="1"/>
      <c r="B261" s="1"/>
      <c r="C261" s="23"/>
      <c r="D261" s="23"/>
      <c r="E261" s="23"/>
      <c r="F261" s="1"/>
      <c r="G261" s="23"/>
      <c r="H261" s="23"/>
      <c r="I261" s="1"/>
      <c r="J261" s="1"/>
      <c r="K261" s="1"/>
    </row>
    <row r="262">
      <c r="A262" s="1"/>
      <c r="B262" s="1"/>
      <c r="C262" s="23"/>
      <c r="D262" s="23"/>
      <c r="E262" s="23"/>
      <c r="F262" s="1"/>
      <c r="G262" s="23"/>
      <c r="H262" s="23"/>
      <c r="I262" s="1"/>
      <c r="J262" s="1"/>
      <c r="K262" s="1"/>
    </row>
    <row r="263">
      <c r="A263" s="1"/>
      <c r="B263" s="1"/>
      <c r="C263" s="23"/>
      <c r="D263" s="23"/>
      <c r="E263" s="23"/>
      <c r="F263" s="1"/>
      <c r="G263" s="23"/>
      <c r="H263" s="23"/>
      <c r="I263" s="1"/>
      <c r="J263" s="1"/>
      <c r="K263" s="1"/>
    </row>
    <row r="264">
      <c r="A264" s="1"/>
      <c r="B264" s="1"/>
      <c r="C264" s="23"/>
      <c r="D264" s="23"/>
      <c r="E264" s="23"/>
      <c r="F264" s="1"/>
      <c r="G264" s="23"/>
      <c r="H264" s="23"/>
      <c r="I264" s="1"/>
      <c r="J264" s="1"/>
      <c r="K264" s="1"/>
    </row>
    <row r="265">
      <c r="A265" s="1"/>
      <c r="B265" s="1"/>
      <c r="C265" s="23"/>
      <c r="D265" s="23"/>
      <c r="E265" s="23"/>
      <c r="F265" s="1"/>
      <c r="G265" s="23"/>
      <c r="H265" s="23"/>
      <c r="I265" s="1"/>
      <c r="J265" s="1"/>
      <c r="K265" s="1"/>
    </row>
    <row r="266">
      <c r="A266" s="1"/>
      <c r="B266" s="1"/>
      <c r="C266" s="26"/>
      <c r="D266" s="23"/>
      <c r="E266" s="23"/>
      <c r="F266" s="1"/>
      <c r="G266" s="23"/>
      <c r="H266" s="23"/>
      <c r="I266" s="1"/>
      <c r="J266" s="1"/>
      <c r="K266" s="1"/>
    </row>
    <row r="267">
      <c r="A267" s="1"/>
      <c r="B267" s="1"/>
      <c r="C267" s="26"/>
      <c r="D267" s="23"/>
      <c r="E267" s="23"/>
      <c r="F267" s="1"/>
      <c r="G267" s="23"/>
      <c r="H267" s="23"/>
      <c r="I267" s="1"/>
      <c r="J267" s="1"/>
      <c r="K267" s="1"/>
    </row>
    <row r="268">
      <c r="A268" s="1"/>
      <c r="B268" s="1"/>
      <c r="C268" s="26"/>
      <c r="D268" s="23"/>
      <c r="E268" s="23"/>
      <c r="F268" s="1"/>
      <c r="G268" s="23"/>
      <c r="H268" s="23"/>
      <c r="I268" s="1"/>
      <c r="J268" s="1"/>
      <c r="K268" s="1"/>
    </row>
    <row r="269">
      <c r="A269" s="1"/>
      <c r="B269" s="1"/>
      <c r="C269" s="26"/>
      <c r="D269" s="23"/>
      <c r="E269" s="23"/>
      <c r="F269" s="1"/>
      <c r="G269" s="23"/>
      <c r="H269" s="23"/>
      <c r="I269" s="1"/>
      <c r="J269" s="1"/>
      <c r="K269" s="1"/>
    </row>
    <row r="270">
      <c r="A270" s="1"/>
      <c r="B270" s="1"/>
      <c r="C270" s="23"/>
      <c r="D270" s="23"/>
      <c r="E270" s="23"/>
      <c r="F270" s="1"/>
      <c r="G270" s="23"/>
      <c r="H270" s="23"/>
      <c r="I270" s="1"/>
      <c r="J270" s="1"/>
      <c r="K270" s="1"/>
    </row>
    <row r="271">
      <c r="A271" s="1"/>
      <c r="B271" s="1"/>
      <c r="C271" s="23"/>
      <c r="D271" s="23"/>
      <c r="E271" s="23"/>
      <c r="F271" s="1"/>
      <c r="G271" s="23"/>
      <c r="H271" s="23"/>
      <c r="I271" s="1"/>
      <c r="J271" s="1"/>
      <c r="K271" s="1"/>
    </row>
    <row r="272">
      <c r="A272" s="1"/>
      <c r="B272" s="1"/>
      <c r="C272" s="23"/>
      <c r="D272" s="23"/>
      <c r="E272" s="23"/>
      <c r="F272" s="1"/>
      <c r="G272" s="23"/>
      <c r="H272" s="23"/>
      <c r="I272" s="1"/>
      <c r="J272" s="1"/>
      <c r="K272" s="1"/>
    </row>
    <row r="273">
      <c r="A273" s="1"/>
      <c r="B273" s="1"/>
      <c r="C273" s="23"/>
      <c r="D273" s="23"/>
      <c r="E273" s="23"/>
      <c r="F273" s="1"/>
      <c r="G273" s="23"/>
      <c r="H273" s="23"/>
      <c r="I273" s="1"/>
      <c r="J273" s="1"/>
      <c r="K273" s="1"/>
    </row>
    <row r="274">
      <c r="A274" s="1"/>
      <c r="B274" s="1"/>
      <c r="C274" s="23"/>
      <c r="D274" s="23"/>
      <c r="E274" s="23"/>
      <c r="F274" s="1"/>
      <c r="G274" s="23"/>
      <c r="H274" s="23"/>
      <c r="I274" s="1"/>
      <c r="J274" s="1"/>
      <c r="K274" s="1"/>
    </row>
    <row r="275">
      <c r="A275" s="1"/>
      <c r="B275" s="1"/>
      <c r="C275" s="23"/>
      <c r="D275" s="23"/>
      <c r="E275" s="23"/>
      <c r="F275" s="1"/>
      <c r="G275" s="23"/>
      <c r="H275" s="23"/>
      <c r="I275" s="1"/>
      <c r="J275" s="1"/>
      <c r="K275" s="1"/>
    </row>
    <row r="276">
      <c r="A276" s="1"/>
      <c r="B276" s="1"/>
      <c r="C276" s="23"/>
      <c r="D276" s="23"/>
      <c r="E276" s="23"/>
      <c r="F276" s="1"/>
      <c r="G276" s="23"/>
      <c r="H276" s="23"/>
      <c r="I276" s="1"/>
      <c r="J276" s="1"/>
      <c r="K276" s="1"/>
    </row>
    <row r="277">
      <c r="A277" s="1"/>
      <c r="B277" s="1"/>
      <c r="C277" s="23"/>
      <c r="D277" s="23"/>
      <c r="E277" s="23"/>
      <c r="F277" s="1"/>
      <c r="G277" s="23"/>
      <c r="H277" s="23"/>
      <c r="I277" s="1"/>
      <c r="J277" s="1"/>
      <c r="K277" s="1"/>
    </row>
    <row r="278">
      <c r="A278" s="1"/>
      <c r="B278" s="1"/>
      <c r="C278" s="23"/>
      <c r="D278" s="23"/>
      <c r="E278" s="23"/>
      <c r="F278" s="1"/>
      <c r="G278" s="23"/>
      <c r="H278" s="23"/>
      <c r="I278" s="1"/>
      <c r="J278" s="1"/>
      <c r="K278" s="1"/>
    </row>
    <row r="279">
      <c r="A279" s="1"/>
      <c r="B279" s="1"/>
      <c r="C279" s="23"/>
      <c r="D279" s="26"/>
      <c r="E279" s="23"/>
      <c r="F279" s="1"/>
      <c r="G279" s="23"/>
      <c r="H279" s="23"/>
      <c r="I279" s="1"/>
      <c r="J279" s="1"/>
      <c r="K279" s="1"/>
    </row>
    <row r="280">
      <c r="A280" s="1"/>
      <c r="B280" s="1"/>
      <c r="C280" s="23"/>
      <c r="D280" s="23"/>
      <c r="E280" s="26"/>
      <c r="F280" s="1"/>
      <c r="G280" s="23"/>
      <c r="H280" s="23"/>
      <c r="I280" s="1"/>
      <c r="J280" s="1"/>
      <c r="K280" s="1"/>
    </row>
    <row r="281">
      <c r="A281" s="1"/>
      <c r="B281" s="1"/>
      <c r="C281" s="23"/>
      <c r="D281" s="23"/>
      <c r="E281" s="26"/>
      <c r="F281" s="1"/>
      <c r="G281" s="23"/>
      <c r="H281" s="23"/>
      <c r="I281" s="1"/>
      <c r="J281" s="1"/>
      <c r="K281" s="1"/>
    </row>
    <row r="282">
      <c r="A282" s="1"/>
      <c r="B282" s="1"/>
      <c r="C282" s="23"/>
      <c r="D282" s="23"/>
      <c r="E282" s="23"/>
      <c r="F282" s="1"/>
      <c r="G282" s="23"/>
      <c r="H282" s="23"/>
      <c r="I282" s="1"/>
      <c r="J282" s="1"/>
      <c r="K282" s="1"/>
    </row>
    <row r="283">
      <c r="A283" s="1"/>
      <c r="B283" s="1"/>
      <c r="C283" s="23"/>
      <c r="D283" s="23"/>
      <c r="E283" s="23"/>
      <c r="F283" s="1"/>
      <c r="G283" s="23"/>
      <c r="H283" s="23"/>
      <c r="I283" s="1"/>
      <c r="J283" s="1"/>
      <c r="K283" s="1"/>
    </row>
    <row r="284">
      <c r="A284" s="1"/>
      <c r="B284" s="1"/>
      <c r="C284" s="23"/>
      <c r="D284" s="23"/>
      <c r="E284" s="26"/>
      <c r="F284" s="1"/>
      <c r="G284" s="23"/>
      <c r="H284" s="23"/>
      <c r="I284" s="1"/>
      <c r="J284" s="1"/>
      <c r="K284" s="1"/>
    </row>
    <row r="285">
      <c r="A285" s="1"/>
      <c r="B285" s="1"/>
      <c r="C285" s="23"/>
      <c r="D285" s="23"/>
      <c r="E285" s="26"/>
      <c r="F285" s="1"/>
      <c r="G285" s="23"/>
      <c r="H285" s="23"/>
      <c r="I285" s="1"/>
      <c r="J285" s="1"/>
      <c r="K285" s="1"/>
    </row>
    <row r="286">
      <c r="A286" s="1"/>
      <c r="B286" s="1"/>
      <c r="C286" s="23"/>
      <c r="D286" s="23"/>
      <c r="E286" s="26"/>
      <c r="F286" s="1"/>
      <c r="G286" s="23"/>
      <c r="H286" s="23"/>
      <c r="I286" s="1"/>
      <c r="J286" s="1"/>
      <c r="K286" s="1"/>
    </row>
    <row r="287">
      <c r="A287" s="1"/>
      <c r="B287" s="1"/>
      <c r="C287" s="23"/>
      <c r="D287" s="23"/>
      <c r="E287" s="23"/>
      <c r="F287" s="1"/>
      <c r="G287" s="23"/>
      <c r="H287" s="23"/>
      <c r="I287" s="1"/>
      <c r="J287" s="1"/>
      <c r="K287" s="1"/>
    </row>
    <row r="288">
      <c r="A288" s="1"/>
      <c r="B288" s="1"/>
      <c r="C288" s="23"/>
      <c r="D288" s="23"/>
      <c r="E288" s="23"/>
      <c r="F288" s="1"/>
      <c r="G288" s="23"/>
      <c r="H288" s="23"/>
      <c r="I288" s="1"/>
      <c r="J288" s="1"/>
      <c r="K288" s="1"/>
    </row>
    <row r="289">
      <c r="A289" s="1"/>
      <c r="B289" s="1"/>
      <c r="C289" s="23"/>
      <c r="D289" s="23"/>
      <c r="E289" s="26"/>
      <c r="F289" s="1"/>
      <c r="G289" s="23"/>
      <c r="H289" s="23"/>
      <c r="I289" s="1"/>
      <c r="J289" s="1"/>
      <c r="K289" s="1"/>
    </row>
    <row r="290">
      <c r="A290" s="1"/>
      <c r="B290" s="1"/>
      <c r="C290" s="23"/>
      <c r="D290" s="23"/>
      <c r="E290" s="26"/>
      <c r="F290" s="1"/>
      <c r="G290" s="23"/>
      <c r="H290" s="23"/>
      <c r="I290" s="1"/>
      <c r="J290" s="1"/>
      <c r="K290" s="1"/>
    </row>
    <row r="291">
      <c r="A291" s="1"/>
      <c r="B291" s="1"/>
      <c r="C291" s="23"/>
      <c r="D291" s="23"/>
      <c r="E291" s="26"/>
      <c r="F291" s="1"/>
      <c r="G291" s="23"/>
      <c r="H291" s="23"/>
      <c r="I291" s="1"/>
      <c r="J291" s="1"/>
      <c r="K291" s="1"/>
    </row>
    <row r="292">
      <c r="A292" s="1"/>
      <c r="B292" s="1"/>
      <c r="C292" s="23"/>
      <c r="D292" s="23"/>
      <c r="E292" s="26"/>
      <c r="F292" s="1"/>
      <c r="G292" s="23"/>
      <c r="H292" s="23"/>
      <c r="I292" s="1"/>
      <c r="J292" s="1"/>
      <c r="K292" s="1"/>
    </row>
    <row r="293">
      <c r="A293" s="1"/>
      <c r="B293" s="1"/>
      <c r="C293" s="26"/>
      <c r="D293" s="23"/>
      <c r="E293" s="26"/>
      <c r="F293" s="1"/>
      <c r="G293" s="23"/>
      <c r="H293" s="23"/>
      <c r="I293" s="1"/>
      <c r="J293" s="1"/>
      <c r="K293" s="1"/>
    </row>
    <row r="294">
      <c r="A294" s="1"/>
      <c r="B294" s="1"/>
      <c r="C294" s="26"/>
      <c r="D294" s="23"/>
      <c r="E294" s="26"/>
      <c r="F294" s="1"/>
      <c r="G294" s="23"/>
      <c r="H294" s="23"/>
      <c r="I294" s="1"/>
      <c r="J294" s="1"/>
      <c r="K294" s="1"/>
    </row>
    <row r="295">
      <c r="A295" s="1"/>
      <c r="B295" s="1"/>
      <c r="C295" s="23"/>
      <c r="D295" s="23"/>
      <c r="E295" s="26"/>
      <c r="F295" s="1"/>
      <c r="G295" s="23"/>
      <c r="H295" s="23"/>
      <c r="I295" s="1"/>
      <c r="J295" s="1"/>
      <c r="K295" s="1"/>
    </row>
    <row r="296">
      <c r="A296" s="1"/>
      <c r="B296" s="1"/>
      <c r="C296" s="23"/>
      <c r="D296" s="23"/>
      <c r="E296" s="26"/>
      <c r="F296" s="1"/>
      <c r="G296" s="23"/>
      <c r="H296" s="23"/>
      <c r="I296" s="1"/>
      <c r="J296" s="1"/>
      <c r="K296" s="1"/>
    </row>
    <row r="297">
      <c r="A297" s="1"/>
      <c r="B297" s="1"/>
      <c r="C297" s="23"/>
      <c r="D297" s="23"/>
      <c r="E297" s="26"/>
      <c r="F297" s="1"/>
      <c r="G297" s="23"/>
      <c r="H297" s="23"/>
      <c r="I297" s="1"/>
      <c r="J297" s="1"/>
      <c r="K297" s="1"/>
    </row>
    <row r="298">
      <c r="A298" s="1"/>
      <c r="B298" s="1"/>
      <c r="C298" s="23"/>
      <c r="D298" s="23"/>
      <c r="E298" s="23"/>
      <c r="F298" s="1"/>
      <c r="G298" s="23"/>
      <c r="H298" s="23"/>
      <c r="I298" s="1"/>
      <c r="J298" s="1"/>
      <c r="K298" s="1"/>
    </row>
    <row r="299">
      <c r="A299" s="1"/>
      <c r="B299" s="1"/>
      <c r="C299" s="23"/>
      <c r="D299" s="23"/>
      <c r="E299" s="26"/>
      <c r="F299" s="1"/>
      <c r="G299" s="23"/>
      <c r="H299" s="23"/>
      <c r="I299" s="1"/>
      <c r="J299" s="1"/>
      <c r="K299" s="1"/>
    </row>
    <row r="300">
      <c r="A300" s="1"/>
      <c r="B300" s="1"/>
      <c r="C300" s="23"/>
      <c r="D300" s="23"/>
      <c r="E300" s="26"/>
      <c r="F300" s="1"/>
      <c r="G300" s="23"/>
      <c r="H300" s="23"/>
      <c r="I300" s="1"/>
      <c r="J300" s="1"/>
      <c r="K300" s="1"/>
    </row>
    <row r="301">
      <c r="A301" s="1"/>
      <c r="B301" s="1"/>
      <c r="C301" s="23"/>
      <c r="D301" s="23"/>
      <c r="E301" s="26"/>
      <c r="F301" s="1"/>
      <c r="G301" s="23"/>
      <c r="H301" s="23"/>
      <c r="I301" s="1"/>
      <c r="J301" s="1"/>
      <c r="K301" s="1"/>
    </row>
    <row r="302">
      <c r="A302" s="1"/>
      <c r="B302" s="1"/>
      <c r="C302" s="23"/>
      <c r="D302" s="23"/>
      <c r="E302" s="26"/>
      <c r="F302" s="1"/>
      <c r="G302" s="23"/>
      <c r="H302" s="23"/>
      <c r="I302" s="1"/>
      <c r="J302" s="1"/>
      <c r="K302" s="1"/>
    </row>
    <row r="303">
      <c r="A303" s="1"/>
      <c r="B303" s="1"/>
      <c r="C303" s="26"/>
      <c r="D303" s="23"/>
      <c r="E303" s="26"/>
      <c r="F303" s="1"/>
      <c r="G303" s="23"/>
      <c r="H303" s="23"/>
      <c r="I303" s="1"/>
      <c r="J303" s="1"/>
      <c r="K303" s="1"/>
    </row>
    <row r="304">
      <c r="A304" s="1"/>
      <c r="B304" s="1"/>
      <c r="C304" s="23"/>
      <c r="D304" s="26"/>
      <c r="E304" s="26"/>
      <c r="F304" s="1"/>
      <c r="G304" s="23"/>
      <c r="H304" s="23"/>
      <c r="I304" s="1"/>
      <c r="J304" s="1"/>
      <c r="K304" s="1"/>
    </row>
    <row r="305">
      <c r="A305" s="1"/>
      <c r="B305" s="1"/>
      <c r="C305" s="23"/>
      <c r="D305" s="23"/>
      <c r="E305" s="26"/>
      <c r="F305" s="1"/>
      <c r="G305" s="23"/>
      <c r="H305" s="23"/>
      <c r="I305" s="1"/>
      <c r="J305" s="1"/>
      <c r="K305" s="1"/>
    </row>
    <row r="306">
      <c r="A306" s="1"/>
      <c r="B306" s="1"/>
      <c r="C306" s="23"/>
      <c r="D306" s="23"/>
      <c r="E306" s="26"/>
      <c r="F306" s="1"/>
      <c r="G306" s="23"/>
      <c r="H306" s="23"/>
      <c r="I306" s="1"/>
      <c r="J306" s="1"/>
      <c r="K306" s="1"/>
    </row>
    <row r="307">
      <c r="A307" s="1"/>
      <c r="B307" s="1"/>
      <c r="C307" s="23"/>
      <c r="D307" s="23"/>
      <c r="E307" s="26"/>
      <c r="F307" s="1"/>
      <c r="G307" s="23"/>
      <c r="H307" s="23"/>
      <c r="I307" s="1"/>
      <c r="J307" s="1"/>
      <c r="K307" s="1"/>
    </row>
    <row r="308">
      <c r="A308" s="1"/>
      <c r="B308" s="1"/>
      <c r="C308" s="23"/>
      <c r="D308" s="23"/>
      <c r="E308" s="23"/>
      <c r="F308" s="1"/>
      <c r="G308" s="23"/>
      <c r="H308" s="23"/>
      <c r="I308" s="1"/>
      <c r="J308" s="1"/>
      <c r="K308" s="1"/>
    </row>
    <row r="309">
      <c r="A309" s="1"/>
      <c r="B309" s="1"/>
      <c r="C309" s="23"/>
      <c r="D309" s="23"/>
      <c r="E309" s="26"/>
      <c r="F309" s="1"/>
      <c r="G309" s="23"/>
      <c r="H309" s="23"/>
      <c r="I309" s="1"/>
      <c r="J309" s="1"/>
      <c r="K309" s="1"/>
    </row>
    <row r="310">
      <c r="A310" s="1"/>
      <c r="B310" s="1"/>
      <c r="C310" s="23"/>
      <c r="D310" s="23"/>
      <c r="E310" s="26"/>
      <c r="F310" s="1"/>
      <c r="G310" s="23"/>
      <c r="H310" s="23"/>
      <c r="I310" s="1"/>
      <c r="J310" s="1"/>
      <c r="K310" s="1"/>
    </row>
    <row r="311">
      <c r="A311" s="1"/>
      <c r="B311" s="1"/>
      <c r="C311" s="23"/>
      <c r="D311" s="23"/>
      <c r="E311" s="26"/>
      <c r="F311" s="1"/>
      <c r="G311" s="23"/>
      <c r="H311" s="23"/>
      <c r="I311" s="1"/>
      <c r="J311" s="1"/>
      <c r="K311" s="1"/>
    </row>
    <row r="312">
      <c r="A312" s="1"/>
      <c r="B312" s="1"/>
      <c r="C312" s="23"/>
      <c r="D312" s="23"/>
      <c r="E312" s="26"/>
      <c r="F312" s="1"/>
      <c r="G312" s="23"/>
      <c r="H312" s="23"/>
      <c r="I312" s="1"/>
      <c r="J312" s="1"/>
      <c r="K312" s="1"/>
    </row>
    <row r="313">
      <c r="A313" s="1"/>
      <c r="B313" s="1"/>
      <c r="C313" s="23"/>
      <c r="D313" s="23"/>
      <c r="E313" s="26"/>
      <c r="F313" s="1"/>
      <c r="G313" s="23"/>
      <c r="H313" s="23"/>
      <c r="I313" s="1"/>
      <c r="J313" s="1"/>
      <c r="K313" s="1"/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  <c r="K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  <c r="K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  <c r="K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  <c r="K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  <c r="K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  <c r="K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  <c r="K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  <c r="K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  <c r="K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  <c r="K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  <c r="K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  <c r="K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  <c r="K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  <c r="K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  <c r="K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  <c r="K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  <c r="K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  <c r="K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  <c r="K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  <c r="K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  <c r="K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  <c r="K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  <c r="K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  <c r="K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  <c r="K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  <c r="K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  <c r="K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  <c r="K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  <c r="K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  <c r="K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  <c r="K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  <c r="K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  <c r="K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  <c r="K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  <c r="K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  <c r="K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  <c r="K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  <c r="K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  <c r="K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  <c r="K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  <c r="K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  <c r="K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  <c r="K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  <c r="K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  <c r="K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  <c r="K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  <c r="K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  <c r="K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  <c r="K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  <c r="K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  <c r="K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  <c r="K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  <c r="K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  <c r="K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  <c r="K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  <c r="K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  <c r="K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  <c r="K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  <c r="K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  <c r="K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  <c r="K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  <c r="K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  <c r="K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  <c r="K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  <c r="K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  <c r="K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  <c r="K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  <c r="K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  <c r="K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  <c r="K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  <c r="K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  <c r="K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  <c r="K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  <c r="K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  <c r="K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  <c r="K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  <c r="K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  <c r="K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  <c r="K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  <c r="K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  <c r="K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  <c r="K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  <c r="K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  <c r="K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  <c r="K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  <c r="K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  <c r="K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  <c r="K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  <c r="K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  <c r="K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  <c r="K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  <c r="K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  <c r="K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  <c r="K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  <c r="K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  <c r="K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  <c r="K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  <c r="K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  <c r="K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  <c r="K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  <c r="K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  <c r="K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  <c r="K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  <c r="K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  <c r="K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  <c r="K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  <c r="K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  <c r="K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  <c r="K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  <c r="K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  <c r="K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  <c r="K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  <c r="K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  <c r="K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  <c r="K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  <c r="K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  <c r="K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  <c r="K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  <c r="K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  <c r="K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  <c r="K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  <c r="K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  <c r="K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  <c r="K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  <c r="K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  <c r="K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  <c r="K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  <c r="K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  <c r="K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  <c r="K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  <c r="K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  <c r="K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  <c r="K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  <c r="K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  <c r="K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  <c r="K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  <c r="K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  <c r="K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  <c r="K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  <c r="K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  <c r="K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  <c r="K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  <c r="K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  <c r="K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  <c r="K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  <c r="K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  <c r="K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  <c r="K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  <c r="K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  <c r="K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  <c r="K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  <c r="K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  <c r="K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  <c r="K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  <c r="K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  <c r="K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  <c r="K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  <c r="K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  <c r="K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  <c r="K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  <c r="K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  <c r="K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  <c r="K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  <c r="K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  <c r="K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  <c r="K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  <c r="K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  <c r="K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  <c r="K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  <c r="K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  <c r="K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  <c r="K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  <c r="K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  <c r="K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  <c r="K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  <c r="K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  <c r="K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  <c r="K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  <c r="K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  <c r="K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  <c r="K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  <c r="K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  <c r="K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  <c r="K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  <c r="K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  <c r="K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  <c r="K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  <c r="K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  <c r="K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  <c r="K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  <c r="K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  <c r="K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  <c r="K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  <c r="K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  <c r="K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  <c r="K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  <c r="K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  <c r="K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  <c r="K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  <c r="K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  <c r="K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  <c r="K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  <c r="K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  <c r="K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  <c r="K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  <c r="K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  <c r="K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  <c r="K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  <c r="K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  <c r="K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  <c r="K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  <c r="K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  <c r="K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  <c r="K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  <c r="K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  <c r="K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  <c r="K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  <c r="K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  <c r="K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  <c r="K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  <c r="K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  <c r="K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  <c r="K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  <c r="K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  <c r="K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  <c r="K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  <c r="K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  <c r="K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  <c r="K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  <c r="K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K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  <c r="K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K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4" max="14" width="15.0"/>
  </cols>
  <sheetData>
    <row r="1">
      <c r="A1" s="2" t="s">
        <v>116</v>
      </c>
      <c r="B1" s="3" t="s">
        <v>117</v>
      </c>
      <c r="C1" s="3" t="s">
        <v>23</v>
      </c>
      <c r="D1" s="3" t="s">
        <v>12</v>
      </c>
      <c r="E1" s="3" t="s">
        <v>24</v>
      </c>
      <c r="F1" s="3" t="s">
        <v>25</v>
      </c>
      <c r="G1" s="3" t="s">
        <v>26</v>
      </c>
      <c r="J1" s="1" t="s">
        <v>118</v>
      </c>
      <c r="K1" s="1" t="s">
        <v>119</v>
      </c>
      <c r="L1">
        <f>sum(R10:R998)+0.008*$Q$4+(0.008+0.0075)*$Q$5</f>
        <v>37728.95816</v>
      </c>
      <c r="P1" s="44" t="s">
        <v>120</v>
      </c>
    </row>
    <row r="2">
      <c r="A2" s="4" t="s">
        <v>111</v>
      </c>
      <c r="B2" s="11">
        <v>17177.41103202847</v>
      </c>
      <c r="C2" s="7">
        <v>14.213110320284718</v>
      </c>
      <c r="D2" s="7">
        <v>14.304852313167244</v>
      </c>
      <c r="E2" s="7">
        <v>0.7250800711743721</v>
      </c>
      <c r="F2" s="11">
        <v>767.512455516007</v>
      </c>
      <c r="G2" s="7">
        <v>0.7566192170818529</v>
      </c>
      <c r="J2" s="26">
        <v>1.5</v>
      </c>
      <c r="K2" s="1" t="s">
        <v>121</v>
      </c>
      <c r="L2">
        <f>sum(R10:R998)+0.008*$Q$4+0.008*$Q$5</f>
        <v>37615.43545</v>
      </c>
      <c r="N2" s="1" t="s">
        <v>122</v>
      </c>
      <c r="P2" s="21" t="s">
        <v>1</v>
      </c>
      <c r="Q2" s="21" t="s">
        <v>123</v>
      </c>
    </row>
    <row r="3">
      <c r="A3" s="4" t="s">
        <v>112</v>
      </c>
      <c r="B3" s="11">
        <v>13666.0</v>
      </c>
      <c r="C3" s="7">
        <v>11.397</v>
      </c>
      <c r="D3" s="7">
        <v>10.329</v>
      </c>
      <c r="E3" s="7">
        <v>0.475</v>
      </c>
      <c r="F3" s="11">
        <v>724.1</v>
      </c>
      <c r="G3" s="7">
        <v>0.711</v>
      </c>
      <c r="J3" s="45"/>
      <c r="N3" s="46" t="s">
        <v>124</v>
      </c>
      <c r="P3" s="21" t="s">
        <v>23</v>
      </c>
      <c r="Q3" s="47">
        <f>SUM(O9:O998)</f>
        <v>5634.584617</v>
      </c>
    </row>
    <row r="4">
      <c r="A4" s="4" t="s">
        <v>113</v>
      </c>
      <c r="B4" s="11">
        <v>15903.0</v>
      </c>
      <c r="C4" s="7">
        <v>14.093</v>
      </c>
      <c r="D4" s="7">
        <v>13.549</v>
      </c>
      <c r="E4" s="7">
        <v>0.731</v>
      </c>
      <c r="F4" s="11">
        <v>762.3</v>
      </c>
      <c r="G4" s="7">
        <v>0.749</v>
      </c>
      <c r="N4" s="46" t="s">
        <v>125</v>
      </c>
      <c r="P4" s="21" t="s">
        <v>12</v>
      </c>
      <c r="Q4" s="47">
        <f>sum(P9:P998)</f>
        <v>3949.762533</v>
      </c>
      <c r="U4" s="1"/>
      <c r="V4" s="1"/>
      <c r="W4" s="1"/>
    </row>
    <row r="5">
      <c r="A5" s="4" t="s">
        <v>114</v>
      </c>
      <c r="B5" s="11">
        <v>21866.0</v>
      </c>
      <c r="C5" s="7">
        <v>16.644</v>
      </c>
      <c r="D5" s="7">
        <v>20.9</v>
      </c>
      <c r="E5" s="7">
        <v>1.172</v>
      </c>
      <c r="F5" s="11">
        <v>809.3</v>
      </c>
      <c r="G5" s="7">
        <v>0.868</v>
      </c>
      <c r="N5" s="46" t="s">
        <v>126</v>
      </c>
      <c r="P5" s="21" t="s">
        <v>13</v>
      </c>
      <c r="Q5" s="47">
        <f>sum(Q9:Q998)</f>
        <v>15136.36186</v>
      </c>
      <c r="U5" s="1"/>
      <c r="W5" s="48"/>
    </row>
    <row r="6">
      <c r="A6" s="9"/>
      <c r="N6" s="46" t="s">
        <v>127</v>
      </c>
      <c r="O6" s="1"/>
      <c r="P6" s="21" t="str">
        <f>B1</f>
        <v>Agility</v>
      </c>
      <c r="Q6" s="47">
        <f>SUM(R9:R998)/500+0.008*Q$3+0.008*Q$4</f>
        <v>151.6002701</v>
      </c>
      <c r="U6" s="1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21" t="s">
        <v>128</v>
      </c>
      <c r="Q7" s="47">
        <f>SUM(R9:R998)/500+0.008*Q$3+(0.008+0.0075)*Q$4</f>
        <v>181.2234891</v>
      </c>
      <c r="R7" s="1"/>
      <c r="U7" s="1"/>
    </row>
    <row r="8">
      <c r="A8" s="1" t="s">
        <v>129</v>
      </c>
      <c r="O8" s="44" t="s">
        <v>130</v>
      </c>
      <c r="U8" s="1"/>
    </row>
    <row r="9">
      <c r="A9" s="49" t="s">
        <v>131</v>
      </c>
      <c r="B9" s="49" t="s">
        <v>89</v>
      </c>
      <c r="C9" s="49" t="s">
        <v>132</v>
      </c>
      <c r="D9" s="49" t="s">
        <v>111</v>
      </c>
      <c r="E9" s="49" t="s">
        <v>133</v>
      </c>
      <c r="F9" s="49" t="s">
        <v>134</v>
      </c>
      <c r="G9" s="49" t="s">
        <v>135</v>
      </c>
      <c r="H9" s="49" t="s">
        <v>136</v>
      </c>
      <c r="I9" s="49" t="s">
        <v>137</v>
      </c>
      <c r="J9" s="49" t="s">
        <v>138</v>
      </c>
      <c r="K9" s="49" t="s">
        <v>28</v>
      </c>
      <c r="L9" s="49" t="s">
        <v>139</v>
      </c>
      <c r="M9" s="49" t="s">
        <v>140</v>
      </c>
      <c r="N9" s="49" t="s">
        <v>141</v>
      </c>
      <c r="O9" s="50" t="s">
        <v>142</v>
      </c>
      <c r="P9" s="51" t="s">
        <v>143</v>
      </c>
      <c r="Q9" s="1" t="s">
        <v>144</v>
      </c>
      <c r="R9" s="1" t="s">
        <v>145</v>
      </c>
      <c r="U9" s="1"/>
    </row>
    <row r="10">
      <c r="A10" s="1" t="s">
        <v>146</v>
      </c>
      <c r="B10" s="52">
        <v>8.783127379E9</v>
      </c>
      <c r="C10" s="53">
        <v>1.466298394E7</v>
      </c>
      <c r="D10" s="53">
        <v>1289172.0</v>
      </c>
      <c r="E10" s="52">
        <v>1310.0</v>
      </c>
      <c r="F10" s="52">
        <v>1.01484171E8</v>
      </c>
      <c r="G10" s="52">
        <v>6813.0</v>
      </c>
      <c r="H10" s="52">
        <v>6813.0</v>
      </c>
      <c r="I10" s="1">
        <v>100.0</v>
      </c>
      <c r="J10" s="1">
        <v>1.03</v>
      </c>
      <c r="K10" s="26">
        <v>0.85</v>
      </c>
      <c r="L10" s="1" t="s">
        <v>147</v>
      </c>
      <c r="M10" s="1" t="s">
        <v>146</v>
      </c>
      <c r="N10" s="44">
        <v>100.0</v>
      </c>
      <c r="O10" s="54" t="str">
        <f t="shared" ref="O10:O19" si="1">if($N10&lt;4,$C10*(($J$2+C$2+1%)/($J$2+C$2)-1),"")</f>
        <v/>
      </c>
      <c r="P10" s="11" t="str">
        <f t="shared" ref="P10:P19" si="2">if($N10=2,$C10*((1.5+D$2+1%)/(1.5+D$2)-1),"")</f>
        <v/>
      </c>
      <c r="Q10" s="11" t="str">
        <f t="shared" ref="Q10:Q19" si="3">if($N10=1,$C10*((1+E$2+1%)/(1+E$2)-1),"")</f>
        <v/>
      </c>
      <c r="R10" s="55" t="str">
        <f t="shared" ref="R10:R19" si="4">if($N10&lt;3,C10*((floor((log($B$2+500,2)*0.28-1.2)*100,0.001)/100)/(floor((log($B$2,2)*0.28-1.2)*100,0.001)/100)-1),"")</f>
        <v/>
      </c>
      <c r="U10" s="1"/>
      <c r="W10" s="56"/>
    </row>
    <row r="11">
      <c r="A11" s="1" t="s">
        <v>148</v>
      </c>
      <c r="B11" s="52">
        <v>1.103991476E9</v>
      </c>
      <c r="C11" s="53">
        <v>1843057.56</v>
      </c>
      <c r="D11" s="53">
        <v>2739433.0</v>
      </c>
      <c r="E11" s="52">
        <v>1478.0</v>
      </c>
      <c r="F11" s="52">
        <v>5709346.0</v>
      </c>
      <c r="G11" s="52">
        <v>403.0</v>
      </c>
      <c r="H11" s="52">
        <v>403.0</v>
      </c>
      <c r="I11" s="1">
        <v>100.0</v>
      </c>
      <c r="J11" s="1">
        <v>1.87</v>
      </c>
      <c r="K11" s="26">
        <v>0.0</v>
      </c>
      <c r="L11" s="1" t="s">
        <v>149</v>
      </c>
      <c r="M11" s="1" t="s">
        <v>150</v>
      </c>
      <c r="N11" s="44">
        <v>2.0</v>
      </c>
      <c r="O11" s="54">
        <f t="shared" si="1"/>
        <v>1172.942544</v>
      </c>
      <c r="P11" s="11">
        <f t="shared" si="2"/>
        <v>1166.133997</v>
      </c>
      <c r="Q11" s="11" t="str">
        <f t="shared" si="3"/>
        <v/>
      </c>
      <c r="R11" s="57">
        <f t="shared" si="4"/>
        <v>7798.56052</v>
      </c>
      <c r="U11" s="1"/>
    </row>
    <row r="12">
      <c r="A12" s="1" t="s">
        <v>150</v>
      </c>
      <c r="B12" s="52">
        <v>8.09388891E8</v>
      </c>
      <c r="C12" s="53">
        <v>1351233.54</v>
      </c>
      <c r="D12" s="53">
        <v>1157924.0</v>
      </c>
      <c r="E12" s="52">
        <v>375751.0</v>
      </c>
      <c r="F12" s="52">
        <v>4116969.0</v>
      </c>
      <c r="G12" s="52">
        <v>699.0</v>
      </c>
      <c r="H12" s="52">
        <v>699.0</v>
      </c>
      <c r="I12" s="1">
        <v>100.0</v>
      </c>
      <c r="J12" s="1">
        <v>4.03</v>
      </c>
      <c r="K12" s="26">
        <v>1.0</v>
      </c>
      <c r="L12" s="1" t="s">
        <v>151</v>
      </c>
      <c r="M12" s="1" t="s">
        <v>150</v>
      </c>
      <c r="N12" s="44">
        <v>1.0</v>
      </c>
      <c r="O12" s="54">
        <f t="shared" si="1"/>
        <v>859.9402107</v>
      </c>
      <c r="P12" s="11" t="str">
        <f t="shared" si="2"/>
        <v/>
      </c>
      <c r="Q12" s="11">
        <f t="shared" si="3"/>
        <v>7832.874326</v>
      </c>
      <c r="R12" s="57">
        <f t="shared" si="4"/>
        <v>5717.497254</v>
      </c>
      <c r="U12" s="1"/>
    </row>
    <row r="13">
      <c r="A13" s="1" t="s">
        <v>152</v>
      </c>
      <c r="B13" s="52">
        <v>7.54686136E8</v>
      </c>
      <c r="C13" s="53">
        <v>1259910.08</v>
      </c>
      <c r="D13" s="53">
        <v>1173695.0</v>
      </c>
      <c r="E13" s="52">
        <v>450985.0</v>
      </c>
      <c r="F13" s="52">
        <v>3965708.0</v>
      </c>
      <c r="G13" s="52">
        <v>643.0</v>
      </c>
      <c r="H13" s="52">
        <v>643.0</v>
      </c>
      <c r="I13" s="1">
        <v>100.0</v>
      </c>
      <c r="J13" s="1">
        <v>4.01</v>
      </c>
      <c r="K13" s="26">
        <v>1.0</v>
      </c>
      <c r="L13" s="1" t="s">
        <v>153</v>
      </c>
      <c r="M13" s="1" t="s">
        <v>154</v>
      </c>
      <c r="N13" s="44">
        <v>1.0</v>
      </c>
      <c r="O13" s="54">
        <f t="shared" si="1"/>
        <v>801.8209344</v>
      </c>
      <c r="P13" s="11" t="str">
        <f t="shared" si="2"/>
        <v/>
      </c>
      <c r="Q13" s="11">
        <f t="shared" si="3"/>
        <v>7303.487537</v>
      </c>
      <c r="R13" s="57">
        <f t="shared" si="4"/>
        <v>5331.078758</v>
      </c>
      <c r="U13" s="1"/>
    </row>
    <row r="14">
      <c r="A14" s="1" t="s">
        <v>155</v>
      </c>
      <c r="B14" s="52">
        <v>7.388434E8</v>
      </c>
      <c r="C14" s="53">
        <v>1233461.44</v>
      </c>
      <c r="D14" s="53">
        <v>1698491.0</v>
      </c>
      <c r="E14" s="52">
        <v>55395.0</v>
      </c>
      <c r="F14" s="52">
        <v>4.943725E7</v>
      </c>
      <c r="G14" s="52">
        <v>435.0</v>
      </c>
      <c r="H14" s="52">
        <v>435.0</v>
      </c>
      <c r="I14" s="1">
        <v>100.0</v>
      </c>
      <c r="J14" s="1">
        <v>3.63</v>
      </c>
      <c r="K14" s="26">
        <v>0.0</v>
      </c>
      <c r="L14" s="1" t="s">
        <v>149</v>
      </c>
      <c r="M14" s="1" t="s">
        <v>156</v>
      </c>
      <c r="N14" s="44">
        <v>2.0</v>
      </c>
      <c r="O14" s="54">
        <f t="shared" si="1"/>
        <v>784.9887227</v>
      </c>
      <c r="P14" s="11">
        <f t="shared" si="2"/>
        <v>780.4321202</v>
      </c>
      <c r="Q14" s="11" t="str">
        <f t="shared" si="3"/>
        <v/>
      </c>
      <c r="R14" s="57">
        <f t="shared" si="4"/>
        <v>5219.166182</v>
      </c>
    </row>
    <row r="15">
      <c r="A15" s="1" t="s">
        <v>157</v>
      </c>
      <c r="B15" s="52">
        <v>5.04058832E8</v>
      </c>
      <c r="C15" s="53">
        <v>841500.55</v>
      </c>
      <c r="D15" s="53">
        <v>1826300.0</v>
      </c>
      <c r="E15" s="52">
        <v>1184892.0</v>
      </c>
      <c r="F15" s="52">
        <v>5065753.0</v>
      </c>
      <c r="G15" s="1">
        <v>276.0</v>
      </c>
      <c r="H15" s="1">
        <v>276.0</v>
      </c>
      <c r="I15" s="1">
        <v>100.0</v>
      </c>
      <c r="J15" s="1">
        <v>25.41</v>
      </c>
      <c r="K15" s="26">
        <v>1.0</v>
      </c>
      <c r="L15" s="1" t="s">
        <v>158</v>
      </c>
      <c r="M15" s="1" t="s">
        <v>156</v>
      </c>
      <c r="N15" s="44">
        <v>2.0</v>
      </c>
      <c r="O15" s="54">
        <f t="shared" si="1"/>
        <v>535.5404072</v>
      </c>
      <c r="P15" s="11">
        <f t="shared" si="2"/>
        <v>532.4317705</v>
      </c>
      <c r="Q15" s="11" t="str">
        <f t="shared" si="3"/>
        <v/>
      </c>
      <c r="R15" s="57">
        <f t="shared" si="4"/>
        <v>3560.655461</v>
      </c>
    </row>
    <row r="16">
      <c r="A16" s="1" t="s">
        <v>159</v>
      </c>
      <c r="B16" s="52">
        <v>4.81700401E8</v>
      </c>
      <c r="C16" s="53">
        <v>804174.29</v>
      </c>
      <c r="D16" s="53">
        <v>3.440717E7</v>
      </c>
      <c r="E16" s="52">
        <v>1.125219E7</v>
      </c>
      <c r="F16" s="52">
        <v>1.01484171E8</v>
      </c>
      <c r="G16" s="1">
        <v>14.0</v>
      </c>
      <c r="H16" s="1">
        <v>14.0</v>
      </c>
      <c r="I16" s="1">
        <v>100.0</v>
      </c>
      <c r="J16" s="1">
        <v>41.23</v>
      </c>
      <c r="K16" s="26">
        <v>1.0</v>
      </c>
      <c r="L16" s="1" t="s">
        <v>160</v>
      </c>
      <c r="M16" s="1" t="s">
        <v>150</v>
      </c>
      <c r="N16" s="44">
        <v>2.0</v>
      </c>
      <c r="O16" s="54">
        <f t="shared" si="1"/>
        <v>511.7855559</v>
      </c>
      <c r="P16" s="11">
        <f t="shared" si="2"/>
        <v>508.8148083</v>
      </c>
      <c r="Q16" s="11" t="str">
        <f t="shared" si="3"/>
        <v/>
      </c>
      <c r="R16" s="57">
        <f t="shared" si="4"/>
        <v>3402.716228</v>
      </c>
    </row>
    <row r="17">
      <c r="A17" s="1" t="s">
        <v>161</v>
      </c>
      <c r="B17" s="52">
        <v>3.50141337E8</v>
      </c>
      <c r="C17" s="53">
        <v>584543.13</v>
      </c>
      <c r="D17" s="53">
        <v>7145742.0</v>
      </c>
      <c r="E17" s="52">
        <v>1304769.0</v>
      </c>
      <c r="F17" s="52">
        <v>2.2958928E7</v>
      </c>
      <c r="G17" s="1">
        <v>49.0</v>
      </c>
      <c r="H17" s="1">
        <v>49.0</v>
      </c>
      <c r="I17" s="1">
        <v>100.0</v>
      </c>
      <c r="J17" s="1">
        <v>22.08</v>
      </c>
      <c r="K17" s="26">
        <v>1.0</v>
      </c>
      <c r="L17" s="1" t="s">
        <v>162</v>
      </c>
      <c r="M17" s="1" t="s">
        <v>150</v>
      </c>
      <c r="N17" s="44">
        <v>2.0</v>
      </c>
      <c r="O17" s="54">
        <f t="shared" si="1"/>
        <v>372.0098173</v>
      </c>
      <c r="P17" s="11">
        <f t="shared" si="2"/>
        <v>369.8504221</v>
      </c>
      <c r="Q17" s="11" t="str">
        <f t="shared" si="3"/>
        <v/>
      </c>
      <c r="R17" s="57">
        <f t="shared" si="4"/>
        <v>2473.387199</v>
      </c>
      <c r="U17" s="1"/>
      <c r="V17" s="1"/>
      <c r="W17" s="1"/>
    </row>
    <row r="18">
      <c r="A18" s="1" t="s">
        <v>163</v>
      </c>
      <c r="B18" s="52">
        <v>2.93004712E8</v>
      </c>
      <c r="C18" s="53">
        <v>489156.45</v>
      </c>
      <c r="D18" s="53">
        <v>1408677.0</v>
      </c>
      <c r="E18" s="52">
        <v>751374.0</v>
      </c>
      <c r="F18" s="52">
        <v>3365145.0</v>
      </c>
      <c r="G18" s="1">
        <v>208.0</v>
      </c>
      <c r="H18" s="1">
        <v>208.0</v>
      </c>
      <c r="I18" s="1">
        <v>100.0</v>
      </c>
      <c r="J18" s="1">
        <v>4.24</v>
      </c>
      <c r="K18" s="26">
        <v>1.0</v>
      </c>
      <c r="L18" s="1" t="s">
        <v>164</v>
      </c>
      <c r="M18" s="1" t="s">
        <v>150</v>
      </c>
      <c r="N18" s="44">
        <v>2.0</v>
      </c>
      <c r="O18" s="54">
        <f t="shared" si="1"/>
        <v>311.3046622</v>
      </c>
      <c r="P18" s="11">
        <f t="shared" si="2"/>
        <v>309.4976405</v>
      </c>
      <c r="Q18" s="11" t="str">
        <f t="shared" si="3"/>
        <v/>
      </c>
      <c r="R18" s="57">
        <f t="shared" si="4"/>
        <v>2069.775932</v>
      </c>
      <c r="U18" s="1"/>
      <c r="V18" s="58"/>
      <c r="W18" s="58"/>
    </row>
    <row r="19">
      <c r="A19" s="1" t="s">
        <v>165</v>
      </c>
      <c r="B19" s="52">
        <v>2.67542108E8</v>
      </c>
      <c r="C19" s="53">
        <v>446647.93</v>
      </c>
      <c r="D19" s="53">
        <v>2267306.0</v>
      </c>
      <c r="E19" s="52">
        <v>1061928.0</v>
      </c>
      <c r="F19" s="52">
        <v>8275372.0</v>
      </c>
      <c r="G19" s="1">
        <v>118.0</v>
      </c>
      <c r="H19" s="1">
        <v>118.0</v>
      </c>
      <c r="I19" s="1">
        <v>100.0</v>
      </c>
      <c r="J19" s="1">
        <v>9.86</v>
      </c>
      <c r="K19" s="26">
        <v>1.0</v>
      </c>
      <c r="L19" s="1" t="s">
        <v>166</v>
      </c>
      <c r="M19" s="1" t="s">
        <v>150</v>
      </c>
      <c r="N19" s="44">
        <v>2.0</v>
      </c>
      <c r="O19" s="54">
        <f t="shared" si="1"/>
        <v>284.2517623</v>
      </c>
      <c r="P19" s="11">
        <f t="shared" si="2"/>
        <v>282.6017739</v>
      </c>
      <c r="Q19" s="11" t="str">
        <f t="shared" si="3"/>
        <v/>
      </c>
      <c r="R19" s="57">
        <f t="shared" si="4"/>
        <v>1889.908915</v>
      </c>
      <c r="U19" s="1"/>
      <c r="V19" s="58"/>
      <c r="W19" s="58"/>
    </row>
    <row r="20">
      <c r="A20" s="1"/>
      <c r="B20" s="52"/>
      <c r="C20" s="53"/>
      <c r="D20" s="53"/>
      <c r="E20" s="52"/>
      <c r="F20" s="52"/>
      <c r="G20" s="1"/>
      <c r="H20" s="1"/>
      <c r="I20" s="1"/>
      <c r="J20" s="1"/>
      <c r="K20" s="26"/>
      <c r="L20" s="1"/>
      <c r="M20" s="1"/>
      <c r="N20" s="1"/>
      <c r="O20" s="54"/>
      <c r="P20" s="11"/>
      <c r="Q20" s="11"/>
      <c r="R20" s="55"/>
      <c r="U20" s="1"/>
      <c r="V20" s="58"/>
      <c r="W20" s="58"/>
    </row>
    <row r="21">
      <c r="A21" s="1"/>
      <c r="B21" s="52"/>
      <c r="C21" s="53"/>
      <c r="D21" s="53"/>
      <c r="E21" s="52"/>
      <c r="F21" s="52"/>
      <c r="G21" s="1"/>
      <c r="H21" s="1"/>
      <c r="I21" s="1"/>
      <c r="J21" s="1"/>
      <c r="K21" s="26"/>
      <c r="L21" s="1"/>
      <c r="M21" s="1"/>
      <c r="N21" s="1"/>
      <c r="O21" s="54"/>
      <c r="P21" s="11"/>
      <c r="Q21" s="11"/>
      <c r="R21" s="55"/>
      <c r="U21" s="1"/>
      <c r="V21" s="58"/>
      <c r="W21" s="58"/>
    </row>
    <row r="22">
      <c r="A22" s="1"/>
      <c r="B22" s="52"/>
      <c r="C22" s="53"/>
      <c r="D22" s="53"/>
      <c r="E22" s="52"/>
      <c r="F22" s="52"/>
      <c r="G22" s="1"/>
      <c r="H22" s="1"/>
      <c r="I22" s="1"/>
      <c r="J22" s="1"/>
      <c r="K22" s="26"/>
      <c r="L22" s="1"/>
      <c r="M22" s="1"/>
      <c r="N22" s="1"/>
      <c r="O22" s="54"/>
      <c r="P22" s="11"/>
      <c r="Q22" s="11"/>
      <c r="R22" s="55"/>
      <c r="U22" s="1"/>
      <c r="V22" s="58"/>
      <c r="W22" s="58"/>
    </row>
    <row r="23">
      <c r="A23" s="1"/>
      <c r="B23" s="52"/>
      <c r="C23" s="53"/>
      <c r="D23" s="53"/>
      <c r="E23" s="52"/>
      <c r="F23" s="52"/>
      <c r="G23" s="1"/>
      <c r="H23" s="1"/>
      <c r="I23" s="1"/>
      <c r="J23" s="1"/>
      <c r="K23" s="26"/>
      <c r="L23" s="1"/>
      <c r="M23" s="1"/>
      <c r="N23" s="1"/>
      <c r="O23" s="54"/>
      <c r="P23" s="11"/>
      <c r="Q23" s="11"/>
      <c r="R23" s="55"/>
    </row>
    <row r="24">
      <c r="A24" s="1"/>
      <c r="B24" s="52"/>
      <c r="C24" s="53"/>
      <c r="D24" s="53"/>
      <c r="E24" s="52"/>
      <c r="F24" s="52"/>
      <c r="G24" s="1"/>
      <c r="H24" s="1"/>
      <c r="I24" s="1"/>
      <c r="J24" s="1"/>
      <c r="K24" s="26"/>
      <c r="L24" s="1"/>
      <c r="M24" s="1"/>
      <c r="N24" s="1"/>
      <c r="O24" s="54"/>
      <c r="P24" s="11"/>
      <c r="Q24" s="11"/>
      <c r="R24" s="55"/>
    </row>
    <row r="25">
      <c r="A25" s="1"/>
      <c r="B25" s="52"/>
      <c r="C25" s="53"/>
      <c r="D25" s="53"/>
      <c r="E25" s="52"/>
      <c r="F25" s="52"/>
      <c r="G25" s="1"/>
      <c r="H25" s="1"/>
      <c r="I25" s="1"/>
      <c r="J25" s="1"/>
      <c r="K25" s="26"/>
      <c r="L25" s="1"/>
      <c r="M25" s="1"/>
      <c r="N25" s="1"/>
      <c r="O25" s="54"/>
      <c r="P25" s="11"/>
      <c r="Q25" s="11"/>
      <c r="R25" s="55"/>
    </row>
    <row r="26">
      <c r="A26" s="1"/>
      <c r="B26" s="52"/>
      <c r="C26" s="53"/>
      <c r="D26" s="53"/>
      <c r="E26" s="52"/>
      <c r="F26" s="52"/>
      <c r="G26" s="1"/>
      <c r="H26" s="1"/>
      <c r="I26" s="1"/>
      <c r="J26" s="1"/>
      <c r="K26" s="26"/>
      <c r="L26" s="1"/>
      <c r="M26" s="1"/>
      <c r="N26" s="1"/>
      <c r="O26" s="54"/>
      <c r="P26" s="11"/>
      <c r="Q26" s="11"/>
      <c r="R26" s="55"/>
    </row>
    <row r="27">
      <c r="A27" s="1"/>
      <c r="B27" s="52"/>
      <c r="C27" s="53"/>
      <c r="D27" s="53"/>
      <c r="E27" s="52"/>
      <c r="F27" s="52"/>
      <c r="G27" s="1"/>
      <c r="H27" s="1"/>
      <c r="I27" s="1"/>
      <c r="J27" s="1"/>
      <c r="K27" s="26"/>
      <c r="L27" s="1"/>
      <c r="M27" s="1"/>
      <c r="N27" s="1"/>
      <c r="O27" s="54"/>
      <c r="P27" s="11"/>
      <c r="Q27" s="11"/>
      <c r="R27" s="55"/>
    </row>
    <row r="28">
      <c r="A28" s="1"/>
      <c r="B28" s="52"/>
      <c r="C28" s="53"/>
      <c r="D28" s="53"/>
      <c r="E28" s="52"/>
      <c r="F28" s="52"/>
      <c r="G28" s="1"/>
      <c r="H28" s="1"/>
      <c r="I28" s="1"/>
      <c r="J28" s="1"/>
      <c r="K28" s="26"/>
      <c r="L28" s="1"/>
      <c r="M28" s="1"/>
      <c r="N28" s="1"/>
      <c r="O28" s="54"/>
      <c r="P28" s="11"/>
      <c r="Q28" s="11"/>
      <c r="R28" s="55"/>
    </row>
    <row r="29">
      <c r="A29" s="1"/>
      <c r="B29" s="52"/>
      <c r="C29" s="53"/>
      <c r="D29" s="53"/>
      <c r="E29" s="52"/>
      <c r="F29" s="52"/>
      <c r="G29" s="1"/>
      <c r="H29" s="1"/>
      <c r="I29" s="1"/>
      <c r="J29" s="1"/>
      <c r="K29" s="26"/>
      <c r="L29" s="1"/>
      <c r="M29" s="1"/>
      <c r="N29" s="1"/>
      <c r="O29" s="54"/>
      <c r="P29" s="11"/>
      <c r="Q29" s="11"/>
      <c r="R29" s="55"/>
    </row>
    <row r="30">
      <c r="A30" s="1"/>
      <c r="B30" s="52"/>
      <c r="C30" s="53"/>
      <c r="D30" s="53"/>
      <c r="E30" s="52"/>
      <c r="F30" s="52"/>
      <c r="G30" s="1"/>
      <c r="H30" s="1"/>
      <c r="I30" s="1"/>
      <c r="J30" s="1"/>
      <c r="K30" s="26"/>
      <c r="L30" s="1"/>
      <c r="M30" s="1"/>
      <c r="N30" s="1"/>
      <c r="O30" s="54"/>
      <c r="P30" s="11"/>
      <c r="Q30" s="11"/>
      <c r="R30" s="55"/>
    </row>
    <row r="31">
      <c r="A31" s="1"/>
      <c r="B31" s="52"/>
      <c r="C31" s="53"/>
      <c r="D31" s="53"/>
      <c r="E31" s="52"/>
      <c r="F31" s="52"/>
      <c r="G31" s="1"/>
      <c r="H31" s="1"/>
      <c r="I31" s="1"/>
      <c r="J31" s="1"/>
      <c r="K31" s="26"/>
      <c r="L31" s="1"/>
      <c r="M31" s="1"/>
      <c r="N31" s="1"/>
      <c r="O31" s="54"/>
      <c r="P31" s="11"/>
      <c r="Q31" s="11"/>
      <c r="R31" s="55"/>
    </row>
    <row r="32">
      <c r="A32" s="1"/>
      <c r="B32" s="52"/>
      <c r="C32" s="53"/>
      <c r="D32" s="53"/>
      <c r="E32" s="52"/>
      <c r="F32" s="52"/>
      <c r="G32" s="1"/>
      <c r="H32" s="1"/>
      <c r="I32" s="1"/>
      <c r="J32" s="1"/>
      <c r="K32" s="26"/>
      <c r="L32" s="1"/>
      <c r="M32" s="1"/>
      <c r="N32" s="1"/>
      <c r="O32" s="54"/>
      <c r="P32" s="11"/>
      <c r="Q32" s="11"/>
      <c r="R32" s="55"/>
    </row>
    <row r="33">
      <c r="A33" s="1"/>
      <c r="B33" s="52"/>
      <c r="C33" s="53"/>
      <c r="D33" s="53"/>
      <c r="E33" s="52"/>
      <c r="F33" s="52"/>
      <c r="G33" s="1"/>
      <c r="H33" s="1"/>
      <c r="I33" s="1"/>
      <c r="J33" s="1"/>
      <c r="K33" s="26"/>
      <c r="L33" s="1"/>
      <c r="M33" s="1"/>
      <c r="N33" s="1"/>
      <c r="O33" s="54"/>
      <c r="P33" s="11"/>
      <c r="Q33" s="11"/>
      <c r="R33" s="55"/>
    </row>
    <row r="34">
      <c r="A34" s="1"/>
      <c r="B34" s="52"/>
      <c r="C34" s="53"/>
      <c r="D34" s="53"/>
      <c r="E34" s="52"/>
      <c r="F34" s="52"/>
      <c r="G34" s="1"/>
      <c r="H34" s="1"/>
      <c r="I34" s="1"/>
      <c r="J34" s="1"/>
      <c r="K34" s="26"/>
      <c r="L34" s="1"/>
      <c r="M34" s="1"/>
      <c r="N34" s="1"/>
      <c r="O34" s="54"/>
      <c r="P34" s="11"/>
      <c r="Q34" s="11"/>
      <c r="R34" s="55"/>
    </row>
    <row r="35">
      <c r="A35" s="1"/>
      <c r="B35" s="52"/>
      <c r="C35" s="53"/>
      <c r="D35" s="53"/>
      <c r="E35" s="52"/>
      <c r="F35" s="52"/>
      <c r="G35" s="1"/>
      <c r="H35" s="1"/>
      <c r="I35" s="1"/>
      <c r="J35" s="1"/>
      <c r="K35" s="26"/>
      <c r="L35" s="1"/>
      <c r="M35" s="1"/>
      <c r="N35" s="1"/>
      <c r="O35" s="54"/>
      <c r="P35" s="11"/>
      <c r="Q35" s="11"/>
      <c r="R35" s="55"/>
    </row>
    <row r="36">
      <c r="A36" s="1"/>
      <c r="B36" s="52"/>
      <c r="C36" s="53"/>
      <c r="D36" s="53"/>
      <c r="E36" s="52"/>
      <c r="F36" s="52"/>
      <c r="G36" s="1"/>
      <c r="H36" s="1"/>
      <c r="I36" s="1"/>
      <c r="J36" s="1"/>
      <c r="K36" s="26"/>
      <c r="L36" s="1"/>
      <c r="M36" s="1"/>
      <c r="N36" s="1"/>
      <c r="O36" s="54"/>
      <c r="P36" s="11"/>
      <c r="Q36" s="11"/>
      <c r="R36" s="55"/>
    </row>
    <row r="37">
      <c r="A37" s="1"/>
      <c r="B37" s="52"/>
      <c r="C37" s="53"/>
      <c r="D37" s="53"/>
      <c r="E37" s="52"/>
      <c r="F37" s="52"/>
      <c r="G37" s="1"/>
      <c r="H37" s="1"/>
      <c r="I37" s="1"/>
      <c r="J37" s="1"/>
      <c r="K37" s="26"/>
      <c r="L37" s="1"/>
      <c r="M37" s="1"/>
      <c r="N37" s="1"/>
      <c r="O37" s="54"/>
      <c r="P37" s="11"/>
      <c r="Q37" s="11"/>
      <c r="R37" s="55"/>
    </row>
    <row r="38">
      <c r="A38" s="1"/>
      <c r="B38" s="52"/>
      <c r="C38" s="53"/>
      <c r="D38" s="53"/>
      <c r="E38" s="52"/>
      <c r="F38" s="52"/>
      <c r="G38" s="1"/>
      <c r="H38" s="1"/>
      <c r="I38" s="1"/>
      <c r="J38" s="1"/>
      <c r="K38" s="26"/>
      <c r="L38" s="1"/>
      <c r="M38" s="1"/>
      <c r="N38" s="1"/>
      <c r="O38" s="54"/>
      <c r="P38" s="11"/>
      <c r="Q38" s="11"/>
      <c r="R38" s="55"/>
    </row>
    <row r="39">
      <c r="A39" s="1"/>
      <c r="B39" s="52"/>
      <c r="C39" s="53"/>
      <c r="D39" s="53"/>
      <c r="E39" s="52"/>
      <c r="F39" s="52"/>
      <c r="G39" s="1"/>
      <c r="H39" s="1"/>
      <c r="I39" s="1"/>
      <c r="J39" s="1"/>
      <c r="K39" s="26"/>
      <c r="L39" s="1"/>
      <c r="M39" s="1"/>
      <c r="N39" s="1"/>
      <c r="O39" s="54"/>
      <c r="P39" s="11"/>
      <c r="Q39" s="11"/>
      <c r="R39" s="55"/>
    </row>
    <row r="40">
      <c r="A40" s="1"/>
      <c r="B40" s="52"/>
      <c r="C40" s="53"/>
      <c r="D40" s="53"/>
      <c r="E40" s="52"/>
      <c r="F40" s="52"/>
      <c r="G40" s="1"/>
      <c r="H40" s="1"/>
      <c r="I40" s="1"/>
      <c r="J40" s="1"/>
      <c r="K40" s="26"/>
      <c r="L40" s="1"/>
      <c r="M40" s="1"/>
      <c r="N40" s="1"/>
      <c r="O40" s="54"/>
      <c r="P40" s="11"/>
      <c r="Q40" s="11"/>
      <c r="R40" s="55"/>
    </row>
    <row r="41">
      <c r="A41" s="1"/>
      <c r="B41" s="52"/>
      <c r="C41" s="53"/>
      <c r="D41" s="53"/>
      <c r="E41" s="52"/>
      <c r="F41" s="52"/>
      <c r="G41" s="1"/>
      <c r="H41" s="1"/>
      <c r="I41" s="1"/>
      <c r="J41" s="1"/>
      <c r="K41" s="26"/>
      <c r="L41" s="1"/>
      <c r="M41" s="1"/>
      <c r="N41" s="1"/>
      <c r="O41" s="54"/>
      <c r="P41" s="11"/>
      <c r="Q41" s="11"/>
      <c r="R41" s="55"/>
    </row>
    <row r="42">
      <c r="A42" s="1"/>
      <c r="B42" s="52"/>
      <c r="C42" s="53"/>
      <c r="D42" s="53"/>
      <c r="E42" s="52"/>
      <c r="F42" s="52"/>
      <c r="G42" s="1"/>
      <c r="H42" s="1"/>
      <c r="I42" s="1"/>
      <c r="J42" s="1"/>
      <c r="K42" s="26"/>
      <c r="L42" s="1"/>
      <c r="M42" s="1"/>
      <c r="N42" s="1"/>
      <c r="O42" s="54"/>
      <c r="P42" s="11"/>
      <c r="Q42" s="11"/>
      <c r="R42" s="55"/>
    </row>
    <row r="43">
      <c r="A43" s="1"/>
      <c r="B43" s="52"/>
      <c r="C43" s="53"/>
      <c r="D43" s="53"/>
      <c r="E43" s="52"/>
      <c r="F43" s="52"/>
      <c r="G43" s="1"/>
      <c r="H43" s="1"/>
      <c r="I43" s="1"/>
      <c r="J43" s="1"/>
      <c r="K43" s="26"/>
      <c r="L43" s="1"/>
      <c r="M43" s="1"/>
      <c r="N43" s="1"/>
      <c r="O43" s="54"/>
      <c r="P43" s="11"/>
      <c r="Q43" s="11"/>
      <c r="R43" s="55"/>
    </row>
    <row r="44">
      <c r="A44" s="1"/>
      <c r="B44" s="52"/>
      <c r="C44" s="53"/>
      <c r="D44" s="53"/>
      <c r="E44" s="52"/>
      <c r="F44" s="52"/>
      <c r="G44" s="1"/>
      <c r="H44" s="1"/>
      <c r="I44" s="1"/>
      <c r="J44" s="1"/>
      <c r="K44" s="26"/>
      <c r="L44" s="1"/>
      <c r="M44" s="1"/>
      <c r="N44" s="1"/>
      <c r="O44" s="54"/>
      <c r="P44" s="11"/>
      <c r="Q44" s="11"/>
      <c r="R44" s="55"/>
    </row>
    <row r="45">
      <c r="A45" s="1"/>
      <c r="B45" s="52"/>
      <c r="C45" s="53"/>
      <c r="D45" s="53"/>
      <c r="E45" s="52"/>
      <c r="F45" s="52"/>
      <c r="G45" s="1"/>
      <c r="H45" s="1"/>
      <c r="I45" s="1"/>
      <c r="J45" s="1"/>
      <c r="K45" s="26"/>
      <c r="L45" s="1"/>
      <c r="M45" s="1"/>
      <c r="N45" s="1"/>
      <c r="O45" s="54"/>
      <c r="P45" s="11"/>
      <c r="Q45" s="11"/>
      <c r="R45" s="55"/>
    </row>
    <row r="46">
      <c r="A46" s="1"/>
      <c r="B46" s="52"/>
      <c r="C46" s="53"/>
      <c r="D46" s="53"/>
      <c r="E46" s="52"/>
      <c r="F46" s="52"/>
      <c r="G46" s="1"/>
      <c r="H46" s="1"/>
      <c r="I46" s="1"/>
      <c r="J46" s="1"/>
      <c r="K46" s="26"/>
      <c r="L46" s="1"/>
      <c r="M46" s="1"/>
      <c r="N46" s="1"/>
      <c r="O46" s="54"/>
      <c r="P46" s="11"/>
      <c r="Q46" s="11"/>
      <c r="R46" s="55"/>
    </row>
    <row r="47">
      <c r="A47" s="1"/>
      <c r="B47" s="52"/>
      <c r="C47" s="53"/>
      <c r="D47" s="53"/>
      <c r="E47" s="52"/>
      <c r="F47" s="52"/>
      <c r="G47" s="1"/>
      <c r="H47" s="1"/>
      <c r="I47" s="1"/>
      <c r="J47" s="1"/>
      <c r="K47" s="26"/>
      <c r="L47" s="1"/>
      <c r="M47" s="1"/>
      <c r="N47" s="1"/>
      <c r="O47" s="54"/>
      <c r="P47" s="11"/>
      <c r="Q47" s="11"/>
      <c r="R47" s="55"/>
    </row>
    <row r="48">
      <c r="A48" s="1"/>
      <c r="B48" s="52"/>
      <c r="C48" s="53"/>
      <c r="D48" s="53"/>
      <c r="E48" s="52"/>
      <c r="F48" s="52"/>
      <c r="G48" s="1"/>
      <c r="H48" s="1"/>
      <c r="I48" s="1"/>
      <c r="J48" s="1"/>
      <c r="K48" s="26"/>
      <c r="L48" s="1"/>
      <c r="M48" s="1"/>
      <c r="N48" s="1"/>
      <c r="O48" s="54"/>
      <c r="P48" s="11"/>
      <c r="Q48" s="11"/>
      <c r="R48" s="55"/>
    </row>
    <row r="49">
      <c r="A49" s="1"/>
      <c r="B49" s="52"/>
      <c r="C49" s="53"/>
      <c r="D49" s="53"/>
      <c r="E49" s="52"/>
      <c r="F49" s="52"/>
      <c r="G49" s="1"/>
      <c r="H49" s="1"/>
      <c r="I49" s="1"/>
      <c r="J49" s="1"/>
      <c r="K49" s="26"/>
      <c r="L49" s="1"/>
      <c r="M49" s="1"/>
      <c r="N49" s="1"/>
      <c r="O49" s="54"/>
      <c r="P49" s="11"/>
      <c r="Q49" s="11"/>
      <c r="R49" s="55"/>
    </row>
    <row r="50">
      <c r="A50" s="1"/>
      <c r="B50" s="52"/>
      <c r="C50" s="53"/>
      <c r="D50" s="53"/>
      <c r="E50" s="52"/>
      <c r="F50" s="52"/>
      <c r="G50" s="1"/>
      <c r="H50" s="1"/>
      <c r="I50" s="1"/>
      <c r="J50" s="1"/>
      <c r="K50" s="26"/>
      <c r="L50" s="1"/>
      <c r="M50" s="1"/>
      <c r="N50" s="1"/>
      <c r="O50" s="54"/>
      <c r="P50" s="11"/>
      <c r="Q50" s="11"/>
      <c r="R50" s="55"/>
    </row>
    <row r="51">
      <c r="A51" s="1"/>
      <c r="B51" s="52"/>
      <c r="C51" s="53"/>
      <c r="D51" s="53"/>
      <c r="E51" s="52"/>
      <c r="F51" s="52"/>
      <c r="G51" s="1"/>
      <c r="H51" s="1"/>
      <c r="I51" s="1"/>
      <c r="J51" s="1"/>
      <c r="K51" s="26"/>
      <c r="L51" s="1"/>
      <c r="M51" s="1"/>
      <c r="N51" s="1"/>
      <c r="O51" s="54"/>
      <c r="P51" s="11"/>
      <c r="Q51" s="11"/>
      <c r="R51" s="55"/>
    </row>
    <row r="52">
      <c r="A52" s="1"/>
      <c r="B52" s="52"/>
      <c r="C52" s="53"/>
      <c r="D52" s="53"/>
      <c r="E52" s="52"/>
      <c r="F52" s="52"/>
      <c r="G52" s="1"/>
      <c r="H52" s="1"/>
      <c r="I52" s="1"/>
      <c r="J52" s="1"/>
      <c r="K52" s="26"/>
      <c r="L52" s="1"/>
      <c r="M52" s="1"/>
      <c r="N52" s="1"/>
      <c r="O52" s="54"/>
      <c r="P52" s="11"/>
      <c r="Q52" s="11"/>
      <c r="R52" s="55"/>
    </row>
    <row r="53">
      <c r="A53" s="9" t="s">
        <v>167</v>
      </c>
      <c r="B53" s="52"/>
      <c r="C53" s="53"/>
      <c r="D53" s="53"/>
      <c r="E53" s="52"/>
      <c r="F53" s="52"/>
      <c r="G53" s="1"/>
      <c r="H53" s="1"/>
      <c r="I53" s="1"/>
      <c r="J53" s="1"/>
      <c r="K53" s="26"/>
      <c r="L53" s="1"/>
      <c r="M53" s="1"/>
      <c r="N53" s="1"/>
      <c r="O53" s="54"/>
      <c r="P53" s="11"/>
      <c r="Q53" s="11"/>
      <c r="R53" s="55"/>
    </row>
    <row r="54">
      <c r="A54" s="49" t="s">
        <v>131</v>
      </c>
      <c r="B54" s="59" t="s">
        <v>89</v>
      </c>
      <c r="C54" s="60" t="s">
        <v>132</v>
      </c>
      <c r="D54" s="60" t="s">
        <v>111</v>
      </c>
      <c r="E54" s="59" t="s">
        <v>133</v>
      </c>
      <c r="F54" s="59" t="s">
        <v>134</v>
      </c>
      <c r="G54" s="49" t="s">
        <v>135</v>
      </c>
      <c r="H54" s="49" t="s">
        <v>136</v>
      </c>
      <c r="I54" s="49" t="s">
        <v>137</v>
      </c>
      <c r="J54" s="49" t="s">
        <v>138</v>
      </c>
      <c r="K54" s="49" t="s">
        <v>28</v>
      </c>
      <c r="L54" s="49" t="s">
        <v>139</v>
      </c>
      <c r="M54" s="49" t="s">
        <v>140</v>
      </c>
      <c r="N54" s="49" t="s">
        <v>141</v>
      </c>
      <c r="O54" s="54"/>
      <c r="P54" s="11"/>
      <c r="Q54" s="11"/>
      <c r="R54" s="55"/>
    </row>
    <row r="55">
      <c r="A55" s="1" t="s">
        <v>146</v>
      </c>
      <c r="B55" s="52">
        <v>8.54891102E9</v>
      </c>
      <c r="C55" s="53">
        <v>1.401460823E7</v>
      </c>
      <c r="D55" s="53">
        <v>1638664.0</v>
      </c>
      <c r="E55" s="52">
        <v>141924.0</v>
      </c>
      <c r="F55" s="52">
        <v>9641492.0</v>
      </c>
      <c r="G55" s="27">
        <v>5217.0</v>
      </c>
      <c r="H55" s="27">
        <v>5217.0</v>
      </c>
      <c r="I55" s="1">
        <v>100.0</v>
      </c>
      <c r="J55" s="1">
        <v>1.15</v>
      </c>
      <c r="K55" s="26">
        <v>0.98</v>
      </c>
      <c r="L55" s="1" t="s">
        <v>168</v>
      </c>
      <c r="M55" s="1" t="s">
        <v>146</v>
      </c>
      <c r="N55" s="1">
        <v>100.0</v>
      </c>
      <c r="O55" s="54"/>
      <c r="P55" s="11"/>
      <c r="Q55" s="11"/>
      <c r="R55" s="55"/>
    </row>
    <row r="56">
      <c r="A56" s="1" t="s">
        <v>150</v>
      </c>
      <c r="B56" s="52">
        <v>2.753070575E9</v>
      </c>
      <c r="C56" s="53">
        <v>4513230.45</v>
      </c>
      <c r="D56" s="53">
        <v>2305754.0</v>
      </c>
      <c r="E56" s="52">
        <v>921204.0</v>
      </c>
      <c r="F56" s="52">
        <v>9641492.0</v>
      </c>
      <c r="G56" s="27">
        <v>1194.0</v>
      </c>
      <c r="H56" s="27">
        <v>1194.0</v>
      </c>
      <c r="I56" s="1">
        <v>100.0</v>
      </c>
      <c r="J56" s="1">
        <v>2.59</v>
      </c>
      <c r="K56" s="26">
        <v>1.0</v>
      </c>
      <c r="L56" s="1" t="s">
        <v>169</v>
      </c>
      <c r="M56" s="1" t="s">
        <v>150</v>
      </c>
      <c r="N56" s="1">
        <v>1.0</v>
      </c>
      <c r="O56" s="54"/>
      <c r="P56" s="11"/>
      <c r="Q56" s="11"/>
      <c r="R56" s="55"/>
    </row>
    <row r="57">
      <c r="A57" s="1" t="s">
        <v>170</v>
      </c>
      <c r="B57" s="52">
        <v>2.682839598E9</v>
      </c>
      <c r="C57" s="53">
        <v>4398097.7</v>
      </c>
      <c r="D57" s="53">
        <v>2289112.0</v>
      </c>
      <c r="E57" s="52">
        <v>481409.0</v>
      </c>
      <c r="F57" s="52">
        <v>8340277.0</v>
      </c>
      <c r="G57" s="27">
        <v>1172.0</v>
      </c>
      <c r="H57" s="27">
        <v>1172.0</v>
      </c>
      <c r="I57" s="1">
        <v>100.0</v>
      </c>
      <c r="J57" s="1">
        <v>2.62</v>
      </c>
      <c r="K57" s="26">
        <v>1.0</v>
      </c>
      <c r="L57" s="1" t="s">
        <v>171</v>
      </c>
      <c r="M57" s="1" t="s">
        <v>172</v>
      </c>
      <c r="N57" s="1">
        <v>1.0</v>
      </c>
      <c r="O57" s="54"/>
      <c r="P57" s="11"/>
      <c r="Q57" s="11"/>
      <c r="R57" s="55"/>
    </row>
    <row r="58">
      <c r="A58" s="1" t="s">
        <v>157</v>
      </c>
      <c r="B58" s="52">
        <v>7.49332143E8</v>
      </c>
      <c r="C58" s="53">
        <v>1228413.35</v>
      </c>
      <c r="D58" s="53">
        <v>1892253.0</v>
      </c>
      <c r="E58" s="52">
        <v>1236413.0</v>
      </c>
      <c r="F58" s="52">
        <v>6160067.0</v>
      </c>
      <c r="G58" s="1">
        <v>396.0</v>
      </c>
      <c r="H58" s="1">
        <v>396.0</v>
      </c>
      <c r="I58" s="1">
        <v>100.0</v>
      </c>
      <c r="J58" s="1">
        <v>18.47</v>
      </c>
      <c r="K58" s="26">
        <v>1.0</v>
      </c>
      <c r="L58" s="1" t="s">
        <v>173</v>
      </c>
      <c r="M58" s="1" t="s">
        <v>156</v>
      </c>
      <c r="N58" s="1">
        <v>2.0</v>
      </c>
      <c r="O58" s="54"/>
      <c r="P58" s="11"/>
      <c r="Q58" s="11"/>
      <c r="R58" s="55"/>
    </row>
    <row r="59">
      <c r="A59" s="1" t="s">
        <v>174</v>
      </c>
      <c r="B59" s="52">
        <v>2.78226483E8</v>
      </c>
      <c r="C59" s="53">
        <v>456108.99</v>
      </c>
      <c r="D59" s="53">
        <v>1253273.0</v>
      </c>
      <c r="E59" s="52">
        <v>421388.0</v>
      </c>
      <c r="F59" s="52">
        <v>3493973.0</v>
      </c>
      <c r="G59" s="1">
        <v>222.0</v>
      </c>
      <c r="H59" s="1">
        <v>222.0</v>
      </c>
      <c r="I59" s="1">
        <v>100.0</v>
      </c>
      <c r="J59" s="1">
        <v>2.88</v>
      </c>
      <c r="K59" s="26">
        <v>1.0</v>
      </c>
      <c r="L59" s="1" t="s">
        <v>175</v>
      </c>
      <c r="M59" s="1" t="s">
        <v>150</v>
      </c>
      <c r="N59" s="1">
        <v>2.0</v>
      </c>
      <c r="O59" s="54"/>
      <c r="P59" s="11"/>
      <c r="Q59" s="11"/>
      <c r="R59" s="55"/>
    </row>
    <row r="60">
      <c r="A60" s="1" t="s">
        <v>176</v>
      </c>
      <c r="B60" s="52">
        <v>2.07933885E8</v>
      </c>
      <c r="C60" s="53">
        <v>340875.22</v>
      </c>
      <c r="D60" s="53">
        <v>1130076.0</v>
      </c>
      <c r="E60" s="52">
        <v>449125.0</v>
      </c>
      <c r="F60" s="52">
        <v>4165146.0</v>
      </c>
      <c r="G60" s="1">
        <v>184.0</v>
      </c>
      <c r="H60" s="1">
        <v>184.0</v>
      </c>
      <c r="I60" s="1">
        <v>100.0</v>
      </c>
      <c r="J60" s="1">
        <v>3.42</v>
      </c>
      <c r="K60" s="26">
        <v>1.0</v>
      </c>
      <c r="L60" s="1" t="s">
        <v>177</v>
      </c>
      <c r="M60" s="1" t="s">
        <v>156</v>
      </c>
      <c r="N60" s="1">
        <v>2.0</v>
      </c>
      <c r="O60" s="54"/>
      <c r="P60" s="11"/>
      <c r="Q60" s="11"/>
      <c r="R60" s="55"/>
    </row>
    <row r="61">
      <c r="A61" s="1"/>
      <c r="B61" s="52"/>
      <c r="C61" s="53"/>
      <c r="D61" s="53"/>
      <c r="E61" s="52"/>
      <c r="F61" s="52"/>
      <c r="G61" s="1"/>
      <c r="H61" s="1"/>
      <c r="I61" s="1"/>
      <c r="J61" s="1"/>
      <c r="K61" s="26"/>
      <c r="L61" s="1"/>
      <c r="M61" s="1"/>
      <c r="N61" s="1"/>
      <c r="O61" s="54"/>
      <c r="P61" s="11"/>
      <c r="Q61" s="11"/>
      <c r="R61" s="55"/>
    </row>
    <row r="62">
      <c r="A62" s="1" t="s">
        <v>178</v>
      </c>
      <c r="B62" s="52">
        <v>1.76911096E8</v>
      </c>
      <c r="C62" s="53">
        <v>290018.19</v>
      </c>
      <c r="D62" s="53">
        <v>581944.4</v>
      </c>
      <c r="E62" s="52">
        <v>161378.0</v>
      </c>
      <c r="F62" s="52">
        <v>7420526.0</v>
      </c>
      <c r="G62" s="1">
        <v>304.0</v>
      </c>
      <c r="H62" s="1">
        <v>304.0</v>
      </c>
      <c r="I62" s="1">
        <v>100.0</v>
      </c>
      <c r="J62" s="1">
        <v>2.18</v>
      </c>
      <c r="K62" s="26">
        <v>1.0</v>
      </c>
      <c r="L62" s="1" t="s">
        <v>179</v>
      </c>
      <c r="M62" s="1" t="s">
        <v>150</v>
      </c>
      <c r="N62" s="1">
        <v>2.0</v>
      </c>
      <c r="O62" s="54"/>
      <c r="P62" s="11"/>
      <c r="Q62" s="11"/>
      <c r="R62" s="55"/>
    </row>
    <row r="63">
      <c r="A63" s="1" t="s">
        <v>180</v>
      </c>
      <c r="B63" s="52">
        <v>1.73982685E8</v>
      </c>
      <c r="C63" s="53">
        <v>285217.52</v>
      </c>
      <c r="D63" s="53">
        <v>940446.9</v>
      </c>
      <c r="E63" s="52">
        <v>554256.0</v>
      </c>
      <c r="F63" s="52">
        <v>2796474.0</v>
      </c>
      <c r="G63" s="1">
        <v>185.0</v>
      </c>
      <c r="H63" s="1">
        <v>185.0</v>
      </c>
      <c r="I63" s="1">
        <v>100.0</v>
      </c>
      <c r="J63" s="1">
        <v>4.06</v>
      </c>
      <c r="K63" s="26">
        <v>1.0</v>
      </c>
      <c r="L63" s="1" t="s">
        <v>181</v>
      </c>
      <c r="M63" s="1" t="s">
        <v>182</v>
      </c>
      <c r="N63" s="1">
        <v>2.0</v>
      </c>
      <c r="O63" s="54"/>
      <c r="P63" s="11"/>
      <c r="Q63" s="11"/>
      <c r="R63" s="55"/>
    </row>
    <row r="64">
      <c r="A64" s="1" t="s">
        <v>183</v>
      </c>
      <c r="B64" s="52">
        <v>1.62020588E8</v>
      </c>
      <c r="C64" s="53">
        <v>265607.52</v>
      </c>
      <c r="D64" s="53">
        <v>2945829.0</v>
      </c>
      <c r="E64" s="52">
        <v>1780564.0</v>
      </c>
      <c r="F64" s="52">
        <v>5132645.0</v>
      </c>
      <c r="G64" s="1">
        <v>55.0</v>
      </c>
      <c r="H64" s="1">
        <v>55.0</v>
      </c>
      <c r="I64" s="1">
        <v>100.0</v>
      </c>
      <c r="J64" s="1">
        <v>17.48</v>
      </c>
      <c r="K64" s="26">
        <v>1.0</v>
      </c>
      <c r="L64" s="1" t="s">
        <v>184</v>
      </c>
      <c r="M64" s="1" t="s">
        <v>156</v>
      </c>
      <c r="N64" s="1">
        <v>2.0</v>
      </c>
      <c r="O64" s="54"/>
      <c r="P64" s="11"/>
      <c r="Q64" s="11"/>
      <c r="R64" s="55"/>
    </row>
    <row r="65">
      <c r="A65" s="1" t="s">
        <v>185</v>
      </c>
      <c r="B65" s="52">
        <v>1.17580238E8</v>
      </c>
      <c r="C65" s="53">
        <v>192754.49</v>
      </c>
      <c r="D65" s="53">
        <v>789129.1</v>
      </c>
      <c r="E65" s="52">
        <v>445264.0</v>
      </c>
      <c r="F65" s="52">
        <v>2533036.0</v>
      </c>
      <c r="G65" s="1">
        <v>149.0</v>
      </c>
      <c r="H65" s="1">
        <v>149.0</v>
      </c>
      <c r="I65" s="1">
        <v>100.0</v>
      </c>
      <c r="J65" s="1">
        <v>4.07</v>
      </c>
      <c r="K65" s="26">
        <v>1.0</v>
      </c>
      <c r="L65" s="1" t="s">
        <v>186</v>
      </c>
      <c r="M65" s="1" t="s">
        <v>187</v>
      </c>
      <c r="N65" s="1">
        <v>2.0</v>
      </c>
      <c r="O65" s="54"/>
      <c r="P65" s="11"/>
      <c r="Q65" s="11"/>
      <c r="R65" s="55"/>
    </row>
    <row r="66" ht="15.0" customHeight="1">
      <c r="A66" s="1" t="s">
        <v>188</v>
      </c>
      <c r="B66" s="52">
        <v>9.7536943E7</v>
      </c>
      <c r="C66" s="53">
        <v>159896.63</v>
      </c>
      <c r="D66" s="53">
        <v>1500568.0</v>
      </c>
      <c r="E66" s="52">
        <v>1073748.0</v>
      </c>
      <c r="F66" s="52">
        <v>3717967.0</v>
      </c>
      <c r="G66" s="1">
        <v>65.0</v>
      </c>
      <c r="H66" s="1">
        <v>65.0</v>
      </c>
      <c r="I66" s="1">
        <v>100.0</v>
      </c>
      <c r="J66" s="1">
        <v>9.83</v>
      </c>
      <c r="K66" s="26">
        <v>1.0</v>
      </c>
      <c r="L66" s="1" t="s">
        <v>189</v>
      </c>
      <c r="M66" s="1" t="s">
        <v>190</v>
      </c>
      <c r="N66" s="1">
        <v>2.0</v>
      </c>
      <c r="O66" s="54"/>
      <c r="P66" s="11"/>
      <c r="Q66" s="11"/>
      <c r="R66" s="55"/>
    </row>
    <row r="67">
      <c r="A67" s="1" t="s">
        <v>191</v>
      </c>
      <c r="B67" s="52">
        <v>9.6624741E7</v>
      </c>
      <c r="C67" s="53">
        <v>158401.21</v>
      </c>
      <c r="D67" s="53">
        <v>3220825.0</v>
      </c>
      <c r="E67" s="52">
        <v>2160739.0</v>
      </c>
      <c r="F67" s="52">
        <v>4642309.0</v>
      </c>
      <c r="G67" s="1">
        <v>30.0</v>
      </c>
      <c r="H67" s="1">
        <v>30.0</v>
      </c>
      <c r="I67" s="1">
        <v>100.0</v>
      </c>
      <c r="J67" s="1">
        <v>23.46</v>
      </c>
      <c r="K67" s="26">
        <v>1.0</v>
      </c>
      <c r="L67" s="1" t="s">
        <v>192</v>
      </c>
      <c r="M67" s="1" t="s">
        <v>193</v>
      </c>
      <c r="N67" s="1">
        <v>2.0</v>
      </c>
      <c r="O67" s="54"/>
      <c r="P67" s="11"/>
      <c r="Q67" s="11"/>
      <c r="R67" s="55"/>
    </row>
    <row r="68">
      <c r="A68" s="1" t="s">
        <v>194</v>
      </c>
      <c r="B68" s="52">
        <v>8.5645967E7</v>
      </c>
      <c r="C68" s="61">
        <v>140403.22</v>
      </c>
      <c r="D68" s="53">
        <v>839666.4</v>
      </c>
      <c r="E68" s="52">
        <v>245574.0</v>
      </c>
      <c r="F68" s="52">
        <v>1976607.0</v>
      </c>
      <c r="G68" s="1">
        <v>102.0</v>
      </c>
      <c r="H68" s="1">
        <v>102.0</v>
      </c>
      <c r="I68" s="1">
        <v>100.0</v>
      </c>
      <c r="J68" s="1">
        <v>15.37</v>
      </c>
      <c r="K68" s="26">
        <v>1.0</v>
      </c>
      <c r="L68" s="1" t="s">
        <v>195</v>
      </c>
      <c r="M68" s="1" t="s">
        <v>187</v>
      </c>
      <c r="N68" s="1">
        <v>2.0</v>
      </c>
      <c r="O68" s="54"/>
      <c r="P68" s="11"/>
      <c r="Q68" s="11"/>
      <c r="R68" s="55"/>
    </row>
    <row r="69">
      <c r="A69" s="1" t="s">
        <v>196</v>
      </c>
      <c r="B69" s="52">
        <v>8.4683595E7</v>
      </c>
      <c r="C69" s="61">
        <v>138825.57</v>
      </c>
      <c r="D69" s="53">
        <v>930588.9</v>
      </c>
      <c r="E69" s="52">
        <v>640197.0</v>
      </c>
      <c r="F69" s="52">
        <v>2389714.0</v>
      </c>
      <c r="G69" s="1">
        <v>91.0</v>
      </c>
      <c r="H69" s="1">
        <v>91.0</v>
      </c>
      <c r="I69" s="1">
        <v>100.0</v>
      </c>
      <c r="J69" s="1">
        <v>6.61</v>
      </c>
      <c r="K69" s="26">
        <v>1.0</v>
      </c>
      <c r="L69" s="1" t="s">
        <v>197</v>
      </c>
      <c r="M69" s="1" t="s">
        <v>182</v>
      </c>
      <c r="N69" s="1">
        <v>2.0</v>
      </c>
      <c r="O69" s="54"/>
      <c r="P69" s="11"/>
      <c r="Q69" s="11"/>
      <c r="R69" s="55"/>
    </row>
    <row r="70">
      <c r="A70" s="1"/>
      <c r="B70" s="52"/>
      <c r="C70" s="61"/>
      <c r="D70" s="53"/>
      <c r="E70" s="52"/>
      <c r="F70" s="52"/>
      <c r="G70" s="1"/>
      <c r="H70" s="1"/>
      <c r="I70" s="1"/>
      <c r="J70" s="1"/>
      <c r="K70" s="26"/>
      <c r="L70" s="1"/>
      <c r="M70" s="1"/>
      <c r="N70" s="1"/>
      <c r="O70" s="54"/>
      <c r="P70" s="11"/>
      <c r="Q70" s="11"/>
      <c r="R70" s="55"/>
    </row>
    <row r="71">
      <c r="A71" s="1"/>
      <c r="B71" s="27"/>
      <c r="C71" s="61"/>
      <c r="D71" s="61"/>
      <c r="E71" s="27"/>
      <c r="F71" s="27"/>
      <c r="G71" s="1"/>
      <c r="H71" s="1"/>
      <c r="I71" s="1"/>
      <c r="J71" s="1"/>
      <c r="K71" s="26"/>
      <c r="L71" s="1"/>
      <c r="M71" s="1"/>
      <c r="N71" s="1"/>
      <c r="O71" s="54"/>
      <c r="P71" s="11"/>
      <c r="Q71" s="11"/>
      <c r="R71" s="55"/>
    </row>
    <row r="72">
      <c r="A72" s="1" t="s">
        <v>198</v>
      </c>
      <c r="B72" s="27">
        <v>5.9743158E7</v>
      </c>
      <c r="C72" s="61">
        <v>97939.6</v>
      </c>
      <c r="D72" s="61">
        <v>406416.1</v>
      </c>
      <c r="E72" s="27">
        <v>171308.0</v>
      </c>
      <c r="F72" s="27">
        <v>1124535.0</v>
      </c>
      <c r="G72" s="1">
        <v>147.0</v>
      </c>
      <c r="H72" s="1">
        <v>147.0</v>
      </c>
      <c r="I72" s="1">
        <v>100.0</v>
      </c>
      <c r="J72" s="1">
        <v>7.74</v>
      </c>
      <c r="K72" s="26">
        <v>1.0</v>
      </c>
      <c r="L72" s="1" t="s">
        <v>199</v>
      </c>
      <c r="M72" s="1" t="s">
        <v>187</v>
      </c>
      <c r="N72" s="1">
        <v>2.0</v>
      </c>
      <c r="O72" s="33"/>
    </row>
    <row r="73">
      <c r="A73" s="1"/>
      <c r="B73" s="27"/>
      <c r="C73" s="61"/>
      <c r="D73" s="61"/>
      <c r="E73" s="27"/>
      <c r="F73" s="27"/>
      <c r="G73" s="1"/>
      <c r="H73" s="1"/>
      <c r="I73" s="1"/>
      <c r="J73" s="1"/>
      <c r="K73" s="26"/>
      <c r="L73" s="1"/>
      <c r="M73" s="1"/>
      <c r="N73" s="1"/>
      <c r="O73" s="33"/>
    </row>
    <row r="74">
      <c r="A74" s="1" t="s">
        <v>200</v>
      </c>
      <c r="B74" s="27">
        <v>5.6354546E7</v>
      </c>
      <c r="C74" s="61">
        <v>92384.5</v>
      </c>
      <c r="D74" s="61">
        <v>1761080.0</v>
      </c>
      <c r="E74" s="27">
        <v>1071865.0</v>
      </c>
      <c r="F74" s="27">
        <v>3984007.0</v>
      </c>
      <c r="G74" s="1">
        <v>32.0</v>
      </c>
      <c r="H74" s="1">
        <v>32.0</v>
      </c>
      <c r="I74" s="1">
        <v>100.0</v>
      </c>
      <c r="J74" s="1">
        <v>18.58</v>
      </c>
      <c r="K74" s="26">
        <v>1.0</v>
      </c>
      <c r="L74" s="1" t="s">
        <v>201</v>
      </c>
      <c r="M74" s="1" t="s">
        <v>150</v>
      </c>
      <c r="N74" s="1">
        <v>2.0</v>
      </c>
      <c r="O74" s="33"/>
    </row>
    <row r="75">
      <c r="A75" s="1" t="s">
        <v>202</v>
      </c>
      <c r="B75" s="27">
        <v>5.4020084E7</v>
      </c>
      <c r="C75" s="61">
        <v>88557.51</v>
      </c>
      <c r="D75" s="61">
        <v>406166.0</v>
      </c>
      <c r="E75" s="27">
        <v>225974.0</v>
      </c>
      <c r="F75" s="27">
        <v>1260307.0</v>
      </c>
      <c r="G75" s="1">
        <v>133.0</v>
      </c>
      <c r="H75" s="1">
        <v>133.0</v>
      </c>
      <c r="I75" s="1">
        <v>100.0</v>
      </c>
      <c r="J75" s="1">
        <v>4.44</v>
      </c>
      <c r="K75" s="26">
        <v>1.0</v>
      </c>
      <c r="L75" s="1" t="s">
        <v>203</v>
      </c>
      <c r="M75" s="1" t="s">
        <v>190</v>
      </c>
      <c r="N75" s="1">
        <v>2.0</v>
      </c>
      <c r="O75" s="33"/>
    </row>
    <row r="76">
      <c r="A76" s="1" t="s">
        <v>204</v>
      </c>
      <c r="B76" s="27">
        <v>4.7317241E7</v>
      </c>
      <c r="C76" s="61">
        <v>77569.25</v>
      </c>
      <c r="D76" s="61">
        <v>985775.8</v>
      </c>
      <c r="E76" s="27">
        <v>627493.0</v>
      </c>
      <c r="F76" s="27">
        <v>1873114.0</v>
      </c>
      <c r="G76" s="1">
        <v>48.0</v>
      </c>
      <c r="H76" s="1">
        <v>48.0</v>
      </c>
      <c r="I76" s="1">
        <v>100.0</v>
      </c>
      <c r="J76" s="1">
        <v>13.58</v>
      </c>
      <c r="K76" s="26">
        <v>1.0</v>
      </c>
      <c r="L76" s="1" t="s">
        <v>205</v>
      </c>
      <c r="M76" s="1" t="s">
        <v>187</v>
      </c>
      <c r="N76" s="1">
        <v>2.0</v>
      </c>
      <c r="O76" s="33"/>
    </row>
    <row r="77">
      <c r="A77" s="1" t="s">
        <v>206</v>
      </c>
      <c r="B77" s="27">
        <v>4.425228E7</v>
      </c>
      <c r="C77" s="61">
        <v>72544.72</v>
      </c>
      <c r="D77" s="61">
        <v>650768.8</v>
      </c>
      <c r="E77" s="27">
        <v>424871.0</v>
      </c>
      <c r="F77" s="27">
        <v>1625209.0</v>
      </c>
      <c r="G77" s="1">
        <v>68.0</v>
      </c>
      <c r="H77" s="1">
        <v>68.0</v>
      </c>
      <c r="I77" s="1">
        <v>100.0</v>
      </c>
      <c r="J77" s="1">
        <v>8.74</v>
      </c>
      <c r="K77" s="26">
        <v>1.0</v>
      </c>
      <c r="L77" s="1" t="s">
        <v>207</v>
      </c>
      <c r="M77" s="1" t="s">
        <v>150</v>
      </c>
      <c r="N77" s="1">
        <v>2.0</v>
      </c>
      <c r="O77" s="33"/>
    </row>
    <row r="78">
      <c r="A78" s="1" t="s">
        <v>208</v>
      </c>
      <c r="B78" s="27">
        <v>4.0827099E7</v>
      </c>
      <c r="C78" s="61">
        <v>66929.67</v>
      </c>
      <c r="D78" s="61">
        <v>618592.4</v>
      </c>
      <c r="E78" s="27">
        <v>380107.0</v>
      </c>
      <c r="F78" s="27">
        <v>1617388.0</v>
      </c>
      <c r="G78" s="1">
        <v>66.0</v>
      </c>
      <c r="H78" s="1">
        <v>66.0</v>
      </c>
      <c r="I78" s="1">
        <v>100.0</v>
      </c>
      <c r="J78" s="1">
        <v>9.18</v>
      </c>
      <c r="K78" s="26">
        <v>1.0</v>
      </c>
      <c r="L78" s="1" t="s">
        <v>209</v>
      </c>
      <c r="M78" s="1" t="s">
        <v>210</v>
      </c>
      <c r="N78" s="1">
        <v>2.0</v>
      </c>
      <c r="O78" s="33"/>
    </row>
    <row r="79">
      <c r="A79" s="1" t="s">
        <v>211</v>
      </c>
      <c r="B79" s="27">
        <v>3.5117514E7</v>
      </c>
      <c r="C79" s="61">
        <v>57569.7</v>
      </c>
      <c r="D79" s="61">
        <v>2341168.0</v>
      </c>
      <c r="E79" s="27">
        <v>1453576.0</v>
      </c>
      <c r="F79" s="27">
        <v>2971171.0</v>
      </c>
      <c r="G79" s="1">
        <v>15.0</v>
      </c>
      <c r="H79" s="1">
        <v>15.0</v>
      </c>
      <c r="I79" s="1">
        <v>100.0</v>
      </c>
      <c r="J79" s="1">
        <v>57.0</v>
      </c>
      <c r="K79" s="26">
        <v>1.0</v>
      </c>
      <c r="L79" s="1" t="s">
        <v>212</v>
      </c>
      <c r="M79" s="1" t="s">
        <v>187</v>
      </c>
      <c r="N79" s="1">
        <v>2.0</v>
      </c>
      <c r="O79" s="33"/>
    </row>
    <row r="80">
      <c r="A80" s="1" t="s">
        <v>213</v>
      </c>
      <c r="B80" s="27">
        <v>3.3496093E7</v>
      </c>
      <c r="C80" s="61">
        <v>54911.63</v>
      </c>
      <c r="D80" s="61">
        <v>2392578.0</v>
      </c>
      <c r="E80" s="27">
        <v>1870709.0</v>
      </c>
      <c r="F80" s="27">
        <v>3285604.0</v>
      </c>
      <c r="G80" s="1">
        <v>14.0</v>
      </c>
      <c r="H80" s="1">
        <v>14.0</v>
      </c>
      <c r="I80" s="1">
        <v>100.0</v>
      </c>
      <c r="J80" s="1">
        <v>43.0</v>
      </c>
      <c r="K80" s="26">
        <v>1.0</v>
      </c>
      <c r="L80" s="1" t="s">
        <v>214</v>
      </c>
      <c r="M80" s="1" t="s">
        <v>150</v>
      </c>
      <c r="N80" s="1">
        <v>2.0</v>
      </c>
      <c r="O80" s="33"/>
    </row>
    <row r="81">
      <c r="A81" s="1" t="s">
        <v>215</v>
      </c>
      <c r="B81" s="27">
        <v>2.9370872E7</v>
      </c>
      <c r="C81" s="61">
        <v>48148.97</v>
      </c>
      <c r="D81" s="61">
        <v>554167.4</v>
      </c>
      <c r="E81" s="27">
        <v>432838.0</v>
      </c>
      <c r="F81" s="27">
        <v>560280.0</v>
      </c>
      <c r="G81" s="1">
        <v>53.0</v>
      </c>
      <c r="H81" s="1">
        <v>53.0</v>
      </c>
      <c r="I81" s="1">
        <v>100.0</v>
      </c>
      <c r="J81" s="1">
        <v>11.75</v>
      </c>
      <c r="K81" s="26">
        <v>0.0</v>
      </c>
      <c r="L81" s="1" t="s">
        <v>149</v>
      </c>
      <c r="M81" s="1" t="s">
        <v>210</v>
      </c>
      <c r="N81" s="1">
        <v>2.0</v>
      </c>
      <c r="O81" s="33"/>
    </row>
    <row r="82">
      <c r="A82" s="1" t="s">
        <v>216</v>
      </c>
      <c r="B82" s="27">
        <v>2.7841119E7</v>
      </c>
      <c r="C82" s="61">
        <v>45641.18</v>
      </c>
      <c r="D82" s="61">
        <v>1465322.0</v>
      </c>
      <c r="E82" s="27">
        <v>945554.0</v>
      </c>
      <c r="F82" s="27">
        <v>2478591.0</v>
      </c>
      <c r="G82" s="1">
        <v>19.0</v>
      </c>
      <c r="H82" s="1">
        <v>19.0</v>
      </c>
      <c r="I82" s="1">
        <v>100.0</v>
      </c>
      <c r="J82" s="1">
        <v>32.67</v>
      </c>
      <c r="K82" s="26">
        <v>1.0</v>
      </c>
      <c r="L82" s="1" t="s">
        <v>217</v>
      </c>
      <c r="M82" s="1" t="s">
        <v>150</v>
      </c>
      <c r="N82" s="1">
        <v>2.0</v>
      </c>
      <c r="O82" s="33"/>
    </row>
    <row r="83">
      <c r="A83" s="1" t="s">
        <v>218</v>
      </c>
      <c r="B83" s="27">
        <v>2.1495382E7</v>
      </c>
      <c r="C83" s="61">
        <v>35238.33</v>
      </c>
      <c r="D83" s="61">
        <v>934581.8</v>
      </c>
      <c r="E83" s="27">
        <v>683623.0</v>
      </c>
      <c r="F83" s="27">
        <v>1185267.0</v>
      </c>
      <c r="G83" s="1">
        <v>23.0</v>
      </c>
      <c r="H83" s="1">
        <v>23.0</v>
      </c>
      <c r="I83" s="1">
        <v>100.0</v>
      </c>
      <c r="J83" s="1">
        <v>25.95</v>
      </c>
      <c r="K83" s="26">
        <v>1.0</v>
      </c>
      <c r="L83" s="1" t="s">
        <v>219</v>
      </c>
      <c r="M83" s="1" t="s">
        <v>193</v>
      </c>
      <c r="N83" s="1">
        <v>2.0</v>
      </c>
      <c r="O83" s="33"/>
    </row>
    <row r="84">
      <c r="A84" s="1" t="s">
        <v>220</v>
      </c>
      <c r="B84" s="27">
        <v>1.7165327E7</v>
      </c>
      <c r="C84" s="61">
        <v>28139.88</v>
      </c>
      <c r="D84" s="61">
        <v>817396.6</v>
      </c>
      <c r="E84" s="27">
        <v>509806.0</v>
      </c>
      <c r="F84" s="27">
        <v>2406654.0</v>
      </c>
      <c r="G84" s="1">
        <v>21.0</v>
      </c>
      <c r="H84" s="1">
        <v>21.0</v>
      </c>
      <c r="I84" s="1">
        <v>100.0</v>
      </c>
      <c r="J84" s="1">
        <v>28.75</v>
      </c>
      <c r="K84" s="26">
        <v>1.0</v>
      </c>
      <c r="L84" s="1" t="s">
        <v>221</v>
      </c>
      <c r="M84" s="1" t="s">
        <v>150</v>
      </c>
      <c r="N84" s="1">
        <v>2.0</v>
      </c>
      <c r="O84" s="33"/>
    </row>
    <row r="85">
      <c r="A85" s="1"/>
      <c r="B85" s="27"/>
      <c r="C85" s="61"/>
      <c r="D85" s="61"/>
      <c r="E85" s="27"/>
      <c r="F85" s="27"/>
      <c r="G85" s="1"/>
      <c r="H85" s="1"/>
      <c r="I85" s="1"/>
      <c r="J85" s="1"/>
      <c r="K85" s="26"/>
      <c r="L85" s="1"/>
      <c r="M85" s="1"/>
      <c r="N85" s="1"/>
      <c r="O85" s="33"/>
    </row>
    <row r="86">
      <c r="A86" s="1" t="s">
        <v>222</v>
      </c>
      <c r="B86" s="27">
        <v>2429041.0</v>
      </c>
      <c r="C86" s="61">
        <v>3982.03</v>
      </c>
      <c r="D86" s="61">
        <v>2429041.0</v>
      </c>
      <c r="E86" s="27">
        <v>2429041.0</v>
      </c>
      <c r="F86" s="27">
        <v>2429041.0</v>
      </c>
      <c r="G86" s="1">
        <v>1.0</v>
      </c>
      <c r="H86" s="1">
        <v>1.0</v>
      </c>
      <c r="I86" s="1">
        <v>100.0</v>
      </c>
      <c r="J86" s="1" t="s">
        <v>223</v>
      </c>
      <c r="K86" s="26">
        <v>1.0</v>
      </c>
      <c r="L86" s="1" t="s">
        <v>224</v>
      </c>
      <c r="M86" s="1" t="s">
        <v>150</v>
      </c>
      <c r="N86" s="1">
        <v>2.0</v>
      </c>
      <c r="O86" s="33"/>
    </row>
    <row r="87">
      <c r="A87" s="1" t="s">
        <v>225</v>
      </c>
      <c r="B87" s="27">
        <v>1737428.0</v>
      </c>
      <c r="C87" s="61">
        <v>2848.24</v>
      </c>
      <c r="D87" s="61">
        <v>347485.6</v>
      </c>
      <c r="E87" s="27">
        <v>292339.0</v>
      </c>
      <c r="F87" s="27">
        <v>533362.0</v>
      </c>
      <c r="G87" s="1">
        <v>5.0</v>
      </c>
      <c r="H87" s="1">
        <v>5.0</v>
      </c>
      <c r="I87" s="1">
        <v>100.0</v>
      </c>
      <c r="J87" s="1">
        <v>4.0</v>
      </c>
      <c r="K87" s="26">
        <v>1.0</v>
      </c>
      <c r="L87" s="1" t="s">
        <v>226</v>
      </c>
      <c r="M87" s="1" t="s">
        <v>187</v>
      </c>
      <c r="N87" s="1">
        <v>2.0</v>
      </c>
      <c r="O87" s="33"/>
    </row>
    <row r="88">
      <c r="A88" s="1" t="s">
        <v>227</v>
      </c>
      <c r="B88" s="27">
        <v>925056.0</v>
      </c>
      <c r="C88" s="61">
        <v>1516.49</v>
      </c>
      <c r="D88" s="61">
        <v>925056.0</v>
      </c>
      <c r="E88" s="27">
        <v>925056.0</v>
      </c>
      <c r="F88" s="27">
        <v>925056.0</v>
      </c>
      <c r="G88" s="1">
        <v>1.0</v>
      </c>
      <c r="H88" s="1">
        <v>1.0</v>
      </c>
      <c r="I88" s="1">
        <v>100.0</v>
      </c>
      <c r="J88" s="1" t="s">
        <v>223</v>
      </c>
      <c r="K88" s="26">
        <v>1.0</v>
      </c>
      <c r="L88" s="1" t="s">
        <v>226</v>
      </c>
      <c r="M88" s="1" t="s">
        <v>187</v>
      </c>
      <c r="N88" s="1">
        <v>2.0</v>
      </c>
      <c r="O88" s="33"/>
    </row>
    <row r="89">
      <c r="A89" s="1" t="s">
        <v>228</v>
      </c>
      <c r="B89" s="27">
        <v>1.407012013E9</v>
      </c>
      <c r="C89" s="61">
        <v>2306577.07</v>
      </c>
      <c r="D89" s="61">
        <v>4936884.0</v>
      </c>
      <c r="E89" s="27">
        <v>3718342.0</v>
      </c>
      <c r="F89" s="27">
        <v>5659320.0</v>
      </c>
      <c r="G89" s="1">
        <v>285.0</v>
      </c>
      <c r="H89" s="1">
        <v>285.0</v>
      </c>
      <c r="I89" s="1">
        <v>100.0</v>
      </c>
      <c r="J89" s="1">
        <v>9.37</v>
      </c>
      <c r="K89" s="26">
        <v>0.0</v>
      </c>
      <c r="L89" s="1" t="s">
        <v>149</v>
      </c>
      <c r="M89" s="1" t="s">
        <v>193</v>
      </c>
      <c r="N89" s="1">
        <v>2.0</v>
      </c>
      <c r="O89" s="33"/>
    </row>
    <row r="90">
      <c r="A90" s="1" t="s">
        <v>229</v>
      </c>
      <c r="B90" s="27">
        <v>6.00412291E8</v>
      </c>
      <c r="C90" s="61">
        <v>984282.44</v>
      </c>
      <c r="D90" s="61">
        <v>1563574.0</v>
      </c>
      <c r="E90" s="27">
        <v>621850.0</v>
      </c>
      <c r="F90" s="27">
        <v>5190717.0</v>
      </c>
      <c r="G90" s="1">
        <v>384.0</v>
      </c>
      <c r="H90" s="1">
        <v>384.0</v>
      </c>
      <c r="I90" s="1">
        <v>100.0</v>
      </c>
      <c r="J90" s="1">
        <v>2.08</v>
      </c>
      <c r="K90" s="26">
        <v>1.0</v>
      </c>
      <c r="L90" s="1" t="s">
        <v>230</v>
      </c>
      <c r="M90" s="1" t="s">
        <v>187</v>
      </c>
      <c r="N90" s="1">
        <v>2.0</v>
      </c>
      <c r="O90" s="33"/>
    </row>
    <row r="91">
      <c r="A91" s="1" t="s">
        <v>231</v>
      </c>
      <c r="B91" s="27">
        <v>4.09737647E8</v>
      </c>
      <c r="C91" s="61">
        <v>671701.06</v>
      </c>
      <c r="D91" s="61">
        <v>307380.1</v>
      </c>
      <c r="E91" s="27">
        <v>125569.0</v>
      </c>
      <c r="F91" s="27">
        <v>1003596.0</v>
      </c>
      <c r="G91" s="27">
        <v>1333.0</v>
      </c>
      <c r="H91" s="27">
        <v>1333.0</v>
      </c>
      <c r="I91" s="1">
        <v>100.0</v>
      </c>
      <c r="J91" s="1">
        <v>1.94</v>
      </c>
      <c r="K91" s="26">
        <v>1.0</v>
      </c>
      <c r="L91" s="1" t="s">
        <v>232</v>
      </c>
      <c r="M91" s="1" t="s">
        <v>187</v>
      </c>
      <c r="N91" s="1">
        <v>2.0</v>
      </c>
      <c r="O91" s="33"/>
    </row>
    <row r="92">
      <c r="A92" s="1" t="s">
        <v>233</v>
      </c>
      <c r="B92" s="27">
        <v>6.1134109E7</v>
      </c>
      <c r="C92" s="61">
        <v>100219.85</v>
      </c>
      <c r="D92" s="61">
        <v>1389412.0</v>
      </c>
      <c r="E92" s="27">
        <v>767796.0</v>
      </c>
      <c r="F92" s="27">
        <v>2971216.0</v>
      </c>
      <c r="G92" s="1">
        <v>44.0</v>
      </c>
      <c r="H92" s="1">
        <v>44.0</v>
      </c>
      <c r="I92" s="1">
        <v>100.0</v>
      </c>
      <c r="J92" s="1">
        <v>13.61</v>
      </c>
      <c r="K92" s="26">
        <v>1.0</v>
      </c>
      <c r="L92" s="1" t="s">
        <v>234</v>
      </c>
      <c r="M92" s="1" t="s">
        <v>187</v>
      </c>
      <c r="N92" s="1">
        <v>2.0</v>
      </c>
      <c r="O92" s="33"/>
    </row>
    <row r="93">
      <c r="A93" s="1" t="s">
        <v>235</v>
      </c>
      <c r="B93" s="27">
        <v>5.22639207E8</v>
      </c>
      <c r="C93" s="61">
        <v>856785.59</v>
      </c>
      <c r="D93" s="61">
        <v>759650.0</v>
      </c>
      <c r="E93" s="27">
        <v>375881.0</v>
      </c>
      <c r="F93" s="27">
        <v>3006924.0</v>
      </c>
      <c r="G93" s="1">
        <v>688.0</v>
      </c>
      <c r="H93" s="1">
        <v>688.0</v>
      </c>
      <c r="I93" s="1">
        <v>100.0</v>
      </c>
      <c r="J93" s="1">
        <v>1.39</v>
      </c>
      <c r="K93" s="26">
        <v>1.0</v>
      </c>
      <c r="L93" s="1" t="s">
        <v>236</v>
      </c>
      <c r="M93" s="1" t="s">
        <v>187</v>
      </c>
      <c r="N93" s="1">
        <v>2.0</v>
      </c>
      <c r="O93" s="33"/>
    </row>
    <row r="94">
      <c r="C94" s="62">
        <f>sum(C56:C93)</f>
        <v>18261337.77</v>
      </c>
      <c r="O94" s="33"/>
    </row>
    <row r="95">
      <c r="O95" s="33"/>
    </row>
    <row r="96">
      <c r="O96" s="33"/>
    </row>
    <row r="97">
      <c r="A97" s="1" t="s">
        <v>180</v>
      </c>
      <c r="B97" s="27">
        <v>1.422289404E9</v>
      </c>
      <c r="C97" s="61">
        <v>2331621.97</v>
      </c>
      <c r="D97" s="61">
        <v>993912.9</v>
      </c>
      <c r="E97" s="27">
        <v>509497.0</v>
      </c>
      <c r="F97" s="27">
        <v>4444555.0</v>
      </c>
      <c r="G97" s="27">
        <v>1431.0</v>
      </c>
      <c r="H97" s="27">
        <v>1431.0</v>
      </c>
      <c r="I97" s="1">
        <v>100.0</v>
      </c>
      <c r="J97" s="1">
        <v>2.35</v>
      </c>
      <c r="K97" s="26">
        <v>1.0</v>
      </c>
      <c r="L97" s="1" t="s">
        <v>237</v>
      </c>
      <c r="M97" s="1" t="s">
        <v>182</v>
      </c>
      <c r="N97" s="1">
        <v>2.0</v>
      </c>
      <c r="O97" s="33"/>
    </row>
    <row r="98">
      <c r="A98" s="1" t="s">
        <v>196</v>
      </c>
      <c r="B98" s="27">
        <v>4.37014522E8</v>
      </c>
      <c r="C98" s="61">
        <v>716417.25</v>
      </c>
      <c r="D98" s="61">
        <v>1038039.0</v>
      </c>
      <c r="E98" s="27">
        <v>284709.0</v>
      </c>
      <c r="F98" s="27">
        <v>2772452.0</v>
      </c>
      <c r="G98" s="1">
        <v>421.0</v>
      </c>
      <c r="H98" s="1">
        <v>421.0</v>
      </c>
      <c r="I98" s="1">
        <v>100.0</v>
      </c>
      <c r="J98" s="1">
        <v>1.9</v>
      </c>
      <c r="K98" s="26">
        <v>1.0</v>
      </c>
      <c r="L98" s="1" t="s">
        <v>238</v>
      </c>
      <c r="M98" s="1" t="s">
        <v>182</v>
      </c>
      <c r="N98" s="1">
        <v>2.0</v>
      </c>
      <c r="O98" s="33"/>
    </row>
    <row r="99">
      <c r="O99" s="33"/>
    </row>
    <row r="100">
      <c r="O100" s="33"/>
    </row>
    <row r="101">
      <c r="O101" s="33"/>
    </row>
    <row r="102">
      <c r="O102" s="33"/>
    </row>
    <row r="103">
      <c r="O103" s="33"/>
    </row>
    <row r="104">
      <c r="O104" s="33"/>
    </row>
    <row r="105">
      <c r="A105" s="9" t="s">
        <v>239</v>
      </c>
      <c r="O105" s="33"/>
    </row>
    <row r="106">
      <c r="A106" s="49" t="s">
        <v>131</v>
      </c>
      <c r="B106" s="49" t="s">
        <v>89</v>
      </c>
      <c r="C106" s="49" t="s">
        <v>132</v>
      </c>
      <c r="D106" s="49" t="s">
        <v>111</v>
      </c>
      <c r="E106" s="49" t="s">
        <v>133</v>
      </c>
      <c r="F106" s="49" t="s">
        <v>134</v>
      </c>
      <c r="G106" s="49" t="s">
        <v>135</v>
      </c>
      <c r="H106" s="49" t="s">
        <v>136</v>
      </c>
      <c r="I106" s="49" t="s">
        <v>137</v>
      </c>
      <c r="J106" s="49" t="s">
        <v>138</v>
      </c>
      <c r="K106" s="49" t="s">
        <v>28</v>
      </c>
      <c r="L106" s="49" t="s">
        <v>139</v>
      </c>
      <c r="M106" s="49" t="s">
        <v>140</v>
      </c>
      <c r="N106" s="49" t="s">
        <v>141</v>
      </c>
      <c r="O106" s="33"/>
    </row>
    <row r="107">
      <c r="A107" s="1" t="s">
        <v>146</v>
      </c>
      <c r="B107" s="27">
        <v>7.5241816377E10</v>
      </c>
      <c r="C107" s="61">
        <v>1.2334723996E8</v>
      </c>
      <c r="D107" s="61">
        <v>2054048.0</v>
      </c>
      <c r="E107" s="27">
        <v>1122.0</v>
      </c>
      <c r="F107" s="27">
        <v>2.26430932E8</v>
      </c>
      <c r="G107" s="27">
        <v>36631.0</v>
      </c>
      <c r="H107" s="27">
        <v>36762.0</v>
      </c>
      <c r="I107" s="1">
        <v>99.64</v>
      </c>
      <c r="J107" s="1">
        <v>1.0</v>
      </c>
      <c r="K107" s="26">
        <v>0.94</v>
      </c>
      <c r="L107" s="1" t="s">
        <v>240</v>
      </c>
      <c r="M107" s="1" t="s">
        <v>146</v>
      </c>
      <c r="N107" s="1">
        <v>100.0</v>
      </c>
      <c r="O107" s="33"/>
    </row>
    <row r="108">
      <c r="A108" s="1" t="s">
        <v>170</v>
      </c>
      <c r="B108" s="27">
        <v>5.459202487E9</v>
      </c>
      <c r="C108" s="61">
        <v>8949512.27</v>
      </c>
      <c r="D108" s="61">
        <v>2833006.0</v>
      </c>
      <c r="E108" s="27">
        <v>481409.0</v>
      </c>
      <c r="F108" s="27">
        <v>1.8120684E7</v>
      </c>
      <c r="G108" s="27">
        <v>1927.0</v>
      </c>
      <c r="H108" s="27">
        <v>1927.0</v>
      </c>
      <c r="I108" s="1">
        <v>100.0</v>
      </c>
      <c r="J108" s="1">
        <v>1.75</v>
      </c>
      <c r="K108" s="26">
        <v>1.0</v>
      </c>
      <c r="L108" s="1" t="s">
        <v>241</v>
      </c>
      <c r="M108" s="1" t="s">
        <v>172</v>
      </c>
      <c r="N108" s="1">
        <v>1.0</v>
      </c>
      <c r="O108" s="33"/>
    </row>
    <row r="109">
      <c r="A109" s="1" t="s">
        <v>150</v>
      </c>
      <c r="B109" s="27">
        <v>5.053133227E9</v>
      </c>
      <c r="C109" s="61">
        <v>8283824.96</v>
      </c>
      <c r="D109" s="61">
        <v>2256871.0</v>
      </c>
      <c r="E109" s="27">
        <v>755085.0</v>
      </c>
      <c r="F109" s="27">
        <v>9641492.0</v>
      </c>
      <c r="G109" s="27">
        <v>2239.0</v>
      </c>
      <c r="H109" s="27">
        <v>2239.0</v>
      </c>
      <c r="I109" s="1">
        <v>100.0</v>
      </c>
      <c r="J109" s="1">
        <v>1.68</v>
      </c>
      <c r="K109" s="26">
        <v>1.0</v>
      </c>
      <c r="L109" s="1" t="s">
        <v>242</v>
      </c>
      <c r="M109" s="1" t="s">
        <v>150</v>
      </c>
      <c r="N109" s="1">
        <v>1.0</v>
      </c>
      <c r="O109" s="33"/>
    </row>
    <row r="110">
      <c r="A110" s="1" t="s">
        <v>148</v>
      </c>
      <c r="B110" s="27">
        <v>4.598785134E9</v>
      </c>
      <c r="C110" s="61">
        <v>7538992.02</v>
      </c>
      <c r="D110" s="61">
        <v>1.087183E7</v>
      </c>
      <c r="E110" s="27">
        <v>1539.0</v>
      </c>
      <c r="F110" s="27">
        <v>3.7444379E7</v>
      </c>
      <c r="G110" s="1">
        <v>423.0</v>
      </c>
      <c r="H110" s="1">
        <v>423.0</v>
      </c>
      <c r="I110" s="1">
        <v>100.0</v>
      </c>
      <c r="J110" s="1">
        <v>2.0</v>
      </c>
      <c r="K110" s="26">
        <v>0.0</v>
      </c>
      <c r="L110" s="1" t="s">
        <v>149</v>
      </c>
      <c r="M110" s="1" t="s">
        <v>150</v>
      </c>
      <c r="N110" s="1">
        <v>2.0</v>
      </c>
      <c r="O110" s="33"/>
    </row>
    <row r="111">
      <c r="A111" s="1" t="s">
        <v>243</v>
      </c>
      <c r="B111" s="27">
        <v>4.400674501E9</v>
      </c>
      <c r="C111" s="61">
        <v>7214220.49</v>
      </c>
      <c r="D111" s="61">
        <v>2548161.0</v>
      </c>
      <c r="E111" s="27">
        <v>17863.0</v>
      </c>
      <c r="F111" s="27">
        <v>1.2378034E7</v>
      </c>
      <c r="G111" s="27">
        <v>1727.0</v>
      </c>
      <c r="H111" s="27">
        <v>1780.0</v>
      </c>
      <c r="I111" s="1">
        <v>97.02</v>
      </c>
      <c r="J111" s="1">
        <v>1.88</v>
      </c>
      <c r="K111" s="26">
        <v>1.0</v>
      </c>
      <c r="L111" s="1" t="s">
        <v>244</v>
      </c>
      <c r="M111" s="1" t="s">
        <v>210</v>
      </c>
      <c r="N111" s="1">
        <v>1.0</v>
      </c>
      <c r="O111" s="33"/>
    </row>
    <row r="112">
      <c r="A112" s="1" t="s">
        <v>155</v>
      </c>
      <c r="B112" s="27">
        <v>4.080925381E9</v>
      </c>
      <c r="C112" s="61">
        <v>6690041.61</v>
      </c>
      <c r="D112" s="61">
        <v>3683146.0</v>
      </c>
      <c r="E112" s="27">
        <v>113896.0</v>
      </c>
      <c r="F112" s="27">
        <v>1.04611092E8</v>
      </c>
      <c r="G112" s="27">
        <v>1108.0</v>
      </c>
      <c r="H112" s="27">
        <v>1108.0</v>
      </c>
      <c r="I112" s="1">
        <v>100.0</v>
      </c>
      <c r="J112" s="1">
        <v>1.65</v>
      </c>
      <c r="K112" s="26">
        <v>0.0</v>
      </c>
      <c r="L112" s="1" t="s">
        <v>149</v>
      </c>
      <c r="M112" s="1" t="s">
        <v>156</v>
      </c>
      <c r="N112" s="1">
        <v>2.0</v>
      </c>
      <c r="O112" s="33"/>
    </row>
    <row r="113">
      <c r="A113" s="1" t="s">
        <v>245</v>
      </c>
      <c r="B113" s="27">
        <v>3.186971825E9</v>
      </c>
      <c r="C113" s="61">
        <v>5224543.98</v>
      </c>
      <c r="D113" s="61">
        <v>3552923.0</v>
      </c>
      <c r="E113" s="27">
        <v>1427175.0</v>
      </c>
      <c r="F113" s="27">
        <v>1.4646425E7</v>
      </c>
      <c r="G113" s="1">
        <v>897.0</v>
      </c>
      <c r="H113" s="1">
        <v>897.0</v>
      </c>
      <c r="I113" s="1">
        <v>100.0</v>
      </c>
      <c r="J113" s="1">
        <v>3.03</v>
      </c>
      <c r="K113" s="26">
        <v>1.0</v>
      </c>
      <c r="L113" s="1" t="s">
        <v>246</v>
      </c>
      <c r="M113" s="1" t="s">
        <v>247</v>
      </c>
      <c r="N113" s="1">
        <v>1.0</v>
      </c>
      <c r="O113" s="33"/>
    </row>
    <row r="114">
      <c r="A114" s="1" t="s">
        <v>248</v>
      </c>
      <c r="B114" s="27">
        <v>3.127225706E9</v>
      </c>
      <c r="C114" s="61">
        <v>5126599.52</v>
      </c>
      <c r="D114" s="61">
        <v>1.690392E7</v>
      </c>
      <c r="E114" s="27">
        <v>649486.0</v>
      </c>
      <c r="F114" s="27">
        <v>1.70515375E8</v>
      </c>
      <c r="G114" s="1">
        <v>185.0</v>
      </c>
      <c r="H114" s="1">
        <v>185.0</v>
      </c>
      <c r="I114" s="1">
        <v>100.0</v>
      </c>
      <c r="J114" s="1">
        <v>9.39</v>
      </c>
      <c r="K114" s="26">
        <v>0.0</v>
      </c>
      <c r="L114" s="1" t="s">
        <v>149</v>
      </c>
      <c r="M114" s="1" t="s">
        <v>182</v>
      </c>
      <c r="N114" s="1">
        <v>2.0</v>
      </c>
      <c r="O114" s="33"/>
    </row>
    <row r="115">
      <c r="A115" s="1" t="s">
        <v>157</v>
      </c>
      <c r="B115" s="27">
        <v>2.704740338E9</v>
      </c>
      <c r="C115" s="61">
        <v>4434000.55</v>
      </c>
      <c r="D115" s="61">
        <v>3364105.0</v>
      </c>
      <c r="E115" s="27">
        <v>1236413.0</v>
      </c>
      <c r="F115" s="27">
        <v>1.5274314E7</v>
      </c>
      <c r="G115" s="1">
        <v>804.0</v>
      </c>
      <c r="H115" s="1">
        <v>804.0</v>
      </c>
      <c r="I115" s="1">
        <v>100.0</v>
      </c>
      <c r="J115" s="1">
        <v>9.3</v>
      </c>
      <c r="K115" s="26">
        <v>1.0</v>
      </c>
      <c r="L115" s="1" t="s">
        <v>249</v>
      </c>
      <c r="M115" s="1" t="s">
        <v>156</v>
      </c>
      <c r="N115" s="1">
        <v>2.0</v>
      </c>
      <c r="O115" s="33"/>
    </row>
    <row r="116">
      <c r="A116" s="1" t="s">
        <v>250</v>
      </c>
      <c r="B116" s="27">
        <v>2.378819665E9</v>
      </c>
      <c r="C116" s="61">
        <v>3899704.37</v>
      </c>
      <c r="D116" s="61">
        <v>1553769.0</v>
      </c>
      <c r="E116" s="27">
        <v>71149.0</v>
      </c>
      <c r="F116" s="27">
        <v>1.2795639E7</v>
      </c>
      <c r="G116" s="27">
        <v>1531.0</v>
      </c>
      <c r="H116" s="27">
        <v>1584.0</v>
      </c>
      <c r="I116" s="1">
        <v>96.65</v>
      </c>
      <c r="J116" s="1">
        <v>1.38</v>
      </c>
      <c r="K116" s="26">
        <v>1.0</v>
      </c>
      <c r="L116" s="1" t="s">
        <v>251</v>
      </c>
      <c r="M116" s="1" t="s">
        <v>156</v>
      </c>
      <c r="N116" s="1">
        <v>1.0</v>
      </c>
      <c r="O116" s="33"/>
    </row>
    <row r="117">
      <c r="A117" s="1" t="s">
        <v>252</v>
      </c>
      <c r="B117" s="27">
        <v>1.745999595E9</v>
      </c>
      <c r="C117" s="61">
        <v>2862294.42</v>
      </c>
      <c r="D117" s="61">
        <v>5.819999E7</v>
      </c>
      <c r="E117" s="27">
        <v>2.3620001E7</v>
      </c>
      <c r="F117" s="27">
        <v>1.30594767E8</v>
      </c>
      <c r="G117" s="1">
        <v>30.0</v>
      </c>
      <c r="H117" s="1">
        <v>30.0</v>
      </c>
      <c r="I117" s="1">
        <v>100.0</v>
      </c>
      <c r="J117" s="1">
        <v>42.36</v>
      </c>
      <c r="K117" s="26">
        <v>1.0</v>
      </c>
      <c r="L117" s="1" t="s">
        <v>253</v>
      </c>
      <c r="M117" s="1" t="s">
        <v>210</v>
      </c>
      <c r="N117" s="1">
        <v>2.0</v>
      </c>
      <c r="O117" s="33"/>
    </row>
    <row r="118">
      <c r="A118" s="1" t="s">
        <v>159</v>
      </c>
      <c r="B118" s="27">
        <v>1.704340628E9</v>
      </c>
      <c r="C118" s="61">
        <v>2794001.03</v>
      </c>
      <c r="D118" s="61">
        <v>9.468559E7</v>
      </c>
      <c r="E118" s="27">
        <v>4.8340421E7</v>
      </c>
      <c r="F118" s="27">
        <v>2.26430932E8</v>
      </c>
      <c r="G118" s="1">
        <v>18.0</v>
      </c>
      <c r="H118" s="1">
        <v>18.0</v>
      </c>
      <c r="I118" s="1">
        <v>100.0</v>
      </c>
      <c r="J118" s="1">
        <v>34.88</v>
      </c>
      <c r="K118" s="26">
        <v>1.0</v>
      </c>
      <c r="L118" s="1" t="s">
        <v>254</v>
      </c>
      <c r="M118" s="1" t="s">
        <v>210</v>
      </c>
      <c r="N118" s="1">
        <v>2.0</v>
      </c>
      <c r="O118" s="33"/>
    </row>
    <row r="119">
      <c r="A119" s="1" t="s">
        <v>174</v>
      </c>
      <c r="B119" s="27">
        <v>1.701202578E9</v>
      </c>
      <c r="C119" s="61">
        <v>2788856.69</v>
      </c>
      <c r="D119" s="61">
        <v>1346954.0</v>
      </c>
      <c r="E119" s="27">
        <v>421388.0</v>
      </c>
      <c r="F119" s="27">
        <v>1.0261105E7</v>
      </c>
      <c r="G119" s="27">
        <v>1263.0</v>
      </c>
      <c r="H119" s="27">
        <v>1263.0</v>
      </c>
      <c r="I119" s="1">
        <v>100.0</v>
      </c>
      <c r="J119" s="1">
        <v>1.12</v>
      </c>
      <c r="K119" s="26">
        <v>1.0</v>
      </c>
      <c r="L119" s="1" t="s">
        <v>255</v>
      </c>
      <c r="M119" s="1" t="s">
        <v>150</v>
      </c>
      <c r="N119" s="1">
        <v>2.0</v>
      </c>
      <c r="O119" s="33"/>
    </row>
    <row r="120">
      <c r="A120" s="1" t="s">
        <v>176</v>
      </c>
      <c r="B120" s="27">
        <v>1.617247454E9</v>
      </c>
      <c r="C120" s="61">
        <v>2651225.33</v>
      </c>
      <c r="D120" s="61">
        <v>1190028.0</v>
      </c>
      <c r="E120" s="27">
        <v>345861.0</v>
      </c>
      <c r="F120" s="27">
        <v>5750669.0</v>
      </c>
      <c r="G120" s="27">
        <v>1359.0</v>
      </c>
      <c r="H120" s="27">
        <v>1359.0</v>
      </c>
      <c r="I120" s="1">
        <v>100.0</v>
      </c>
      <c r="J120" s="1">
        <v>1.09</v>
      </c>
      <c r="K120" s="26">
        <v>1.0</v>
      </c>
      <c r="L120" s="1" t="s">
        <v>256</v>
      </c>
      <c r="M120" s="1" t="s">
        <v>156</v>
      </c>
      <c r="N120" s="1">
        <v>2.0</v>
      </c>
      <c r="O120" s="33"/>
    </row>
    <row r="121">
      <c r="A121" s="1" t="s">
        <v>180</v>
      </c>
      <c r="B121" s="27">
        <v>1.422289404E9</v>
      </c>
      <c r="C121" s="61">
        <v>2331621.97</v>
      </c>
      <c r="D121" s="61">
        <v>993912.9</v>
      </c>
      <c r="E121" s="27">
        <v>509497.0</v>
      </c>
      <c r="F121" s="27">
        <v>4444555.0</v>
      </c>
      <c r="G121" s="27">
        <v>1431.0</v>
      </c>
      <c r="H121" s="27">
        <v>1431.0</v>
      </c>
      <c r="I121" s="1">
        <v>100.0</v>
      </c>
      <c r="J121" s="1">
        <v>2.35</v>
      </c>
      <c r="K121" s="26">
        <v>1.0</v>
      </c>
      <c r="L121" s="1" t="s">
        <v>237</v>
      </c>
      <c r="M121" s="1" t="s">
        <v>182</v>
      </c>
      <c r="N121" s="1">
        <v>2.0</v>
      </c>
      <c r="O121" s="33"/>
    </row>
    <row r="122">
      <c r="A122" s="1" t="s">
        <v>228</v>
      </c>
      <c r="B122" s="27">
        <v>1.407012013E9</v>
      </c>
      <c r="C122" s="61">
        <v>2306577.07</v>
      </c>
      <c r="D122" s="61">
        <v>4936884.0</v>
      </c>
      <c r="E122" s="27">
        <v>3718342.0</v>
      </c>
      <c r="F122" s="27">
        <v>5659320.0</v>
      </c>
      <c r="G122" s="1">
        <v>285.0</v>
      </c>
      <c r="H122" s="1">
        <v>285.0</v>
      </c>
      <c r="I122" s="1">
        <v>100.0</v>
      </c>
      <c r="J122" s="1">
        <v>9.37</v>
      </c>
      <c r="K122" s="26">
        <v>0.0</v>
      </c>
      <c r="L122" s="1" t="s">
        <v>149</v>
      </c>
      <c r="M122" s="1" t="s">
        <v>193</v>
      </c>
      <c r="N122" s="1">
        <v>2.0</v>
      </c>
      <c r="O122" s="33"/>
    </row>
    <row r="123">
      <c r="A123" s="1" t="s">
        <v>257</v>
      </c>
      <c r="B123" s="27">
        <v>1.35533762E9</v>
      </c>
      <c r="C123" s="61">
        <v>2221864.95</v>
      </c>
      <c r="D123" s="61">
        <v>1.694172E7</v>
      </c>
      <c r="E123" s="27">
        <v>1.4077466E7</v>
      </c>
      <c r="F123" s="27">
        <v>2.1797332E7</v>
      </c>
      <c r="G123" s="1">
        <v>80.0</v>
      </c>
      <c r="H123" s="1">
        <v>80.0</v>
      </c>
      <c r="I123" s="1">
        <v>100.0</v>
      </c>
      <c r="J123" s="1">
        <v>16.08</v>
      </c>
      <c r="K123" s="26">
        <v>0.0</v>
      </c>
      <c r="L123" s="1" t="s">
        <v>149</v>
      </c>
      <c r="M123" s="1" t="s">
        <v>187</v>
      </c>
      <c r="N123" s="1">
        <v>2.0</v>
      </c>
      <c r="O123" s="33"/>
    </row>
    <row r="124">
      <c r="A124" s="1" t="s">
        <v>258</v>
      </c>
      <c r="B124" s="27">
        <v>1.155372811E9</v>
      </c>
      <c r="C124" s="61">
        <v>1894053.79</v>
      </c>
      <c r="D124" s="61">
        <v>1565546.0</v>
      </c>
      <c r="E124" s="27">
        <v>496898.0</v>
      </c>
      <c r="F124" s="27">
        <v>5555221.0</v>
      </c>
      <c r="G124" s="1">
        <v>738.0</v>
      </c>
      <c r="H124" s="1">
        <v>738.0</v>
      </c>
      <c r="I124" s="1">
        <v>100.0</v>
      </c>
      <c r="J124" s="1">
        <v>3.53</v>
      </c>
      <c r="K124" s="26">
        <v>1.0</v>
      </c>
      <c r="L124" s="1" t="s">
        <v>259</v>
      </c>
      <c r="M124" s="1" t="s">
        <v>190</v>
      </c>
      <c r="N124" s="1">
        <v>1.0</v>
      </c>
      <c r="O124" s="33"/>
    </row>
    <row r="125">
      <c r="A125" s="1" t="s">
        <v>161</v>
      </c>
      <c r="B125" s="27">
        <v>1.008921024E9</v>
      </c>
      <c r="C125" s="61">
        <v>1653968.89</v>
      </c>
      <c r="D125" s="61">
        <v>2.293002E7</v>
      </c>
      <c r="E125" s="27">
        <v>2532149.0</v>
      </c>
      <c r="F125" s="27">
        <v>8.2908714E7</v>
      </c>
      <c r="G125" s="1">
        <v>44.0</v>
      </c>
      <c r="H125" s="1">
        <v>44.0</v>
      </c>
      <c r="I125" s="1">
        <v>100.0</v>
      </c>
      <c r="J125" s="1">
        <v>26.71</v>
      </c>
      <c r="K125" s="26">
        <v>1.0</v>
      </c>
      <c r="L125" s="1" t="s">
        <v>260</v>
      </c>
      <c r="M125" s="1" t="s">
        <v>210</v>
      </c>
      <c r="N125" s="1">
        <v>2.0</v>
      </c>
      <c r="O125" s="33"/>
    </row>
    <row r="126">
      <c r="A126" s="1" t="s">
        <v>163</v>
      </c>
      <c r="B126" s="27">
        <v>8.9845998E8</v>
      </c>
      <c r="C126" s="61">
        <v>1472885.21</v>
      </c>
      <c r="D126" s="61">
        <v>3839573.0</v>
      </c>
      <c r="E126" s="27">
        <v>1574858.0</v>
      </c>
      <c r="F126" s="27">
        <v>1.2242262E7</v>
      </c>
      <c r="G126" s="1">
        <v>234.0</v>
      </c>
      <c r="H126" s="1">
        <v>234.0</v>
      </c>
      <c r="I126" s="1">
        <v>100.0</v>
      </c>
      <c r="J126" s="1">
        <v>3.97</v>
      </c>
      <c r="K126" s="26">
        <v>1.0</v>
      </c>
      <c r="L126" s="1" t="s">
        <v>261</v>
      </c>
      <c r="M126" s="1" t="s">
        <v>150</v>
      </c>
      <c r="N126" s="1">
        <v>2.0</v>
      </c>
      <c r="O126" s="33"/>
    </row>
    <row r="127">
      <c r="A127" s="1" t="s">
        <v>262</v>
      </c>
      <c r="B127" s="27">
        <v>8.54177983E8</v>
      </c>
      <c r="C127" s="61">
        <v>1400291.78</v>
      </c>
      <c r="D127" s="61">
        <v>6101272.0</v>
      </c>
      <c r="E127" s="27">
        <v>2124913.0</v>
      </c>
      <c r="F127" s="27">
        <v>2.0597613E7</v>
      </c>
      <c r="G127" s="1">
        <v>140.0</v>
      </c>
      <c r="H127" s="1">
        <v>140.0</v>
      </c>
      <c r="I127" s="1">
        <v>100.0</v>
      </c>
      <c r="J127" s="1">
        <v>4.46</v>
      </c>
      <c r="K127" s="26">
        <v>1.0</v>
      </c>
      <c r="L127" s="1" t="s">
        <v>263</v>
      </c>
      <c r="M127" s="1" t="s">
        <v>150</v>
      </c>
      <c r="N127" s="1">
        <v>2.0</v>
      </c>
      <c r="O127" s="33"/>
    </row>
    <row r="128">
      <c r="A128" s="1" t="s">
        <v>264</v>
      </c>
      <c r="B128" s="27">
        <v>7.18393284E8</v>
      </c>
      <c r="C128" s="61">
        <v>1177693.91</v>
      </c>
      <c r="D128" s="61">
        <v>2547494.0</v>
      </c>
      <c r="E128" s="27">
        <v>1632868.0</v>
      </c>
      <c r="F128" s="27">
        <v>6251562.0</v>
      </c>
      <c r="G128" s="1">
        <v>282.0</v>
      </c>
      <c r="H128" s="1">
        <v>282.0</v>
      </c>
      <c r="I128" s="1">
        <v>100.0</v>
      </c>
      <c r="J128" s="1">
        <v>3.62</v>
      </c>
      <c r="K128" s="26">
        <v>1.0</v>
      </c>
      <c r="L128" s="1" t="s">
        <v>265</v>
      </c>
      <c r="M128" s="1" t="s">
        <v>182</v>
      </c>
      <c r="N128" s="1">
        <v>2.0</v>
      </c>
      <c r="O128" s="33"/>
    </row>
    <row r="129">
      <c r="A129" s="1" t="s">
        <v>188</v>
      </c>
      <c r="B129" s="27">
        <v>6.80983556E8</v>
      </c>
      <c r="C129" s="61">
        <v>1116366.49</v>
      </c>
      <c r="D129" s="61">
        <v>1572710.0</v>
      </c>
      <c r="E129" s="27">
        <v>923626.0</v>
      </c>
      <c r="F129" s="27">
        <v>5223296.0</v>
      </c>
      <c r="G129" s="1">
        <v>433.0</v>
      </c>
      <c r="H129" s="1">
        <v>433.0</v>
      </c>
      <c r="I129" s="1">
        <v>100.0</v>
      </c>
      <c r="J129" s="1">
        <v>5.3</v>
      </c>
      <c r="K129" s="26">
        <v>1.0</v>
      </c>
      <c r="L129" s="1" t="s">
        <v>266</v>
      </c>
      <c r="M129" s="1" t="s">
        <v>190</v>
      </c>
      <c r="N129" s="1">
        <v>2.0</v>
      </c>
      <c r="O129" s="33"/>
    </row>
    <row r="130">
      <c r="A130" s="1" t="s">
        <v>267</v>
      </c>
      <c r="B130" s="27">
        <v>6.37533129E8</v>
      </c>
      <c r="C130" s="61">
        <v>1045136.28</v>
      </c>
      <c r="D130" s="61">
        <v>2783988.0</v>
      </c>
      <c r="E130" s="27">
        <v>1631966.0</v>
      </c>
      <c r="F130" s="27">
        <v>8694137.0</v>
      </c>
      <c r="G130" s="1">
        <v>229.0</v>
      </c>
      <c r="H130" s="1">
        <v>229.0</v>
      </c>
      <c r="I130" s="1">
        <v>100.0</v>
      </c>
      <c r="J130" s="1">
        <v>4.88</v>
      </c>
      <c r="K130" s="26">
        <v>1.0</v>
      </c>
      <c r="L130" s="1" t="s">
        <v>268</v>
      </c>
      <c r="M130" s="1" t="s">
        <v>182</v>
      </c>
      <c r="N130" s="1">
        <v>2.0</v>
      </c>
      <c r="O130" s="33"/>
    </row>
    <row r="131">
      <c r="A131" s="1" t="s">
        <v>165</v>
      </c>
      <c r="B131" s="27">
        <v>6.13203646E8</v>
      </c>
      <c r="C131" s="61">
        <v>1005251.88</v>
      </c>
      <c r="D131" s="61">
        <v>5378980.0</v>
      </c>
      <c r="E131" s="27">
        <v>2031813.0</v>
      </c>
      <c r="F131" s="27">
        <v>2.0658851E7</v>
      </c>
      <c r="G131" s="1">
        <v>114.0</v>
      </c>
      <c r="H131" s="1">
        <v>114.0</v>
      </c>
      <c r="I131" s="1">
        <v>100.0</v>
      </c>
      <c r="J131" s="1">
        <v>10.55</v>
      </c>
      <c r="K131" s="26">
        <v>1.0</v>
      </c>
      <c r="L131" s="1" t="s">
        <v>269</v>
      </c>
      <c r="M131" s="1" t="s">
        <v>210</v>
      </c>
      <c r="N131" s="1">
        <v>2.0</v>
      </c>
      <c r="O131" s="33"/>
    </row>
    <row r="132">
      <c r="A132" s="1" t="s">
        <v>229</v>
      </c>
      <c r="B132" s="27">
        <v>6.00412291E8</v>
      </c>
      <c r="C132" s="61">
        <v>984282.44</v>
      </c>
      <c r="D132" s="61">
        <v>1563574.0</v>
      </c>
      <c r="E132" s="27">
        <v>621850.0</v>
      </c>
      <c r="F132" s="27">
        <v>5190717.0</v>
      </c>
      <c r="G132" s="1">
        <v>384.0</v>
      </c>
      <c r="H132" s="1">
        <v>384.0</v>
      </c>
      <c r="I132" s="1">
        <v>100.0</v>
      </c>
      <c r="J132" s="1">
        <v>2.08</v>
      </c>
      <c r="K132" s="26">
        <v>1.0</v>
      </c>
      <c r="L132" s="1" t="s">
        <v>230</v>
      </c>
      <c r="M132" s="1" t="s">
        <v>187</v>
      </c>
      <c r="N132" s="1">
        <v>2.0</v>
      </c>
      <c r="O132" s="33"/>
    </row>
    <row r="133">
      <c r="A133" s="1" t="s">
        <v>270</v>
      </c>
      <c r="B133" s="27">
        <v>5.99839222E8</v>
      </c>
      <c r="C133" s="61">
        <v>983342.99</v>
      </c>
      <c r="D133" s="61">
        <v>7592902.0</v>
      </c>
      <c r="E133" s="27">
        <v>4583008.0</v>
      </c>
      <c r="F133" s="27">
        <v>1.3934477E7</v>
      </c>
      <c r="G133" s="1">
        <v>79.0</v>
      </c>
      <c r="H133" s="1">
        <v>79.0</v>
      </c>
      <c r="I133" s="1">
        <v>100.0</v>
      </c>
      <c r="J133" s="1">
        <v>7.59</v>
      </c>
      <c r="K133" s="26">
        <v>1.0</v>
      </c>
      <c r="L133" s="1" t="s">
        <v>271</v>
      </c>
      <c r="M133" s="1" t="s">
        <v>150</v>
      </c>
      <c r="N133" s="1">
        <v>2.0</v>
      </c>
      <c r="O133" s="33"/>
    </row>
    <row r="134">
      <c r="A134" s="1" t="s">
        <v>272</v>
      </c>
      <c r="B134" s="27">
        <v>5.63972025E8</v>
      </c>
      <c r="C134" s="61">
        <v>924544.3</v>
      </c>
      <c r="D134" s="61">
        <v>1905311.0</v>
      </c>
      <c r="E134" s="27">
        <v>564874.0</v>
      </c>
      <c r="F134" s="27">
        <v>6566065.0</v>
      </c>
      <c r="G134" s="1">
        <v>296.0</v>
      </c>
      <c r="H134" s="1">
        <v>296.0</v>
      </c>
      <c r="I134" s="1">
        <v>100.0</v>
      </c>
      <c r="J134" s="1">
        <v>5.75</v>
      </c>
      <c r="K134" s="26">
        <v>1.0</v>
      </c>
      <c r="L134" s="1" t="s">
        <v>273</v>
      </c>
      <c r="M134" s="1" t="s">
        <v>154</v>
      </c>
      <c r="N134" s="1">
        <v>2.0</v>
      </c>
      <c r="O134" s="33"/>
    </row>
    <row r="135">
      <c r="A135" s="1" t="s">
        <v>202</v>
      </c>
      <c r="B135" s="27">
        <v>5.61985776E8</v>
      </c>
      <c r="C135" s="61">
        <v>921288.16</v>
      </c>
      <c r="D135" s="61">
        <v>606241.4</v>
      </c>
      <c r="E135" s="27">
        <v>225974.0</v>
      </c>
      <c r="F135" s="27">
        <v>2373218.0</v>
      </c>
      <c r="G135" s="1">
        <v>927.0</v>
      </c>
      <c r="H135" s="1">
        <v>927.0</v>
      </c>
      <c r="I135" s="1">
        <v>100.0</v>
      </c>
      <c r="J135" s="1">
        <v>1.32</v>
      </c>
      <c r="K135" s="26">
        <v>1.0</v>
      </c>
      <c r="L135" s="1" t="s">
        <v>274</v>
      </c>
      <c r="M135" s="1" t="s">
        <v>190</v>
      </c>
      <c r="N135" s="1">
        <v>2.0</v>
      </c>
      <c r="O135" s="33"/>
    </row>
    <row r="136">
      <c r="A136" s="1" t="s">
        <v>275</v>
      </c>
      <c r="B136" s="27">
        <v>5.60661578E8</v>
      </c>
      <c r="C136" s="61">
        <v>919117.34</v>
      </c>
      <c r="D136" s="61">
        <v>2657164.0</v>
      </c>
      <c r="E136" s="27">
        <v>1095041.0</v>
      </c>
      <c r="F136" s="27">
        <v>8302154.0</v>
      </c>
      <c r="G136" s="1">
        <v>211.0</v>
      </c>
      <c r="H136" s="1">
        <v>211.0</v>
      </c>
      <c r="I136" s="1">
        <v>100.0</v>
      </c>
      <c r="J136" s="1">
        <v>3.08</v>
      </c>
      <c r="K136" s="26">
        <v>1.0</v>
      </c>
      <c r="L136" s="1" t="s">
        <v>276</v>
      </c>
      <c r="M136" s="1" t="s">
        <v>156</v>
      </c>
      <c r="N136" s="1">
        <v>2.0</v>
      </c>
      <c r="O136" s="33"/>
    </row>
    <row r="137">
      <c r="A137" s="1" t="s">
        <v>277</v>
      </c>
      <c r="B137" s="27">
        <v>5.5625485E8</v>
      </c>
      <c r="C137" s="61">
        <v>911893.2</v>
      </c>
      <c r="D137" s="61">
        <v>1.356719E7</v>
      </c>
      <c r="E137" s="27">
        <v>7703110.0</v>
      </c>
      <c r="F137" s="27">
        <v>3.0704325E7</v>
      </c>
      <c r="G137" s="1">
        <v>41.0</v>
      </c>
      <c r="H137" s="1">
        <v>41.0</v>
      </c>
      <c r="I137" s="1">
        <v>100.0</v>
      </c>
      <c r="J137" s="1">
        <v>25.87</v>
      </c>
      <c r="K137" s="26">
        <v>1.0</v>
      </c>
      <c r="L137" s="1" t="s">
        <v>278</v>
      </c>
      <c r="M137" s="1" t="s">
        <v>182</v>
      </c>
      <c r="N137" s="1">
        <v>2.0</v>
      </c>
      <c r="O137" s="33"/>
    </row>
    <row r="138">
      <c r="A138" s="1" t="s">
        <v>279</v>
      </c>
      <c r="B138" s="27">
        <v>5.55428679E8</v>
      </c>
      <c r="C138" s="61">
        <v>910538.82</v>
      </c>
      <c r="D138" s="61">
        <v>1.586939E7</v>
      </c>
      <c r="E138" s="27">
        <v>1.1579419E7</v>
      </c>
      <c r="F138" s="27">
        <v>2.5206673E7</v>
      </c>
      <c r="G138" s="1">
        <v>35.0</v>
      </c>
      <c r="H138" s="1">
        <v>35.0</v>
      </c>
      <c r="I138" s="1">
        <v>100.0</v>
      </c>
      <c r="J138" s="1">
        <v>17.35</v>
      </c>
      <c r="K138" s="26">
        <v>1.0</v>
      </c>
      <c r="L138" s="1" t="s">
        <v>280</v>
      </c>
      <c r="M138" s="1" t="s">
        <v>193</v>
      </c>
      <c r="N138" s="1">
        <v>2.0</v>
      </c>
      <c r="O138" s="33"/>
    </row>
    <row r="139">
      <c r="A139" s="1" t="s">
        <v>281</v>
      </c>
      <c r="B139" s="27">
        <v>5.2666231E8</v>
      </c>
      <c r="C139" s="61">
        <v>863380.84</v>
      </c>
      <c r="D139" s="61">
        <v>3442237.0</v>
      </c>
      <c r="E139" s="27">
        <v>1653823.0</v>
      </c>
      <c r="F139" s="27">
        <v>1.0711927E7</v>
      </c>
      <c r="G139" s="1">
        <v>153.0</v>
      </c>
      <c r="H139" s="1">
        <v>153.0</v>
      </c>
      <c r="I139" s="1">
        <v>100.0</v>
      </c>
      <c r="J139" s="1">
        <v>5.77</v>
      </c>
      <c r="K139" s="26">
        <v>1.0</v>
      </c>
      <c r="L139" s="1" t="s">
        <v>282</v>
      </c>
      <c r="M139" s="1" t="s">
        <v>182</v>
      </c>
      <c r="N139" s="1">
        <v>2.0</v>
      </c>
      <c r="O139" s="33"/>
    </row>
    <row r="140">
      <c r="A140" s="1" t="s">
        <v>283</v>
      </c>
      <c r="B140" s="27">
        <v>5.23062435E8</v>
      </c>
      <c r="C140" s="61">
        <v>857479.4</v>
      </c>
      <c r="D140" s="61">
        <v>2.75296E7</v>
      </c>
      <c r="E140" s="27">
        <v>1.4830456E7</v>
      </c>
      <c r="F140" s="27">
        <v>7.3224317E7</v>
      </c>
      <c r="G140" s="1">
        <v>19.0</v>
      </c>
      <c r="H140" s="1">
        <v>19.0</v>
      </c>
      <c r="I140" s="1">
        <v>100.0</v>
      </c>
      <c r="J140" s="1">
        <v>31.11</v>
      </c>
      <c r="K140" s="26">
        <v>1.0</v>
      </c>
      <c r="L140" s="1" t="s">
        <v>284</v>
      </c>
      <c r="M140" s="1" t="s">
        <v>150</v>
      </c>
      <c r="N140" s="1">
        <v>2.0</v>
      </c>
      <c r="O140" s="33"/>
    </row>
    <row r="141">
      <c r="A141" s="1" t="s">
        <v>235</v>
      </c>
      <c r="B141" s="27">
        <v>5.22639207E8</v>
      </c>
      <c r="C141" s="61">
        <v>856785.59</v>
      </c>
      <c r="D141" s="61">
        <v>759650.0</v>
      </c>
      <c r="E141" s="27">
        <v>375881.0</v>
      </c>
      <c r="F141" s="27">
        <v>3006924.0</v>
      </c>
      <c r="G141" s="1">
        <v>688.0</v>
      </c>
      <c r="H141" s="1">
        <v>688.0</v>
      </c>
      <c r="I141" s="1">
        <v>100.0</v>
      </c>
      <c r="J141" s="1">
        <v>1.39</v>
      </c>
      <c r="K141" s="26">
        <v>1.0</v>
      </c>
      <c r="L141" s="1" t="s">
        <v>236</v>
      </c>
      <c r="M141" s="1" t="s">
        <v>187</v>
      </c>
      <c r="N141" s="1">
        <v>2.0</v>
      </c>
      <c r="O141" s="33"/>
    </row>
    <row r="142">
      <c r="A142" s="1" t="s">
        <v>285</v>
      </c>
      <c r="B142" s="27">
        <v>5.11782572E8</v>
      </c>
      <c r="C142" s="61">
        <v>838987.82</v>
      </c>
      <c r="D142" s="61">
        <v>2123579.0</v>
      </c>
      <c r="E142" s="27">
        <v>1349364.0</v>
      </c>
      <c r="F142" s="27">
        <v>6721862.0</v>
      </c>
      <c r="G142" s="1">
        <v>241.0</v>
      </c>
      <c r="H142" s="1">
        <v>241.0</v>
      </c>
      <c r="I142" s="1">
        <v>100.0</v>
      </c>
      <c r="J142" s="1">
        <v>3.41</v>
      </c>
      <c r="K142" s="26">
        <v>1.0</v>
      </c>
      <c r="L142" s="1" t="s">
        <v>286</v>
      </c>
      <c r="M142" s="1" t="s">
        <v>182</v>
      </c>
      <c r="N142" s="1">
        <v>2.0</v>
      </c>
      <c r="O142" s="33"/>
    </row>
    <row r="143">
      <c r="A143" s="1" t="s">
        <v>287</v>
      </c>
      <c r="B143" s="27">
        <v>5.07297683E8</v>
      </c>
      <c r="C143" s="61">
        <v>831635.55</v>
      </c>
      <c r="D143" s="61">
        <v>2511375.0</v>
      </c>
      <c r="E143" s="27">
        <v>942006.0</v>
      </c>
      <c r="F143" s="27">
        <v>1.4283216E7</v>
      </c>
      <c r="G143" s="1">
        <v>202.0</v>
      </c>
      <c r="H143" s="1">
        <v>202.0</v>
      </c>
      <c r="I143" s="1">
        <v>100.0</v>
      </c>
      <c r="J143" s="1">
        <v>8.76</v>
      </c>
      <c r="K143" s="26">
        <v>1.0</v>
      </c>
      <c r="L143" s="1" t="s">
        <v>288</v>
      </c>
      <c r="M143" s="1" t="s">
        <v>172</v>
      </c>
      <c r="N143" s="1">
        <v>2.0</v>
      </c>
      <c r="O143" s="33"/>
    </row>
    <row r="144">
      <c r="A144" s="1" t="s">
        <v>289</v>
      </c>
      <c r="B144" s="27">
        <v>4.62486508E8</v>
      </c>
      <c r="C144" s="61">
        <v>758174.6</v>
      </c>
      <c r="D144" s="61">
        <v>1.156216E7</v>
      </c>
      <c r="E144" s="27">
        <v>4376345.0</v>
      </c>
      <c r="F144" s="27">
        <v>2.6258044E7</v>
      </c>
      <c r="G144" s="1">
        <v>40.0</v>
      </c>
      <c r="H144" s="1">
        <v>40.0</v>
      </c>
      <c r="I144" s="1">
        <v>100.0</v>
      </c>
      <c r="J144" s="1">
        <v>31.21</v>
      </c>
      <c r="K144" s="26">
        <v>1.0</v>
      </c>
      <c r="L144" s="1" t="s">
        <v>290</v>
      </c>
      <c r="M144" s="1" t="s">
        <v>210</v>
      </c>
      <c r="N144" s="1">
        <v>2.0</v>
      </c>
      <c r="O144" s="33"/>
    </row>
    <row r="145">
      <c r="A145" s="1" t="s">
        <v>196</v>
      </c>
      <c r="B145" s="27">
        <v>4.37014522E8</v>
      </c>
      <c r="C145" s="61">
        <v>716417.25</v>
      </c>
      <c r="D145" s="61">
        <v>1038039.0</v>
      </c>
      <c r="E145" s="27">
        <v>284709.0</v>
      </c>
      <c r="F145" s="27">
        <v>2772452.0</v>
      </c>
      <c r="G145" s="1">
        <v>421.0</v>
      </c>
      <c r="H145" s="1">
        <v>421.0</v>
      </c>
      <c r="I145" s="1">
        <v>100.0</v>
      </c>
      <c r="J145" s="1">
        <v>1.9</v>
      </c>
      <c r="K145" s="26">
        <v>1.0</v>
      </c>
      <c r="L145" s="1" t="s">
        <v>238</v>
      </c>
      <c r="M145" s="1" t="s">
        <v>182</v>
      </c>
      <c r="N145" s="1">
        <v>2.0</v>
      </c>
      <c r="O145" s="33"/>
    </row>
    <row r="146">
      <c r="A146" s="1" t="s">
        <v>291</v>
      </c>
      <c r="B146" s="27">
        <v>4.26576227E8</v>
      </c>
      <c r="C146" s="61">
        <v>699305.29</v>
      </c>
      <c r="D146" s="61">
        <v>2649542.0</v>
      </c>
      <c r="E146" s="27">
        <v>1140705.0</v>
      </c>
      <c r="F146" s="27">
        <v>7079737.0</v>
      </c>
      <c r="G146" s="1">
        <v>161.0</v>
      </c>
      <c r="H146" s="1">
        <v>161.0</v>
      </c>
      <c r="I146" s="1">
        <v>100.0</v>
      </c>
      <c r="J146" s="1">
        <v>5.3</v>
      </c>
      <c r="K146" s="26">
        <v>1.0</v>
      </c>
      <c r="L146" s="1" t="s">
        <v>292</v>
      </c>
      <c r="M146" s="1" t="s">
        <v>190</v>
      </c>
      <c r="N146" s="1">
        <v>2.0</v>
      </c>
      <c r="O146" s="33"/>
    </row>
    <row r="147">
      <c r="A147" s="1" t="s">
        <v>293</v>
      </c>
      <c r="B147" s="27">
        <v>4.25604512E8</v>
      </c>
      <c r="C147" s="61">
        <v>697712.31</v>
      </c>
      <c r="D147" s="61">
        <v>3040032.0</v>
      </c>
      <c r="E147" s="27">
        <v>1037326.0</v>
      </c>
      <c r="F147" s="27">
        <v>9947590.0</v>
      </c>
      <c r="G147" s="1">
        <v>140.0</v>
      </c>
      <c r="H147" s="1">
        <v>140.0</v>
      </c>
      <c r="I147" s="1">
        <v>100.0</v>
      </c>
      <c r="J147" s="1">
        <v>4.46</v>
      </c>
      <c r="K147" s="26">
        <v>1.0</v>
      </c>
      <c r="L147" s="1" t="s">
        <v>294</v>
      </c>
      <c r="M147" s="1" t="s">
        <v>150</v>
      </c>
      <c r="N147" s="1">
        <v>2.0</v>
      </c>
      <c r="O147" s="33"/>
    </row>
    <row r="148">
      <c r="A148" s="1" t="s">
        <v>295</v>
      </c>
      <c r="B148" s="27">
        <v>4.22868274E8</v>
      </c>
      <c r="C148" s="61">
        <v>693226.68</v>
      </c>
      <c r="D148" s="61">
        <v>2642927.0</v>
      </c>
      <c r="E148" s="27">
        <v>1326870.0</v>
      </c>
      <c r="F148" s="27">
        <v>6727403.0</v>
      </c>
      <c r="G148" s="1">
        <v>160.0</v>
      </c>
      <c r="H148" s="1">
        <v>160.0</v>
      </c>
      <c r="I148" s="1">
        <v>100.0</v>
      </c>
      <c r="J148" s="1">
        <v>22.56</v>
      </c>
      <c r="K148" s="26">
        <v>1.0</v>
      </c>
      <c r="L148" s="1" t="s">
        <v>296</v>
      </c>
      <c r="M148" s="1" t="s">
        <v>156</v>
      </c>
      <c r="N148" s="1">
        <v>2.0</v>
      </c>
      <c r="O148" s="33"/>
    </row>
    <row r="149">
      <c r="A149" s="1" t="s">
        <v>297</v>
      </c>
      <c r="B149" s="27">
        <v>4.13889041E8</v>
      </c>
      <c r="C149" s="61">
        <v>678506.62</v>
      </c>
      <c r="D149" s="61">
        <v>2539197.0</v>
      </c>
      <c r="E149" s="27">
        <v>930197.0</v>
      </c>
      <c r="F149" s="27">
        <v>6640962.0</v>
      </c>
      <c r="G149" s="1">
        <v>163.0</v>
      </c>
      <c r="H149" s="1">
        <v>163.0</v>
      </c>
      <c r="I149" s="1">
        <v>100.0</v>
      </c>
      <c r="J149" s="1">
        <v>5.9</v>
      </c>
      <c r="K149" s="26">
        <v>1.0</v>
      </c>
      <c r="L149" s="1" t="s">
        <v>298</v>
      </c>
      <c r="M149" s="1" t="s">
        <v>187</v>
      </c>
      <c r="N149" s="1">
        <v>2.0</v>
      </c>
      <c r="O149" s="33"/>
    </row>
    <row r="150">
      <c r="A150" s="1" t="s">
        <v>231</v>
      </c>
      <c r="B150" s="27">
        <v>4.09737647E8</v>
      </c>
      <c r="C150" s="61">
        <v>671701.06</v>
      </c>
      <c r="D150" s="61">
        <v>307380.1</v>
      </c>
      <c r="E150" s="27">
        <v>125569.0</v>
      </c>
      <c r="F150" s="27">
        <v>1003596.0</v>
      </c>
      <c r="G150" s="27">
        <v>1333.0</v>
      </c>
      <c r="H150" s="27">
        <v>1333.0</v>
      </c>
      <c r="I150" s="1">
        <v>100.0</v>
      </c>
      <c r="J150" s="1">
        <v>1.94</v>
      </c>
      <c r="K150" s="26">
        <v>1.0</v>
      </c>
      <c r="L150" s="1" t="s">
        <v>232</v>
      </c>
      <c r="M150" s="1" t="s">
        <v>187</v>
      </c>
      <c r="N150" s="1">
        <v>2.0</v>
      </c>
      <c r="O150" s="33"/>
    </row>
    <row r="151">
      <c r="A151" s="1" t="s">
        <v>299</v>
      </c>
      <c r="B151" s="27">
        <v>4.05793738E8</v>
      </c>
      <c r="C151" s="61">
        <v>665235.64</v>
      </c>
      <c r="D151" s="61">
        <v>1218600.0</v>
      </c>
      <c r="E151" s="27">
        <v>298045.0</v>
      </c>
      <c r="F151" s="27">
        <v>1.1524607E7</v>
      </c>
      <c r="G151" s="1">
        <v>333.0</v>
      </c>
      <c r="H151" s="1">
        <v>333.0</v>
      </c>
      <c r="I151" s="1">
        <v>100.0</v>
      </c>
      <c r="J151" s="1">
        <v>2.45</v>
      </c>
      <c r="K151" s="26">
        <v>1.0</v>
      </c>
      <c r="L151" s="1" t="s">
        <v>300</v>
      </c>
      <c r="M151" s="1" t="s">
        <v>210</v>
      </c>
      <c r="N151" s="1">
        <v>2.0</v>
      </c>
      <c r="O151" s="33"/>
    </row>
    <row r="152">
      <c r="A152" s="1" t="s">
        <v>301</v>
      </c>
      <c r="B152" s="27">
        <v>3.8481426E8</v>
      </c>
      <c r="C152" s="61">
        <v>630843.05</v>
      </c>
      <c r="D152" s="61">
        <v>2277008.0</v>
      </c>
      <c r="E152" s="27">
        <v>1120391.0</v>
      </c>
      <c r="F152" s="27">
        <v>6287761.0</v>
      </c>
      <c r="G152" s="1">
        <v>169.0</v>
      </c>
      <c r="H152" s="1">
        <v>169.0</v>
      </c>
      <c r="I152" s="1">
        <v>100.0</v>
      </c>
      <c r="J152" s="1">
        <v>3.79</v>
      </c>
      <c r="K152" s="26">
        <v>1.0</v>
      </c>
      <c r="L152" s="1" t="s">
        <v>302</v>
      </c>
      <c r="M152" s="1" t="s">
        <v>247</v>
      </c>
      <c r="N152" s="1">
        <v>2.0</v>
      </c>
      <c r="O152" s="33"/>
    </row>
    <row r="153">
      <c r="A153" s="1" t="s">
        <v>303</v>
      </c>
      <c r="B153" s="27">
        <v>3.76982236E8</v>
      </c>
      <c r="C153" s="61">
        <v>618003.67</v>
      </c>
      <c r="D153" s="61">
        <v>2401161.0</v>
      </c>
      <c r="E153" s="27">
        <v>1106195.0</v>
      </c>
      <c r="F153" s="27">
        <v>6698830.0</v>
      </c>
      <c r="G153" s="1">
        <v>157.0</v>
      </c>
      <c r="H153" s="1">
        <v>157.0</v>
      </c>
      <c r="I153" s="1">
        <v>100.0</v>
      </c>
      <c r="J153" s="1">
        <v>6.2</v>
      </c>
      <c r="K153" s="26">
        <v>1.0</v>
      </c>
      <c r="L153" s="1" t="s">
        <v>304</v>
      </c>
      <c r="M153" s="1" t="s">
        <v>150</v>
      </c>
      <c r="N153" s="1">
        <v>2.0</v>
      </c>
      <c r="O153" s="33"/>
    </row>
    <row r="154">
      <c r="A154" s="1" t="s">
        <v>305</v>
      </c>
      <c r="B154" s="27">
        <v>3.76353178E8</v>
      </c>
      <c r="C154" s="61">
        <v>616972.42</v>
      </c>
      <c r="D154" s="61">
        <v>960084.6</v>
      </c>
      <c r="E154" s="27">
        <v>570419.0</v>
      </c>
      <c r="F154" s="27">
        <v>3552727.0</v>
      </c>
      <c r="G154" s="1">
        <v>392.0</v>
      </c>
      <c r="H154" s="1">
        <v>392.0</v>
      </c>
      <c r="I154" s="1">
        <v>100.0</v>
      </c>
      <c r="J154" s="1">
        <v>5.56</v>
      </c>
      <c r="K154" s="26">
        <v>1.0</v>
      </c>
      <c r="L154" s="1" t="s">
        <v>306</v>
      </c>
      <c r="M154" s="1" t="s">
        <v>182</v>
      </c>
      <c r="N154" s="1">
        <v>2.0</v>
      </c>
      <c r="O154" s="33"/>
    </row>
    <row r="155">
      <c r="A155" s="1" t="s">
        <v>218</v>
      </c>
      <c r="B155" s="27">
        <v>3.66766344E8</v>
      </c>
      <c r="C155" s="61">
        <v>601256.3</v>
      </c>
      <c r="D155" s="61">
        <v>1574105.0</v>
      </c>
      <c r="E155" s="27">
        <v>683623.0</v>
      </c>
      <c r="F155" s="27">
        <v>5823129.0</v>
      </c>
      <c r="G155" s="1">
        <v>233.0</v>
      </c>
      <c r="H155" s="1">
        <v>233.0</v>
      </c>
      <c r="I155" s="1">
        <v>100.0</v>
      </c>
      <c r="J155" s="1">
        <v>7.61</v>
      </c>
      <c r="K155" s="26">
        <v>1.0</v>
      </c>
      <c r="L155" s="1" t="s">
        <v>307</v>
      </c>
      <c r="M155" s="1" t="s">
        <v>193</v>
      </c>
      <c r="N155" s="1">
        <v>2.0</v>
      </c>
      <c r="O155" s="33"/>
    </row>
    <row r="156">
      <c r="A156" s="1" t="s">
        <v>308</v>
      </c>
      <c r="B156" s="27">
        <v>3.59520409E8</v>
      </c>
      <c r="C156" s="61">
        <v>589377.72</v>
      </c>
      <c r="D156" s="61">
        <v>1.997336E7</v>
      </c>
      <c r="E156" s="27">
        <v>5690583.0</v>
      </c>
      <c r="F156" s="27">
        <v>7.4466016E7</v>
      </c>
      <c r="G156" s="1">
        <v>18.0</v>
      </c>
      <c r="H156" s="1">
        <v>18.0</v>
      </c>
      <c r="I156" s="1">
        <v>100.0</v>
      </c>
      <c r="J156" s="1">
        <v>33.29</v>
      </c>
      <c r="K156" s="26">
        <v>1.0</v>
      </c>
      <c r="L156" s="1" t="s">
        <v>309</v>
      </c>
      <c r="M156" s="1" t="s">
        <v>210</v>
      </c>
      <c r="N156" s="1">
        <v>2.0</v>
      </c>
      <c r="O156" s="33"/>
    </row>
    <row r="157">
      <c r="A157" s="1" t="s">
        <v>310</v>
      </c>
      <c r="B157" s="27">
        <v>3.46132643E8</v>
      </c>
      <c r="C157" s="61">
        <v>567430.56</v>
      </c>
      <c r="D157" s="61">
        <v>3461327.0</v>
      </c>
      <c r="E157" s="27">
        <v>1180432.0</v>
      </c>
      <c r="F157" s="27">
        <v>7468341.0</v>
      </c>
      <c r="G157" s="1">
        <v>100.0</v>
      </c>
      <c r="H157" s="1">
        <v>100.0</v>
      </c>
      <c r="I157" s="1">
        <v>100.0</v>
      </c>
      <c r="J157" s="1">
        <v>12.04</v>
      </c>
      <c r="K157" s="26">
        <v>1.0</v>
      </c>
      <c r="L157" s="1" t="s">
        <v>311</v>
      </c>
      <c r="M157" s="1" t="s">
        <v>210</v>
      </c>
      <c r="N157" s="1">
        <v>2.0</v>
      </c>
      <c r="O157" s="33"/>
    </row>
    <row r="158">
      <c r="A158" s="1" t="s">
        <v>312</v>
      </c>
      <c r="B158" s="27">
        <v>3.44904255E8</v>
      </c>
      <c r="C158" s="61">
        <v>565416.81</v>
      </c>
      <c r="D158" s="61">
        <v>934699.9</v>
      </c>
      <c r="E158" s="27">
        <v>316635.0</v>
      </c>
      <c r="F158" s="27">
        <v>7158863.0</v>
      </c>
      <c r="G158" s="1">
        <v>369.0</v>
      </c>
      <c r="H158" s="1">
        <v>369.0</v>
      </c>
      <c r="I158" s="1">
        <v>100.0</v>
      </c>
      <c r="J158" s="1">
        <v>2.99</v>
      </c>
      <c r="K158" s="26">
        <v>1.0</v>
      </c>
      <c r="L158" s="1" t="s">
        <v>313</v>
      </c>
      <c r="M158" s="1" t="s">
        <v>172</v>
      </c>
      <c r="N158" s="1">
        <v>2.0</v>
      </c>
      <c r="O158" s="33"/>
    </row>
    <row r="159">
      <c r="A159" s="1" t="s">
        <v>314</v>
      </c>
      <c r="B159" s="27">
        <v>3.21961554E8</v>
      </c>
      <c r="C159" s="61">
        <v>527805.83</v>
      </c>
      <c r="D159" s="61">
        <v>8943377.0</v>
      </c>
      <c r="E159" s="27">
        <v>3411600.0</v>
      </c>
      <c r="F159" s="27">
        <v>1.5141626E7</v>
      </c>
      <c r="G159" s="1">
        <v>36.0</v>
      </c>
      <c r="H159" s="1">
        <v>36.0</v>
      </c>
      <c r="I159" s="1">
        <v>100.0</v>
      </c>
      <c r="J159" s="1">
        <v>34.82</v>
      </c>
      <c r="K159" s="26">
        <v>1.0</v>
      </c>
      <c r="L159" s="1" t="s">
        <v>315</v>
      </c>
      <c r="M159" s="1" t="s">
        <v>210</v>
      </c>
      <c r="N159" s="1">
        <v>2.0</v>
      </c>
      <c r="O159" s="33"/>
    </row>
    <row r="160">
      <c r="A160" s="1" t="s">
        <v>316</v>
      </c>
      <c r="B160" s="27">
        <v>3.1878591E8</v>
      </c>
      <c r="C160" s="61">
        <v>522599.85</v>
      </c>
      <c r="D160" s="61">
        <v>5692606.0</v>
      </c>
      <c r="E160" s="27">
        <v>799315.0</v>
      </c>
      <c r="F160" s="27">
        <v>2.7402158E7</v>
      </c>
      <c r="G160" s="1">
        <v>56.0</v>
      </c>
      <c r="H160" s="1">
        <v>56.0</v>
      </c>
      <c r="I160" s="1">
        <v>100.0</v>
      </c>
      <c r="J160" s="1">
        <v>11.05</v>
      </c>
      <c r="K160" s="26">
        <v>1.0</v>
      </c>
      <c r="L160" s="1" t="s">
        <v>317</v>
      </c>
      <c r="M160" s="1" t="s">
        <v>210</v>
      </c>
      <c r="N160" s="1">
        <v>2.0</v>
      </c>
      <c r="O160" s="33"/>
    </row>
    <row r="161">
      <c r="A161" s="1" t="s">
        <v>318</v>
      </c>
      <c r="B161" s="27">
        <v>2.96893309E8</v>
      </c>
      <c r="C161" s="61">
        <v>486710.34</v>
      </c>
      <c r="D161" s="61">
        <v>942518.4</v>
      </c>
      <c r="E161" s="27">
        <v>405489.0</v>
      </c>
      <c r="F161" s="27">
        <v>7910324.0</v>
      </c>
      <c r="G161" s="1">
        <v>315.0</v>
      </c>
      <c r="H161" s="1">
        <v>315.0</v>
      </c>
      <c r="I161" s="1">
        <v>100.0</v>
      </c>
      <c r="J161" s="1">
        <v>2.77</v>
      </c>
      <c r="K161" s="26">
        <v>1.0</v>
      </c>
      <c r="L161" s="1" t="s">
        <v>319</v>
      </c>
      <c r="M161" s="1" t="s">
        <v>193</v>
      </c>
      <c r="N161" s="1">
        <v>2.0</v>
      </c>
      <c r="O161" s="33"/>
    </row>
    <row r="162">
      <c r="A162" s="1" t="s">
        <v>183</v>
      </c>
      <c r="B162" s="27">
        <v>2.9236062E8</v>
      </c>
      <c r="C162" s="61">
        <v>479279.7</v>
      </c>
      <c r="D162" s="61">
        <v>3748213.0</v>
      </c>
      <c r="E162" s="27">
        <v>1780564.0</v>
      </c>
      <c r="F162" s="27">
        <v>2.4291169E7</v>
      </c>
      <c r="G162" s="1">
        <v>78.0</v>
      </c>
      <c r="H162" s="1">
        <v>78.0</v>
      </c>
      <c r="I162" s="1">
        <v>100.0</v>
      </c>
      <c r="J162" s="1">
        <v>12.02</v>
      </c>
      <c r="K162" s="26">
        <v>1.0</v>
      </c>
      <c r="L162" s="1" t="s">
        <v>320</v>
      </c>
      <c r="M162" s="1" t="s">
        <v>156</v>
      </c>
      <c r="N162" s="1">
        <v>2.0</v>
      </c>
      <c r="O162" s="33"/>
    </row>
    <row r="163">
      <c r="A163" s="1" t="s">
        <v>208</v>
      </c>
      <c r="B163" s="27">
        <v>2.79158415E8</v>
      </c>
      <c r="C163" s="61">
        <v>457636.75</v>
      </c>
      <c r="D163" s="61">
        <v>627322.3</v>
      </c>
      <c r="E163" s="27">
        <v>345132.0</v>
      </c>
      <c r="F163" s="27">
        <v>1657573.0</v>
      </c>
      <c r="G163" s="1">
        <v>445.0</v>
      </c>
      <c r="H163" s="1">
        <v>445.0</v>
      </c>
      <c r="I163" s="1">
        <v>100.0</v>
      </c>
      <c r="J163" s="1">
        <v>1.84</v>
      </c>
      <c r="K163" s="26">
        <v>1.0</v>
      </c>
      <c r="L163" s="1" t="s">
        <v>321</v>
      </c>
      <c r="M163" s="1" t="s">
        <v>210</v>
      </c>
      <c r="N163" s="1">
        <v>2.0</v>
      </c>
      <c r="O163" s="33"/>
    </row>
    <row r="164">
      <c r="A164" s="1" t="s">
        <v>322</v>
      </c>
      <c r="B164" s="27">
        <v>2.7758699E8</v>
      </c>
      <c r="C164" s="61">
        <v>455060.64</v>
      </c>
      <c r="D164" s="61">
        <v>913115.1</v>
      </c>
      <c r="E164" s="27">
        <v>355699.0</v>
      </c>
      <c r="F164" s="27">
        <v>6386574.0</v>
      </c>
      <c r="G164" s="1">
        <v>304.0</v>
      </c>
      <c r="H164" s="1">
        <v>304.0</v>
      </c>
      <c r="I164" s="1">
        <v>100.0</v>
      </c>
      <c r="J164" s="1">
        <v>3.08</v>
      </c>
      <c r="K164" s="26">
        <v>1.0</v>
      </c>
      <c r="L164" s="1" t="s">
        <v>323</v>
      </c>
      <c r="M164" s="1" t="s">
        <v>172</v>
      </c>
      <c r="N164" s="1">
        <v>2.0</v>
      </c>
      <c r="O164" s="33"/>
    </row>
    <row r="165">
      <c r="A165" s="1" t="s">
        <v>324</v>
      </c>
      <c r="B165" s="27">
        <v>2.73360094E8</v>
      </c>
      <c r="C165" s="61">
        <v>448131.3</v>
      </c>
      <c r="D165" s="61">
        <v>2070910.0</v>
      </c>
      <c r="E165" s="27">
        <v>1260837.0</v>
      </c>
      <c r="F165" s="27">
        <v>6703692.0</v>
      </c>
      <c r="G165" s="1">
        <v>132.0</v>
      </c>
      <c r="H165" s="1">
        <v>132.0</v>
      </c>
      <c r="I165" s="1">
        <v>100.0</v>
      </c>
      <c r="J165" s="1">
        <v>7.26</v>
      </c>
      <c r="K165" s="26">
        <v>1.0</v>
      </c>
      <c r="L165" s="1" t="s">
        <v>325</v>
      </c>
      <c r="M165" s="1" t="s">
        <v>182</v>
      </c>
      <c r="N165" s="1">
        <v>2.0</v>
      </c>
      <c r="O165" s="33"/>
    </row>
    <row r="166">
      <c r="A166" s="1" t="s">
        <v>326</v>
      </c>
      <c r="B166" s="27">
        <v>2.67540665E8</v>
      </c>
      <c r="C166" s="61">
        <v>438591.25</v>
      </c>
      <c r="D166" s="61">
        <v>1938701.0</v>
      </c>
      <c r="E166" s="27">
        <v>665665.0</v>
      </c>
      <c r="F166" s="27">
        <v>5826520.0</v>
      </c>
      <c r="G166" s="1">
        <v>138.0</v>
      </c>
      <c r="H166" s="1">
        <v>138.0</v>
      </c>
      <c r="I166" s="1">
        <v>100.0</v>
      </c>
      <c r="J166" s="1">
        <v>5.1</v>
      </c>
      <c r="K166" s="26">
        <v>1.0</v>
      </c>
      <c r="L166" s="1" t="s">
        <v>327</v>
      </c>
      <c r="M166" s="1" t="s">
        <v>156</v>
      </c>
      <c r="N166" s="1">
        <v>2.0</v>
      </c>
      <c r="O166" s="33"/>
    </row>
    <row r="167">
      <c r="A167" s="1" t="s">
        <v>328</v>
      </c>
      <c r="B167" s="27">
        <v>2.6706329E8</v>
      </c>
      <c r="C167" s="61">
        <v>437808.67</v>
      </c>
      <c r="D167" s="61">
        <v>2.427848E7</v>
      </c>
      <c r="E167" s="27">
        <v>1.037799E7</v>
      </c>
      <c r="F167" s="27">
        <v>3.6803731E7</v>
      </c>
      <c r="G167" s="1">
        <v>11.0</v>
      </c>
      <c r="H167" s="1">
        <v>11.0</v>
      </c>
      <c r="I167" s="1">
        <v>100.0</v>
      </c>
      <c r="J167" s="1">
        <v>59.3</v>
      </c>
      <c r="K167" s="26">
        <v>1.0</v>
      </c>
      <c r="L167" s="1" t="s">
        <v>329</v>
      </c>
      <c r="M167" s="1" t="s">
        <v>210</v>
      </c>
      <c r="N167" s="1">
        <v>2.0</v>
      </c>
      <c r="O167" s="33"/>
    </row>
    <row r="168">
      <c r="A168" s="1" t="s">
        <v>330</v>
      </c>
      <c r="B168" s="27">
        <v>2.64830226E8</v>
      </c>
      <c r="C168" s="61">
        <v>434147.91</v>
      </c>
      <c r="D168" s="61">
        <v>561081.0</v>
      </c>
      <c r="E168" s="27">
        <v>209300.0</v>
      </c>
      <c r="F168" s="27">
        <v>2301954.0</v>
      </c>
      <c r="G168" s="1">
        <v>472.0</v>
      </c>
      <c r="H168" s="1">
        <v>472.0</v>
      </c>
      <c r="I168" s="1">
        <v>100.0</v>
      </c>
      <c r="J168" s="1">
        <v>1.66</v>
      </c>
      <c r="K168" s="26">
        <v>1.0</v>
      </c>
      <c r="L168" s="1" t="s">
        <v>331</v>
      </c>
      <c r="M168" s="1" t="s">
        <v>210</v>
      </c>
      <c r="N168" s="1">
        <v>2.0</v>
      </c>
      <c r="O168" s="33"/>
    </row>
    <row r="169">
      <c r="A169" s="1" t="s">
        <v>332</v>
      </c>
      <c r="B169" s="27">
        <v>2.57893918E8</v>
      </c>
      <c r="C169" s="61">
        <v>422776.91</v>
      </c>
      <c r="D169" s="61">
        <v>3107156.0</v>
      </c>
      <c r="E169" s="27">
        <v>1389077.0</v>
      </c>
      <c r="F169" s="27">
        <v>1.0005449E7</v>
      </c>
      <c r="G169" s="1">
        <v>83.0</v>
      </c>
      <c r="H169" s="1">
        <v>83.0</v>
      </c>
      <c r="I169" s="1">
        <v>100.0</v>
      </c>
      <c r="J169" s="1">
        <v>7.66</v>
      </c>
      <c r="K169" s="26">
        <v>1.0</v>
      </c>
      <c r="L169" s="1" t="s">
        <v>333</v>
      </c>
      <c r="M169" s="1" t="s">
        <v>210</v>
      </c>
      <c r="N169" s="1">
        <v>2.0</v>
      </c>
      <c r="O169" s="33"/>
    </row>
    <row r="170">
      <c r="A170" s="1" t="s">
        <v>334</v>
      </c>
      <c r="B170" s="27">
        <v>2.3758866E8</v>
      </c>
      <c r="C170" s="61">
        <v>389489.61</v>
      </c>
      <c r="D170" s="61">
        <v>886524.8</v>
      </c>
      <c r="E170" s="27">
        <v>342780.0</v>
      </c>
      <c r="F170" s="27">
        <v>5733606.0</v>
      </c>
      <c r="G170" s="1">
        <v>268.0</v>
      </c>
      <c r="H170" s="1">
        <v>268.0</v>
      </c>
      <c r="I170" s="1">
        <v>100.0</v>
      </c>
      <c r="J170" s="1">
        <v>2.97</v>
      </c>
      <c r="K170" s="26">
        <v>1.0</v>
      </c>
      <c r="L170" s="1" t="s">
        <v>335</v>
      </c>
      <c r="M170" s="1" t="s">
        <v>187</v>
      </c>
      <c r="N170" s="1">
        <v>2.0</v>
      </c>
      <c r="O170" s="33"/>
    </row>
    <row r="171">
      <c r="A171" s="1" t="s">
        <v>336</v>
      </c>
      <c r="B171" s="27">
        <v>2.24995089E8</v>
      </c>
      <c r="C171" s="61">
        <v>368844.41</v>
      </c>
      <c r="D171" s="61">
        <v>619821.2</v>
      </c>
      <c r="E171" s="27">
        <v>361175.0</v>
      </c>
      <c r="F171" s="27">
        <v>3411563.0</v>
      </c>
      <c r="G171" s="1">
        <v>363.0</v>
      </c>
      <c r="H171" s="1">
        <v>363.0</v>
      </c>
      <c r="I171" s="1">
        <v>100.0</v>
      </c>
      <c r="J171" s="1">
        <v>2.54</v>
      </c>
      <c r="K171" s="26">
        <v>1.0</v>
      </c>
      <c r="L171" s="1" t="s">
        <v>337</v>
      </c>
      <c r="M171" s="1" t="s">
        <v>182</v>
      </c>
      <c r="N171" s="1">
        <v>2.0</v>
      </c>
      <c r="O171" s="33"/>
    </row>
    <row r="172">
      <c r="A172" s="1" t="s">
        <v>338</v>
      </c>
      <c r="B172" s="27">
        <v>2.16841212E8</v>
      </c>
      <c r="C172" s="61">
        <v>355477.4</v>
      </c>
      <c r="D172" s="61">
        <v>1.204673E7</v>
      </c>
      <c r="E172" s="27">
        <v>4995996.0</v>
      </c>
      <c r="F172" s="27">
        <v>1.8529837E7</v>
      </c>
      <c r="G172" s="1">
        <v>18.0</v>
      </c>
      <c r="H172" s="1">
        <v>18.0</v>
      </c>
      <c r="I172" s="1">
        <v>100.0</v>
      </c>
      <c r="J172" s="1">
        <v>42.23</v>
      </c>
      <c r="K172" s="26">
        <v>1.0</v>
      </c>
      <c r="L172" s="1" t="s">
        <v>339</v>
      </c>
      <c r="M172" s="1" t="s">
        <v>150</v>
      </c>
      <c r="N172" s="1">
        <v>2.0</v>
      </c>
      <c r="O172" s="33"/>
    </row>
    <row r="173">
      <c r="A173" s="1" t="s">
        <v>340</v>
      </c>
      <c r="B173" s="27">
        <v>2.06785981E8</v>
      </c>
      <c r="C173" s="61">
        <v>338993.41</v>
      </c>
      <c r="D173" s="61">
        <v>1406707.0</v>
      </c>
      <c r="E173" s="27">
        <v>17721.0</v>
      </c>
      <c r="F173" s="27">
        <v>6242852.0</v>
      </c>
      <c r="G173" s="1">
        <v>147.0</v>
      </c>
      <c r="H173" s="1">
        <v>147.0</v>
      </c>
      <c r="I173" s="1">
        <v>100.0</v>
      </c>
      <c r="J173" s="1">
        <v>5.21</v>
      </c>
      <c r="K173" s="26">
        <v>1.0</v>
      </c>
      <c r="L173" s="1" t="s">
        <v>341</v>
      </c>
      <c r="M173" s="1" t="s">
        <v>154</v>
      </c>
      <c r="N173" s="1">
        <v>2.0</v>
      </c>
      <c r="O173" s="33"/>
    </row>
    <row r="174">
      <c r="A174" s="1" t="s">
        <v>342</v>
      </c>
      <c r="B174" s="27">
        <v>1.99933402E8</v>
      </c>
      <c r="C174" s="61">
        <v>327759.68</v>
      </c>
      <c r="D174" s="61">
        <v>4253903.0</v>
      </c>
      <c r="E174" s="27">
        <v>2170987.0</v>
      </c>
      <c r="F174" s="27">
        <v>8492451.0</v>
      </c>
      <c r="G174" s="1">
        <v>47.0</v>
      </c>
      <c r="H174" s="1">
        <v>47.0</v>
      </c>
      <c r="I174" s="1">
        <v>100.0</v>
      </c>
      <c r="J174" s="1">
        <v>20.17</v>
      </c>
      <c r="K174" s="26">
        <v>1.0</v>
      </c>
      <c r="L174" s="1" t="s">
        <v>343</v>
      </c>
      <c r="M174" s="1" t="s">
        <v>182</v>
      </c>
      <c r="N174" s="1">
        <v>2.0</v>
      </c>
      <c r="O174" s="33"/>
    </row>
    <row r="175">
      <c r="A175" s="1" t="s">
        <v>344</v>
      </c>
      <c r="B175" s="27">
        <v>1.99432018E8</v>
      </c>
      <c r="C175" s="61">
        <v>326937.73</v>
      </c>
      <c r="D175" s="61">
        <v>977607.9</v>
      </c>
      <c r="E175" s="27">
        <v>246525.0</v>
      </c>
      <c r="F175" s="27">
        <v>7275677.0</v>
      </c>
      <c r="G175" s="1">
        <v>204.0</v>
      </c>
      <c r="H175" s="1">
        <v>204.0</v>
      </c>
      <c r="I175" s="1">
        <v>100.0</v>
      </c>
      <c r="J175" s="1">
        <v>4.68</v>
      </c>
      <c r="K175" s="26">
        <v>1.0</v>
      </c>
      <c r="L175" s="1" t="s">
        <v>345</v>
      </c>
      <c r="M175" s="1" t="s">
        <v>210</v>
      </c>
      <c r="N175" s="1">
        <v>2.0</v>
      </c>
      <c r="O175" s="33"/>
    </row>
    <row r="176">
      <c r="A176" s="1" t="s">
        <v>346</v>
      </c>
      <c r="B176" s="27">
        <v>1.98008978E8</v>
      </c>
      <c r="C176" s="61">
        <v>324604.88</v>
      </c>
      <c r="D176" s="61">
        <v>453109.8</v>
      </c>
      <c r="E176" s="27">
        <v>258582.0</v>
      </c>
      <c r="F176" s="27">
        <v>1372285.0</v>
      </c>
      <c r="G176" s="1">
        <v>437.0</v>
      </c>
      <c r="H176" s="1">
        <v>437.0</v>
      </c>
      <c r="I176" s="1">
        <v>100.0</v>
      </c>
      <c r="J176" s="1">
        <v>1.72</v>
      </c>
      <c r="K176" s="26">
        <v>1.0</v>
      </c>
      <c r="L176" s="1" t="s">
        <v>347</v>
      </c>
      <c r="M176" s="1" t="s">
        <v>172</v>
      </c>
      <c r="N176" s="1">
        <v>2.0</v>
      </c>
      <c r="O176" s="33"/>
    </row>
    <row r="177">
      <c r="A177" s="1" t="s">
        <v>348</v>
      </c>
      <c r="B177" s="27">
        <v>1.89593663E8</v>
      </c>
      <c r="C177" s="61">
        <v>310809.28</v>
      </c>
      <c r="D177" s="61">
        <v>96289.31</v>
      </c>
      <c r="E177" s="27">
        <v>43456.0</v>
      </c>
      <c r="F177" s="27">
        <v>334475.0</v>
      </c>
      <c r="G177" s="27">
        <v>1969.0</v>
      </c>
      <c r="H177" s="27">
        <v>1969.0</v>
      </c>
      <c r="I177" s="1">
        <v>100.0</v>
      </c>
      <c r="J177" s="1">
        <v>1.0</v>
      </c>
      <c r="K177" s="26">
        <v>1.0</v>
      </c>
      <c r="L177" s="1" t="s">
        <v>349</v>
      </c>
      <c r="M177" s="1" t="s">
        <v>156</v>
      </c>
      <c r="N177" s="1">
        <v>2.0</v>
      </c>
      <c r="O177" s="33"/>
    </row>
    <row r="178">
      <c r="A178" s="1" t="s">
        <v>350</v>
      </c>
      <c r="B178" s="27">
        <v>1.8793772E8</v>
      </c>
      <c r="C178" s="61">
        <v>308094.62</v>
      </c>
      <c r="D178" s="61">
        <v>1789883.0</v>
      </c>
      <c r="E178" s="27">
        <v>1158927.0</v>
      </c>
      <c r="F178" s="27">
        <v>3327434.0</v>
      </c>
      <c r="G178" s="1">
        <v>105.0</v>
      </c>
      <c r="H178" s="1">
        <v>105.0</v>
      </c>
      <c r="I178" s="1">
        <v>100.0</v>
      </c>
      <c r="J178" s="1">
        <v>5.77</v>
      </c>
      <c r="K178" s="26">
        <v>1.0</v>
      </c>
      <c r="L178" s="1" t="s">
        <v>351</v>
      </c>
      <c r="M178" s="1" t="s">
        <v>172</v>
      </c>
      <c r="N178" s="1">
        <v>2.0</v>
      </c>
      <c r="O178" s="33"/>
    </row>
    <row r="179">
      <c r="A179" s="1" t="s">
        <v>352</v>
      </c>
      <c r="B179" s="27">
        <v>1.86234503E8</v>
      </c>
      <c r="C179" s="61">
        <v>305302.46</v>
      </c>
      <c r="D179" s="61">
        <v>969971.3</v>
      </c>
      <c r="E179" s="27">
        <v>495528.0</v>
      </c>
      <c r="F179" s="27">
        <v>2416336.0</v>
      </c>
      <c r="G179" s="1">
        <v>192.0</v>
      </c>
      <c r="H179" s="1">
        <v>192.0</v>
      </c>
      <c r="I179" s="1">
        <v>100.0</v>
      </c>
      <c r="J179" s="1">
        <v>3.57</v>
      </c>
      <c r="K179" s="26">
        <v>1.0</v>
      </c>
      <c r="L179" s="1" t="s">
        <v>353</v>
      </c>
      <c r="M179" s="1" t="s">
        <v>210</v>
      </c>
      <c r="N179" s="1">
        <v>2.0</v>
      </c>
      <c r="O179" s="33"/>
    </row>
    <row r="180">
      <c r="A180" s="1" t="s">
        <v>178</v>
      </c>
      <c r="B180" s="27">
        <v>1.76911096E8</v>
      </c>
      <c r="C180" s="61">
        <v>290018.19</v>
      </c>
      <c r="D180" s="61">
        <v>581944.4</v>
      </c>
      <c r="E180" s="27">
        <v>161378.0</v>
      </c>
      <c r="F180" s="27">
        <v>7420526.0</v>
      </c>
      <c r="G180" s="1">
        <v>304.0</v>
      </c>
      <c r="H180" s="1">
        <v>304.0</v>
      </c>
      <c r="I180" s="1">
        <v>100.0</v>
      </c>
      <c r="J180" s="1">
        <v>2.18</v>
      </c>
      <c r="K180" s="26">
        <v>1.0</v>
      </c>
      <c r="L180" s="1" t="s">
        <v>179</v>
      </c>
      <c r="M180" s="1" t="s">
        <v>150</v>
      </c>
      <c r="N180" s="1">
        <v>2.0</v>
      </c>
      <c r="O180" s="33"/>
    </row>
    <row r="181">
      <c r="A181" s="1" t="s">
        <v>354</v>
      </c>
      <c r="B181" s="27">
        <v>1.64425049E8</v>
      </c>
      <c r="C181" s="61">
        <v>269549.26</v>
      </c>
      <c r="D181" s="61">
        <v>615824.2</v>
      </c>
      <c r="E181" s="27">
        <v>314213.0</v>
      </c>
      <c r="F181" s="27">
        <v>2246168.0</v>
      </c>
      <c r="G181" s="1">
        <v>267.0</v>
      </c>
      <c r="H181" s="1">
        <v>267.0</v>
      </c>
      <c r="I181" s="1">
        <v>100.0</v>
      </c>
      <c r="J181" s="1">
        <v>3.8</v>
      </c>
      <c r="K181" s="26">
        <v>1.0</v>
      </c>
      <c r="L181" s="1" t="s">
        <v>355</v>
      </c>
      <c r="M181" s="1" t="s">
        <v>182</v>
      </c>
      <c r="N181" s="1">
        <v>2.0</v>
      </c>
      <c r="O181" s="33"/>
    </row>
    <row r="182">
      <c r="A182" s="1" t="s">
        <v>356</v>
      </c>
      <c r="B182" s="27">
        <v>1.62613533E8</v>
      </c>
      <c r="C182" s="61">
        <v>266579.56</v>
      </c>
      <c r="D182" s="61">
        <v>4782751.0</v>
      </c>
      <c r="E182" s="27">
        <v>2827235.0</v>
      </c>
      <c r="F182" s="27">
        <v>7575304.0</v>
      </c>
      <c r="G182" s="1">
        <v>34.0</v>
      </c>
      <c r="H182" s="1">
        <v>34.0</v>
      </c>
      <c r="I182" s="1">
        <v>100.0</v>
      </c>
      <c r="J182" s="1">
        <v>27.71</v>
      </c>
      <c r="K182" s="26">
        <v>1.0</v>
      </c>
      <c r="L182" s="1" t="s">
        <v>357</v>
      </c>
      <c r="M182" s="1" t="s">
        <v>182</v>
      </c>
      <c r="N182" s="1">
        <v>2.0</v>
      </c>
      <c r="O182" s="33"/>
    </row>
    <row r="183">
      <c r="A183" s="1" t="s">
        <v>358</v>
      </c>
      <c r="B183" s="27">
        <v>1.48588091E8</v>
      </c>
      <c r="C183" s="61">
        <v>243587.03</v>
      </c>
      <c r="D183" s="61">
        <v>448906.6</v>
      </c>
      <c r="E183" s="27">
        <v>135435.0</v>
      </c>
      <c r="F183" s="27">
        <v>4296190.0</v>
      </c>
      <c r="G183" s="1">
        <v>331.0</v>
      </c>
      <c r="H183" s="1">
        <v>331.0</v>
      </c>
      <c r="I183" s="1">
        <v>100.0</v>
      </c>
      <c r="J183" s="1">
        <v>2.79</v>
      </c>
      <c r="K183" s="26">
        <v>1.0</v>
      </c>
      <c r="L183" s="1" t="s">
        <v>359</v>
      </c>
      <c r="M183" s="1" t="s">
        <v>182</v>
      </c>
      <c r="N183" s="1">
        <v>2.0</v>
      </c>
      <c r="O183" s="33"/>
    </row>
    <row r="184">
      <c r="A184" s="1" t="s">
        <v>360</v>
      </c>
      <c r="B184" s="27">
        <v>1.34278568E8</v>
      </c>
      <c r="C184" s="61">
        <v>220128.8</v>
      </c>
      <c r="D184" s="61">
        <v>1525893.0</v>
      </c>
      <c r="E184" s="27">
        <v>151598.0</v>
      </c>
      <c r="F184" s="27">
        <v>1.1765836E7</v>
      </c>
      <c r="G184" s="1">
        <v>88.0</v>
      </c>
      <c r="H184" s="1">
        <v>88.0</v>
      </c>
      <c r="I184" s="1">
        <v>100.0</v>
      </c>
      <c r="J184" s="1">
        <v>8.64</v>
      </c>
      <c r="K184" s="26">
        <v>1.0</v>
      </c>
      <c r="L184" s="1" t="s">
        <v>361</v>
      </c>
      <c r="M184" s="1" t="s">
        <v>187</v>
      </c>
      <c r="N184" s="1">
        <v>2.0</v>
      </c>
      <c r="O184" s="33"/>
    </row>
    <row r="185">
      <c r="A185" s="1" t="s">
        <v>362</v>
      </c>
      <c r="B185" s="27">
        <v>1.33816073E8</v>
      </c>
      <c r="C185" s="61">
        <v>219370.61</v>
      </c>
      <c r="D185" s="61">
        <v>4614348.0</v>
      </c>
      <c r="E185" s="27">
        <v>2523744.0</v>
      </c>
      <c r="F185" s="27">
        <v>1.3100983E7</v>
      </c>
      <c r="G185" s="1">
        <v>29.0</v>
      </c>
      <c r="H185" s="1">
        <v>31.0</v>
      </c>
      <c r="I185" s="1">
        <v>93.55</v>
      </c>
      <c r="J185" s="1">
        <v>18.93</v>
      </c>
      <c r="K185" s="26">
        <v>1.0</v>
      </c>
      <c r="L185" s="1" t="s">
        <v>363</v>
      </c>
      <c r="M185" s="1" t="s">
        <v>210</v>
      </c>
      <c r="N185" s="1">
        <v>2.0</v>
      </c>
      <c r="O185" s="33"/>
    </row>
    <row r="186">
      <c r="A186" s="1" t="s">
        <v>364</v>
      </c>
      <c r="B186" s="27">
        <v>1.3276353E8</v>
      </c>
      <c r="C186" s="61">
        <v>217645.13</v>
      </c>
      <c r="D186" s="61">
        <v>2504972.0</v>
      </c>
      <c r="E186" s="27">
        <v>1002198.0</v>
      </c>
      <c r="F186" s="27">
        <v>7775005.0</v>
      </c>
      <c r="G186" s="1">
        <v>53.0</v>
      </c>
      <c r="H186" s="1">
        <v>53.0</v>
      </c>
      <c r="I186" s="1">
        <v>100.0</v>
      </c>
      <c r="J186" s="1">
        <v>17.29</v>
      </c>
      <c r="K186" s="26">
        <v>1.0</v>
      </c>
      <c r="L186" s="1" t="s">
        <v>365</v>
      </c>
      <c r="M186" s="1" t="s">
        <v>182</v>
      </c>
      <c r="N186" s="1">
        <v>2.0</v>
      </c>
      <c r="O186" s="33"/>
    </row>
    <row r="187">
      <c r="A187" s="1" t="s">
        <v>366</v>
      </c>
      <c r="B187" s="27">
        <v>1.32542951E8</v>
      </c>
      <c r="C187" s="61">
        <v>217283.53</v>
      </c>
      <c r="D187" s="61">
        <v>728258.0</v>
      </c>
      <c r="E187" s="27">
        <v>178347.0</v>
      </c>
      <c r="F187" s="27">
        <v>9164746.0</v>
      </c>
      <c r="G187" s="1">
        <v>182.0</v>
      </c>
      <c r="H187" s="1">
        <v>182.0</v>
      </c>
      <c r="I187" s="1">
        <v>100.0</v>
      </c>
      <c r="J187" s="1">
        <v>5.26</v>
      </c>
      <c r="K187" s="26">
        <v>1.0</v>
      </c>
      <c r="L187" s="1" t="s">
        <v>367</v>
      </c>
      <c r="M187" s="1" t="s">
        <v>156</v>
      </c>
      <c r="N187" s="1">
        <v>2.0</v>
      </c>
      <c r="O187" s="33"/>
    </row>
    <row r="188">
      <c r="A188" s="1" t="s">
        <v>368</v>
      </c>
      <c r="B188" s="27">
        <v>1.30515186E8</v>
      </c>
      <c r="C188" s="61">
        <v>213959.32</v>
      </c>
      <c r="D188" s="61">
        <v>3183297.0</v>
      </c>
      <c r="E188" s="27">
        <v>1558268.0</v>
      </c>
      <c r="F188" s="27">
        <v>1.2049926E7</v>
      </c>
      <c r="G188" s="1">
        <v>41.0</v>
      </c>
      <c r="H188" s="1">
        <v>41.0</v>
      </c>
      <c r="I188" s="1">
        <v>100.0</v>
      </c>
      <c r="J188" s="1">
        <v>20.24</v>
      </c>
      <c r="K188" s="26">
        <v>1.0</v>
      </c>
      <c r="L188" s="1" t="s">
        <v>369</v>
      </c>
      <c r="M188" s="1" t="s">
        <v>182</v>
      </c>
      <c r="N188" s="1">
        <v>2.0</v>
      </c>
      <c r="O188" s="33"/>
    </row>
    <row r="189">
      <c r="A189" s="1" t="s">
        <v>370</v>
      </c>
      <c r="B189" s="27">
        <v>1.298806E8</v>
      </c>
      <c r="C189" s="61">
        <v>212919.02</v>
      </c>
      <c r="D189" s="61">
        <v>2239321.0</v>
      </c>
      <c r="E189" s="27">
        <v>1497734.0</v>
      </c>
      <c r="F189" s="27">
        <v>5666629.0</v>
      </c>
      <c r="G189" s="1">
        <v>58.0</v>
      </c>
      <c r="H189" s="1">
        <v>58.0</v>
      </c>
      <c r="I189" s="1">
        <v>100.0</v>
      </c>
      <c r="J189" s="1">
        <v>10.36</v>
      </c>
      <c r="K189" s="26">
        <v>1.0</v>
      </c>
      <c r="L189" s="1" t="s">
        <v>371</v>
      </c>
      <c r="M189" s="1" t="s">
        <v>210</v>
      </c>
      <c r="N189" s="1">
        <v>2.0</v>
      </c>
      <c r="O189" s="33"/>
    </row>
    <row r="190">
      <c r="A190" s="1" t="s">
        <v>372</v>
      </c>
      <c r="B190" s="27">
        <v>1.26139994E8</v>
      </c>
      <c r="C190" s="61">
        <v>206786.88</v>
      </c>
      <c r="D190" s="61">
        <v>6307000.0</v>
      </c>
      <c r="E190" s="27">
        <v>3764055.0</v>
      </c>
      <c r="F190" s="27">
        <v>1.1907715E7</v>
      </c>
      <c r="G190" s="1">
        <v>20.0</v>
      </c>
      <c r="H190" s="1">
        <v>22.0</v>
      </c>
      <c r="I190" s="1">
        <v>90.91</v>
      </c>
      <c r="J190" s="1">
        <v>27.33</v>
      </c>
      <c r="K190" s="26">
        <v>1.0</v>
      </c>
      <c r="L190" s="1" t="s">
        <v>373</v>
      </c>
      <c r="M190" s="1" t="s">
        <v>210</v>
      </c>
      <c r="N190" s="1">
        <v>2.0</v>
      </c>
      <c r="O190" s="33"/>
    </row>
    <row r="191">
      <c r="A191" s="1" t="s">
        <v>374</v>
      </c>
      <c r="B191" s="27">
        <v>1.25308036E8</v>
      </c>
      <c r="C191" s="61">
        <v>205423.01</v>
      </c>
      <c r="D191" s="61">
        <v>427672.5</v>
      </c>
      <c r="E191" s="27">
        <v>288398.0</v>
      </c>
      <c r="F191" s="27">
        <v>1211229.0</v>
      </c>
      <c r="G191" s="1">
        <v>293.0</v>
      </c>
      <c r="H191" s="1">
        <v>293.0</v>
      </c>
      <c r="I191" s="1">
        <v>100.0</v>
      </c>
      <c r="J191" s="1">
        <v>3.05</v>
      </c>
      <c r="K191" s="26">
        <v>1.0</v>
      </c>
      <c r="L191" s="1" t="s">
        <v>375</v>
      </c>
      <c r="M191" s="1" t="s">
        <v>182</v>
      </c>
      <c r="N191" s="1">
        <v>2.0</v>
      </c>
      <c r="O191" s="33"/>
    </row>
    <row r="192">
      <c r="A192" s="1" t="s">
        <v>376</v>
      </c>
      <c r="B192" s="27">
        <v>1.25290647E8</v>
      </c>
      <c r="C192" s="61">
        <v>205394.5</v>
      </c>
      <c r="D192" s="61">
        <v>7370038.0</v>
      </c>
      <c r="E192" s="27">
        <v>4348394.0</v>
      </c>
      <c r="F192" s="27">
        <v>1.1824422E7</v>
      </c>
      <c r="G192" s="1">
        <v>17.0</v>
      </c>
      <c r="H192" s="1">
        <v>17.0</v>
      </c>
      <c r="I192" s="1">
        <v>100.0</v>
      </c>
      <c r="J192" s="1">
        <v>37.0</v>
      </c>
      <c r="K192" s="26">
        <v>1.0</v>
      </c>
      <c r="L192" s="1" t="s">
        <v>377</v>
      </c>
      <c r="M192" s="1" t="s">
        <v>210</v>
      </c>
      <c r="N192" s="1">
        <v>2.0</v>
      </c>
      <c r="O192" s="33"/>
    </row>
    <row r="193">
      <c r="A193" s="1" t="s">
        <v>378</v>
      </c>
      <c r="B193" s="27">
        <v>1.25171982E8</v>
      </c>
      <c r="C193" s="61">
        <v>205199.97</v>
      </c>
      <c r="D193" s="61">
        <v>1117607.0</v>
      </c>
      <c r="E193" s="27">
        <v>388426.0</v>
      </c>
      <c r="F193" s="27">
        <v>2313676.0</v>
      </c>
      <c r="G193" s="1">
        <v>112.0</v>
      </c>
      <c r="H193" s="1">
        <v>112.0</v>
      </c>
      <c r="I193" s="1">
        <v>100.0</v>
      </c>
      <c r="J193" s="1">
        <v>6.45</v>
      </c>
      <c r="K193" s="26">
        <v>1.0</v>
      </c>
      <c r="L193" s="1" t="s">
        <v>379</v>
      </c>
      <c r="M193" s="1" t="s">
        <v>210</v>
      </c>
      <c r="N193" s="1">
        <v>2.0</v>
      </c>
      <c r="O193" s="33"/>
    </row>
    <row r="194">
      <c r="A194" s="1" t="s">
        <v>380</v>
      </c>
      <c r="B194" s="27">
        <v>1.21356251E8</v>
      </c>
      <c r="C194" s="61">
        <v>198944.67</v>
      </c>
      <c r="D194" s="61">
        <v>261543.6</v>
      </c>
      <c r="E194" s="27">
        <v>147448.0</v>
      </c>
      <c r="F194" s="27">
        <v>785551.0</v>
      </c>
      <c r="G194" s="1">
        <v>464.0</v>
      </c>
      <c r="H194" s="1">
        <v>464.0</v>
      </c>
      <c r="I194" s="1">
        <v>100.0</v>
      </c>
      <c r="J194" s="1">
        <v>5.56</v>
      </c>
      <c r="K194" s="26">
        <v>1.0</v>
      </c>
      <c r="L194" s="1" t="s">
        <v>381</v>
      </c>
      <c r="M194" s="1" t="s">
        <v>182</v>
      </c>
      <c r="N194" s="1">
        <v>2.0</v>
      </c>
      <c r="O194" s="33"/>
    </row>
    <row r="195">
      <c r="A195" s="1" t="s">
        <v>185</v>
      </c>
      <c r="B195" s="27">
        <v>1.17580238E8</v>
      </c>
      <c r="C195" s="61">
        <v>192754.49</v>
      </c>
      <c r="D195" s="61">
        <v>789129.1</v>
      </c>
      <c r="E195" s="27">
        <v>445264.0</v>
      </c>
      <c r="F195" s="27">
        <v>2533036.0</v>
      </c>
      <c r="G195" s="1">
        <v>149.0</v>
      </c>
      <c r="H195" s="1">
        <v>149.0</v>
      </c>
      <c r="I195" s="1">
        <v>100.0</v>
      </c>
      <c r="J195" s="1">
        <v>4.07</v>
      </c>
      <c r="K195" s="26">
        <v>1.0</v>
      </c>
      <c r="L195" s="1" t="s">
        <v>186</v>
      </c>
      <c r="M195" s="1" t="s">
        <v>187</v>
      </c>
      <c r="N195" s="1">
        <v>2.0</v>
      </c>
      <c r="O195" s="33"/>
    </row>
    <row r="196">
      <c r="A196" s="1" t="s">
        <v>382</v>
      </c>
      <c r="B196" s="27">
        <v>1.08755328E8</v>
      </c>
      <c r="C196" s="61">
        <v>178287.42</v>
      </c>
      <c r="D196" s="61">
        <v>2132458.0</v>
      </c>
      <c r="E196" s="27">
        <v>785369.0</v>
      </c>
      <c r="F196" s="27">
        <v>5037898.0</v>
      </c>
      <c r="G196" s="1">
        <v>51.0</v>
      </c>
      <c r="H196" s="1">
        <v>51.0</v>
      </c>
      <c r="I196" s="1">
        <v>100.0</v>
      </c>
      <c r="J196" s="1">
        <v>12.06</v>
      </c>
      <c r="K196" s="26">
        <v>1.0</v>
      </c>
      <c r="L196" s="1" t="s">
        <v>383</v>
      </c>
      <c r="M196" s="1" t="s">
        <v>193</v>
      </c>
      <c r="N196" s="1">
        <v>2.0</v>
      </c>
      <c r="O196" s="33"/>
    </row>
    <row r="197">
      <c r="A197" s="1" t="s">
        <v>384</v>
      </c>
      <c r="B197" s="27">
        <v>9.837491E7</v>
      </c>
      <c r="C197" s="61">
        <v>161270.34</v>
      </c>
      <c r="D197" s="61">
        <v>3392238.0</v>
      </c>
      <c r="E197" s="27">
        <v>1754747.0</v>
      </c>
      <c r="F197" s="27">
        <v>7224278.0</v>
      </c>
      <c r="G197" s="1">
        <v>29.0</v>
      </c>
      <c r="H197" s="1">
        <v>29.0</v>
      </c>
      <c r="I197" s="1">
        <v>100.0</v>
      </c>
      <c r="J197" s="1">
        <v>30.94</v>
      </c>
      <c r="K197" s="26">
        <v>1.0</v>
      </c>
      <c r="L197" s="1" t="s">
        <v>385</v>
      </c>
      <c r="M197" s="1" t="s">
        <v>193</v>
      </c>
      <c r="N197" s="1">
        <v>2.0</v>
      </c>
      <c r="O197" s="33"/>
    </row>
    <row r="198">
      <c r="A198" s="1" t="s">
        <v>191</v>
      </c>
      <c r="B198" s="27">
        <v>9.6624741E7</v>
      </c>
      <c r="C198" s="61">
        <v>158401.21</v>
      </c>
      <c r="D198" s="61">
        <v>3220825.0</v>
      </c>
      <c r="E198" s="27">
        <v>2160739.0</v>
      </c>
      <c r="F198" s="27">
        <v>4642309.0</v>
      </c>
      <c r="G198" s="1">
        <v>30.0</v>
      </c>
      <c r="H198" s="1">
        <v>30.0</v>
      </c>
      <c r="I198" s="1">
        <v>100.0</v>
      </c>
      <c r="J198" s="1">
        <v>23.46</v>
      </c>
      <c r="K198" s="26">
        <v>1.0</v>
      </c>
      <c r="L198" s="1" t="s">
        <v>192</v>
      </c>
      <c r="M198" s="1" t="s">
        <v>193</v>
      </c>
      <c r="N198" s="1">
        <v>2.0</v>
      </c>
      <c r="O198" s="33"/>
    </row>
    <row r="199">
      <c r="A199" s="1" t="s">
        <v>386</v>
      </c>
      <c r="B199" s="27">
        <v>9.1853111E7</v>
      </c>
      <c r="C199" s="61">
        <v>150578.87</v>
      </c>
      <c r="D199" s="61">
        <v>675390.5</v>
      </c>
      <c r="E199" s="27">
        <v>282395.0</v>
      </c>
      <c r="F199" s="27">
        <v>1852249.0</v>
      </c>
      <c r="G199" s="1">
        <v>136.0</v>
      </c>
      <c r="H199" s="1">
        <v>136.0</v>
      </c>
      <c r="I199" s="1">
        <v>100.0</v>
      </c>
      <c r="J199" s="1">
        <v>4.62</v>
      </c>
      <c r="K199" s="26">
        <v>1.0</v>
      </c>
      <c r="L199" s="1" t="s">
        <v>387</v>
      </c>
      <c r="M199" s="1" t="s">
        <v>210</v>
      </c>
      <c r="N199" s="1">
        <v>2.0</v>
      </c>
      <c r="O199" s="33"/>
    </row>
    <row r="200">
      <c r="A200" s="1" t="s">
        <v>388</v>
      </c>
      <c r="B200" s="27">
        <v>9.0035351E7</v>
      </c>
      <c r="C200" s="61">
        <v>147598.94</v>
      </c>
      <c r="D200" s="61">
        <v>383129.2</v>
      </c>
      <c r="E200" s="27">
        <v>168899.0</v>
      </c>
      <c r="F200" s="27">
        <v>1597497.0</v>
      </c>
      <c r="G200" s="1">
        <v>235.0</v>
      </c>
      <c r="H200" s="1">
        <v>239.0</v>
      </c>
      <c r="I200" s="1">
        <v>98.33</v>
      </c>
      <c r="J200" s="1">
        <v>4.45</v>
      </c>
      <c r="K200" s="26">
        <v>1.0</v>
      </c>
      <c r="L200" s="1" t="s">
        <v>389</v>
      </c>
      <c r="M200" s="1" t="s">
        <v>210</v>
      </c>
      <c r="N200" s="1">
        <v>2.0</v>
      </c>
      <c r="O200" s="33"/>
    </row>
    <row r="201">
      <c r="A201" s="1" t="s">
        <v>390</v>
      </c>
      <c r="B201" s="27">
        <v>8.8544156E7</v>
      </c>
      <c r="C201" s="61">
        <v>145154.35</v>
      </c>
      <c r="D201" s="61">
        <v>6324583.0</v>
      </c>
      <c r="E201" s="27">
        <v>4162787.0</v>
      </c>
      <c r="F201" s="27">
        <v>1.4246022E7</v>
      </c>
      <c r="G201" s="1">
        <v>14.0</v>
      </c>
      <c r="H201" s="1">
        <v>14.0</v>
      </c>
      <c r="I201" s="1">
        <v>100.0</v>
      </c>
      <c r="J201" s="1">
        <v>44.46</v>
      </c>
      <c r="K201" s="26">
        <v>1.0</v>
      </c>
      <c r="L201" s="1" t="s">
        <v>391</v>
      </c>
      <c r="M201" s="1" t="s">
        <v>210</v>
      </c>
      <c r="N201" s="1">
        <v>2.0</v>
      </c>
      <c r="O201" s="33"/>
    </row>
    <row r="202">
      <c r="A202" s="1" t="s">
        <v>392</v>
      </c>
      <c r="B202" s="27">
        <v>8.7420015E7</v>
      </c>
      <c r="C202" s="61">
        <v>143311.5</v>
      </c>
      <c r="D202" s="61">
        <v>3800870.0</v>
      </c>
      <c r="E202" s="27">
        <v>2661684.0</v>
      </c>
      <c r="F202" s="27">
        <v>7682756.0</v>
      </c>
      <c r="G202" s="1">
        <v>23.0</v>
      </c>
      <c r="H202" s="1">
        <v>23.0</v>
      </c>
      <c r="I202" s="1">
        <v>100.0</v>
      </c>
      <c r="J202" s="1">
        <v>35.38</v>
      </c>
      <c r="K202" s="26">
        <v>1.0</v>
      </c>
      <c r="L202" s="1" t="s">
        <v>393</v>
      </c>
      <c r="M202" s="1" t="s">
        <v>193</v>
      </c>
      <c r="N202" s="1">
        <v>2.0</v>
      </c>
      <c r="O202" s="33"/>
    </row>
    <row r="203">
      <c r="A203" s="1" t="s">
        <v>394</v>
      </c>
      <c r="B203" s="27">
        <v>8.6934671E7</v>
      </c>
      <c r="C203" s="61">
        <v>142515.85</v>
      </c>
      <c r="D203" s="61">
        <v>804950.7</v>
      </c>
      <c r="E203" s="27">
        <v>139639.0</v>
      </c>
      <c r="F203" s="27">
        <v>7760453.0</v>
      </c>
      <c r="G203" s="1">
        <v>108.0</v>
      </c>
      <c r="H203" s="1">
        <v>108.0</v>
      </c>
      <c r="I203" s="1">
        <v>100.0</v>
      </c>
      <c r="J203" s="1">
        <v>8.78</v>
      </c>
      <c r="K203" s="26">
        <v>1.0</v>
      </c>
      <c r="L203" s="1" t="s">
        <v>395</v>
      </c>
      <c r="M203" s="1" t="s">
        <v>210</v>
      </c>
      <c r="N203" s="1">
        <v>2.0</v>
      </c>
      <c r="O203" s="33"/>
    </row>
    <row r="204">
      <c r="A204" s="1" t="s">
        <v>194</v>
      </c>
      <c r="B204" s="27">
        <v>8.5645967E7</v>
      </c>
      <c r="C204" s="61">
        <v>140403.22</v>
      </c>
      <c r="D204" s="61">
        <v>839666.4</v>
      </c>
      <c r="E204" s="27">
        <v>245574.0</v>
      </c>
      <c r="F204" s="27">
        <v>1976607.0</v>
      </c>
      <c r="G204" s="1">
        <v>102.0</v>
      </c>
      <c r="H204" s="1">
        <v>102.0</v>
      </c>
      <c r="I204" s="1">
        <v>100.0</v>
      </c>
      <c r="J204" s="1">
        <v>15.37</v>
      </c>
      <c r="K204" s="26">
        <v>1.0</v>
      </c>
      <c r="L204" s="1" t="s">
        <v>195</v>
      </c>
      <c r="M204" s="1" t="s">
        <v>187</v>
      </c>
      <c r="N204" s="1">
        <v>2.0</v>
      </c>
      <c r="O204" s="33"/>
    </row>
    <row r="205">
      <c r="A205" s="1" t="s">
        <v>396</v>
      </c>
      <c r="B205" s="27">
        <v>8.4907715E7</v>
      </c>
      <c r="C205" s="61">
        <v>139192.98</v>
      </c>
      <c r="D205" s="61">
        <v>1088560.0</v>
      </c>
      <c r="E205" s="27">
        <v>684471.0</v>
      </c>
      <c r="F205" s="27">
        <v>1969278.0</v>
      </c>
      <c r="G205" s="1">
        <v>78.0</v>
      </c>
      <c r="H205" s="1">
        <v>78.0</v>
      </c>
      <c r="I205" s="1">
        <v>100.0</v>
      </c>
      <c r="J205" s="1">
        <v>10.95</v>
      </c>
      <c r="K205" s="26">
        <v>1.0</v>
      </c>
      <c r="L205" s="1" t="s">
        <v>397</v>
      </c>
      <c r="M205" s="1" t="s">
        <v>156</v>
      </c>
      <c r="N205" s="1">
        <v>2.0</v>
      </c>
      <c r="O205" s="33"/>
    </row>
    <row r="206">
      <c r="A206" s="1" t="s">
        <v>398</v>
      </c>
      <c r="B206" s="27">
        <v>8.3919562E7</v>
      </c>
      <c r="C206" s="61">
        <v>137573.05</v>
      </c>
      <c r="D206" s="61">
        <v>1525810.0</v>
      </c>
      <c r="E206" s="27">
        <v>862163.0</v>
      </c>
      <c r="F206" s="27">
        <v>3050424.0</v>
      </c>
      <c r="G206" s="1">
        <v>55.0</v>
      </c>
      <c r="H206" s="1">
        <v>55.0</v>
      </c>
      <c r="I206" s="1">
        <v>100.0</v>
      </c>
      <c r="J206" s="1">
        <v>10.7</v>
      </c>
      <c r="K206" s="26">
        <v>1.0</v>
      </c>
      <c r="L206" s="1" t="s">
        <v>399</v>
      </c>
      <c r="M206" s="1" t="s">
        <v>210</v>
      </c>
      <c r="N206" s="1">
        <v>2.0</v>
      </c>
      <c r="O206" s="33"/>
    </row>
    <row r="207">
      <c r="A207" s="1" t="s">
        <v>400</v>
      </c>
      <c r="B207" s="27">
        <v>8.0945567E7</v>
      </c>
      <c r="C207" s="61">
        <v>132697.65</v>
      </c>
      <c r="D207" s="61">
        <v>941227.6</v>
      </c>
      <c r="E207" s="27">
        <v>675134.0</v>
      </c>
      <c r="F207" s="27">
        <v>2823468.0</v>
      </c>
      <c r="G207" s="1">
        <v>86.0</v>
      </c>
      <c r="H207" s="1">
        <v>86.0</v>
      </c>
      <c r="I207" s="1">
        <v>100.0</v>
      </c>
      <c r="J207" s="1">
        <v>7.0</v>
      </c>
      <c r="K207" s="26">
        <v>1.0</v>
      </c>
      <c r="L207" s="1" t="s">
        <v>401</v>
      </c>
      <c r="M207" s="1" t="s">
        <v>182</v>
      </c>
      <c r="N207" s="1">
        <v>2.0</v>
      </c>
      <c r="O207" s="33"/>
    </row>
    <row r="208">
      <c r="A208" s="1" t="s">
        <v>402</v>
      </c>
      <c r="B208" s="27">
        <v>8.0584043E7</v>
      </c>
      <c r="C208" s="61">
        <v>132104.99</v>
      </c>
      <c r="D208" s="61">
        <v>1.007301E7</v>
      </c>
      <c r="E208" s="27">
        <v>7787027.0</v>
      </c>
      <c r="F208" s="27">
        <v>1.6454131E7</v>
      </c>
      <c r="G208" s="1">
        <v>8.0</v>
      </c>
      <c r="H208" s="1">
        <v>8.0</v>
      </c>
      <c r="I208" s="1">
        <v>100.0</v>
      </c>
      <c r="J208" s="1">
        <v>78.0</v>
      </c>
      <c r="K208" s="26">
        <v>1.0</v>
      </c>
      <c r="L208" s="1" t="s">
        <v>403</v>
      </c>
      <c r="M208" s="1" t="s">
        <v>156</v>
      </c>
      <c r="N208" s="1">
        <v>2.0</v>
      </c>
      <c r="O208" s="33"/>
    </row>
    <row r="209">
      <c r="A209" s="1" t="s">
        <v>404</v>
      </c>
      <c r="B209" s="27">
        <v>7.747877E7</v>
      </c>
      <c r="C209" s="61">
        <v>127014.38</v>
      </c>
      <c r="D209" s="61">
        <v>7747877.0</v>
      </c>
      <c r="E209" s="27">
        <v>4715205.0</v>
      </c>
      <c r="F209" s="27">
        <v>1.6628823E7</v>
      </c>
      <c r="G209" s="1">
        <v>10.0</v>
      </c>
      <c r="H209" s="1">
        <v>10.0</v>
      </c>
      <c r="I209" s="1">
        <v>100.0</v>
      </c>
      <c r="J209" s="1">
        <v>62.22</v>
      </c>
      <c r="K209" s="26">
        <v>1.0</v>
      </c>
      <c r="L209" s="1" t="s">
        <v>405</v>
      </c>
      <c r="M209" s="1" t="s">
        <v>210</v>
      </c>
      <c r="N209" s="1">
        <v>2.0</v>
      </c>
      <c r="O209" s="33"/>
    </row>
    <row r="210">
      <c r="A210" s="1" t="s">
        <v>406</v>
      </c>
      <c r="B210" s="27">
        <v>7.3119084E7</v>
      </c>
      <c r="C210" s="61">
        <v>119867.35</v>
      </c>
      <c r="D210" s="61">
        <v>7311909.0</v>
      </c>
      <c r="E210" s="27">
        <v>5377191.0</v>
      </c>
      <c r="F210" s="27">
        <v>1.1617828E7</v>
      </c>
      <c r="G210" s="1">
        <v>10.0</v>
      </c>
      <c r="H210" s="1">
        <v>10.0</v>
      </c>
      <c r="I210" s="1">
        <v>100.0</v>
      </c>
      <c r="J210" s="1">
        <v>58.0</v>
      </c>
      <c r="K210" s="26">
        <v>1.0</v>
      </c>
      <c r="L210" s="1" t="s">
        <v>405</v>
      </c>
      <c r="M210" s="1" t="s">
        <v>154</v>
      </c>
      <c r="N210" s="1">
        <v>2.0</v>
      </c>
      <c r="O210" s="33"/>
    </row>
    <row r="211">
      <c r="A211" s="1" t="s">
        <v>407</v>
      </c>
      <c r="B211" s="27">
        <v>7.0160942E7</v>
      </c>
      <c r="C211" s="61">
        <v>115017.94</v>
      </c>
      <c r="D211" s="61">
        <v>3897830.0</v>
      </c>
      <c r="E211" s="27">
        <v>2137967.0</v>
      </c>
      <c r="F211" s="27">
        <v>7474883.0</v>
      </c>
      <c r="G211" s="1">
        <v>18.0</v>
      </c>
      <c r="H211" s="1">
        <v>18.0</v>
      </c>
      <c r="I211" s="1">
        <v>100.0</v>
      </c>
      <c r="J211" s="1">
        <v>32.88</v>
      </c>
      <c r="K211" s="26">
        <v>1.0</v>
      </c>
      <c r="L211" s="1" t="s">
        <v>408</v>
      </c>
      <c r="M211" s="1" t="s">
        <v>210</v>
      </c>
      <c r="N211" s="1">
        <v>2.0</v>
      </c>
      <c r="O211" s="33"/>
    </row>
    <row r="212">
      <c r="A212" s="1" t="s">
        <v>409</v>
      </c>
      <c r="B212" s="27">
        <v>6.9606585E7</v>
      </c>
      <c r="C212" s="61">
        <v>114109.16</v>
      </c>
      <c r="D212" s="61">
        <v>2175206.0</v>
      </c>
      <c r="E212" s="27">
        <v>1591074.0</v>
      </c>
      <c r="F212" s="27">
        <v>4037380.0</v>
      </c>
      <c r="G212" s="1">
        <v>32.0</v>
      </c>
      <c r="H212" s="1">
        <v>32.0</v>
      </c>
      <c r="I212" s="1">
        <v>100.0</v>
      </c>
      <c r="J212" s="1">
        <v>18.35</v>
      </c>
      <c r="K212" s="26">
        <v>1.0</v>
      </c>
      <c r="L212" s="1" t="s">
        <v>410</v>
      </c>
      <c r="M212" s="1" t="s">
        <v>187</v>
      </c>
      <c r="N212" s="1">
        <v>2.0</v>
      </c>
      <c r="O212" s="33"/>
    </row>
    <row r="213">
      <c r="A213" s="1" t="s">
        <v>233</v>
      </c>
      <c r="B213" s="27">
        <v>6.1134109E7</v>
      </c>
      <c r="C213" s="61">
        <v>100219.85</v>
      </c>
      <c r="D213" s="61">
        <v>1389412.0</v>
      </c>
      <c r="E213" s="27">
        <v>767796.0</v>
      </c>
      <c r="F213" s="27">
        <v>2971216.0</v>
      </c>
      <c r="G213" s="1">
        <v>44.0</v>
      </c>
      <c r="H213" s="1">
        <v>44.0</v>
      </c>
      <c r="I213" s="1">
        <v>100.0</v>
      </c>
      <c r="J213" s="1">
        <v>13.61</v>
      </c>
      <c r="K213" s="26">
        <v>1.0</v>
      </c>
      <c r="L213" s="1" t="s">
        <v>234</v>
      </c>
      <c r="M213" s="1" t="s">
        <v>187</v>
      </c>
      <c r="N213" s="1">
        <v>2.0</v>
      </c>
      <c r="O213" s="33"/>
    </row>
    <row r="214">
      <c r="A214" s="1" t="s">
        <v>198</v>
      </c>
      <c r="B214" s="27">
        <v>5.9743158E7</v>
      </c>
      <c r="C214" s="61">
        <v>97939.6</v>
      </c>
      <c r="D214" s="61">
        <v>406416.1</v>
      </c>
      <c r="E214" s="27">
        <v>171308.0</v>
      </c>
      <c r="F214" s="27">
        <v>1124535.0</v>
      </c>
      <c r="G214" s="1">
        <v>147.0</v>
      </c>
      <c r="H214" s="1">
        <v>147.0</v>
      </c>
      <c r="I214" s="1">
        <v>100.0</v>
      </c>
      <c r="J214" s="1">
        <v>7.74</v>
      </c>
      <c r="K214" s="26">
        <v>1.0</v>
      </c>
      <c r="L214" s="1" t="s">
        <v>199</v>
      </c>
      <c r="M214" s="1" t="s">
        <v>187</v>
      </c>
      <c r="N214" s="1">
        <v>2.0</v>
      </c>
      <c r="O214" s="33"/>
    </row>
    <row r="215">
      <c r="A215" s="1" t="s">
        <v>411</v>
      </c>
      <c r="B215" s="27">
        <v>5.8577588E7</v>
      </c>
      <c r="C215" s="61">
        <v>96028.83</v>
      </c>
      <c r="D215" s="61">
        <v>3445741.0</v>
      </c>
      <c r="E215" s="27">
        <v>1610637.0</v>
      </c>
      <c r="F215" s="27">
        <v>7336574.0</v>
      </c>
      <c r="G215" s="1">
        <v>17.0</v>
      </c>
      <c r="H215" s="1">
        <v>17.0</v>
      </c>
      <c r="I215" s="1">
        <v>100.0</v>
      </c>
      <c r="J215" s="1">
        <v>34.44</v>
      </c>
      <c r="K215" s="26">
        <v>1.0</v>
      </c>
      <c r="L215" s="1" t="s">
        <v>412</v>
      </c>
      <c r="M215" s="1" t="s">
        <v>156</v>
      </c>
      <c r="N215" s="1">
        <v>2.0</v>
      </c>
      <c r="O215" s="33"/>
    </row>
    <row r="216">
      <c r="A216" s="1" t="s">
        <v>200</v>
      </c>
      <c r="B216" s="27">
        <v>5.6354546E7</v>
      </c>
      <c r="C216" s="61">
        <v>92384.5</v>
      </c>
      <c r="D216" s="61">
        <v>1761080.0</v>
      </c>
      <c r="E216" s="27">
        <v>1071865.0</v>
      </c>
      <c r="F216" s="27">
        <v>3984007.0</v>
      </c>
      <c r="G216" s="1">
        <v>32.0</v>
      </c>
      <c r="H216" s="1">
        <v>32.0</v>
      </c>
      <c r="I216" s="1">
        <v>100.0</v>
      </c>
      <c r="J216" s="1">
        <v>18.58</v>
      </c>
      <c r="K216" s="26">
        <v>1.0</v>
      </c>
      <c r="L216" s="1" t="s">
        <v>201</v>
      </c>
      <c r="M216" s="1" t="s">
        <v>150</v>
      </c>
      <c r="N216" s="1">
        <v>2.0</v>
      </c>
      <c r="O216" s="33"/>
    </row>
    <row r="217">
      <c r="A217" s="1" t="s">
        <v>413</v>
      </c>
      <c r="B217" s="27">
        <v>5.5385677E7</v>
      </c>
      <c r="C217" s="61">
        <v>90796.19</v>
      </c>
      <c r="D217" s="61">
        <v>954925.4</v>
      </c>
      <c r="E217" s="27">
        <v>458570.0</v>
      </c>
      <c r="F217" s="27">
        <v>2645397.0</v>
      </c>
      <c r="G217" s="1">
        <v>58.0</v>
      </c>
      <c r="H217" s="1">
        <v>62.0</v>
      </c>
      <c r="I217" s="1">
        <v>93.55</v>
      </c>
      <c r="J217" s="1">
        <v>9.61</v>
      </c>
      <c r="K217" s="26">
        <v>1.0</v>
      </c>
      <c r="L217" s="1" t="s">
        <v>414</v>
      </c>
      <c r="M217" s="1" t="s">
        <v>210</v>
      </c>
      <c r="N217" s="1">
        <v>2.0</v>
      </c>
      <c r="O217" s="33"/>
    </row>
    <row r="218">
      <c r="A218" s="1" t="s">
        <v>415</v>
      </c>
      <c r="B218" s="27">
        <v>5.415377E7</v>
      </c>
      <c r="C218" s="61">
        <v>88776.67</v>
      </c>
      <c r="D218" s="61">
        <v>933685.6</v>
      </c>
      <c r="E218" s="27">
        <v>578978.0</v>
      </c>
      <c r="F218" s="27">
        <v>1856574.0</v>
      </c>
      <c r="G218" s="1">
        <v>58.0</v>
      </c>
      <c r="H218" s="1">
        <v>60.0</v>
      </c>
      <c r="I218" s="1">
        <v>96.67</v>
      </c>
      <c r="J218" s="1">
        <v>18.7</v>
      </c>
      <c r="K218" s="26">
        <v>1.0</v>
      </c>
      <c r="L218" s="1" t="s">
        <v>416</v>
      </c>
      <c r="M218" s="1" t="s">
        <v>210</v>
      </c>
      <c r="N218" s="1">
        <v>2.0</v>
      </c>
      <c r="O218" s="33"/>
    </row>
    <row r="219">
      <c r="A219" s="1" t="s">
        <v>417</v>
      </c>
      <c r="B219" s="27">
        <v>5.2014736E7</v>
      </c>
      <c r="C219" s="61">
        <v>85270.06</v>
      </c>
      <c r="D219" s="61">
        <v>339965.6</v>
      </c>
      <c r="E219" s="27">
        <v>158112.0</v>
      </c>
      <c r="F219" s="27">
        <v>1944522.0</v>
      </c>
      <c r="G219" s="1">
        <v>153.0</v>
      </c>
      <c r="H219" s="1">
        <v>153.0</v>
      </c>
      <c r="I219" s="1">
        <v>100.0</v>
      </c>
      <c r="J219" s="1">
        <v>11.54</v>
      </c>
      <c r="K219" s="26">
        <v>1.0</v>
      </c>
      <c r="L219" s="1" t="s">
        <v>418</v>
      </c>
      <c r="M219" s="1" t="s">
        <v>210</v>
      </c>
      <c r="N219" s="1">
        <v>2.0</v>
      </c>
      <c r="O219" s="33"/>
    </row>
    <row r="220">
      <c r="A220" s="1" t="s">
        <v>419</v>
      </c>
      <c r="B220" s="27">
        <v>5.0719408E7</v>
      </c>
      <c r="C220" s="61">
        <v>83146.57</v>
      </c>
      <c r="D220" s="61">
        <v>1636110.0</v>
      </c>
      <c r="E220" s="27">
        <v>1148127.0</v>
      </c>
      <c r="F220" s="27">
        <v>2637782.0</v>
      </c>
      <c r="G220" s="1">
        <v>31.0</v>
      </c>
      <c r="H220" s="1">
        <v>31.0</v>
      </c>
      <c r="I220" s="1">
        <v>100.0</v>
      </c>
      <c r="J220" s="1">
        <v>18.87</v>
      </c>
      <c r="K220" s="26">
        <v>1.0</v>
      </c>
      <c r="L220" s="1" t="s">
        <v>420</v>
      </c>
      <c r="M220" s="1" t="s">
        <v>172</v>
      </c>
      <c r="N220" s="1">
        <v>2.0</v>
      </c>
      <c r="O220" s="33"/>
    </row>
    <row r="221">
      <c r="A221" s="1" t="s">
        <v>421</v>
      </c>
      <c r="B221" s="27">
        <v>4.8814025E7</v>
      </c>
      <c r="C221" s="61">
        <v>80022.99</v>
      </c>
      <c r="D221" s="61">
        <v>800229.9</v>
      </c>
      <c r="E221" s="27">
        <v>362164.0</v>
      </c>
      <c r="F221" s="27">
        <v>1814820.0</v>
      </c>
      <c r="G221" s="1">
        <v>61.0</v>
      </c>
      <c r="H221" s="1">
        <v>65.0</v>
      </c>
      <c r="I221" s="1">
        <v>93.85</v>
      </c>
      <c r="J221" s="1">
        <v>9.41</v>
      </c>
      <c r="K221" s="26">
        <v>1.0</v>
      </c>
      <c r="L221" s="1" t="s">
        <v>422</v>
      </c>
      <c r="M221" s="1" t="s">
        <v>210</v>
      </c>
      <c r="N221" s="1">
        <v>2.0</v>
      </c>
      <c r="O221" s="33"/>
    </row>
    <row r="222">
      <c r="A222" s="1" t="s">
        <v>423</v>
      </c>
      <c r="B222" s="27">
        <v>4.8074617E7</v>
      </c>
      <c r="C222" s="61">
        <v>78810.85</v>
      </c>
      <c r="D222" s="61">
        <v>3433901.0</v>
      </c>
      <c r="E222" s="27">
        <v>2542616.0</v>
      </c>
      <c r="F222" s="27">
        <v>8114886.0</v>
      </c>
      <c r="G222" s="1">
        <v>14.0</v>
      </c>
      <c r="H222" s="1">
        <v>14.0</v>
      </c>
      <c r="I222" s="1">
        <v>100.0</v>
      </c>
      <c r="J222" s="1">
        <v>41.85</v>
      </c>
      <c r="K222" s="26">
        <v>1.0</v>
      </c>
      <c r="L222" s="1" t="s">
        <v>424</v>
      </c>
      <c r="M222" s="1" t="s">
        <v>172</v>
      </c>
      <c r="N222" s="1">
        <v>2.0</v>
      </c>
      <c r="O222" s="33"/>
    </row>
    <row r="223">
      <c r="A223" s="1" t="s">
        <v>204</v>
      </c>
      <c r="B223" s="27">
        <v>4.7317241E7</v>
      </c>
      <c r="C223" s="61">
        <v>77569.25</v>
      </c>
      <c r="D223" s="61">
        <v>985775.8</v>
      </c>
      <c r="E223" s="27">
        <v>627493.0</v>
      </c>
      <c r="F223" s="27">
        <v>1873114.0</v>
      </c>
      <c r="G223" s="1">
        <v>48.0</v>
      </c>
      <c r="H223" s="1">
        <v>48.0</v>
      </c>
      <c r="I223" s="1">
        <v>100.0</v>
      </c>
      <c r="J223" s="1">
        <v>13.58</v>
      </c>
      <c r="K223" s="26">
        <v>1.0</v>
      </c>
      <c r="L223" s="1" t="s">
        <v>205</v>
      </c>
      <c r="M223" s="1" t="s">
        <v>187</v>
      </c>
      <c r="N223" s="1">
        <v>2.0</v>
      </c>
      <c r="O223" s="33"/>
    </row>
    <row r="224">
      <c r="A224" s="1" t="s">
        <v>206</v>
      </c>
      <c r="B224" s="27">
        <v>4.425228E7</v>
      </c>
      <c r="C224" s="61">
        <v>72544.72</v>
      </c>
      <c r="D224" s="61">
        <v>650768.8</v>
      </c>
      <c r="E224" s="27">
        <v>424871.0</v>
      </c>
      <c r="F224" s="27">
        <v>1625209.0</v>
      </c>
      <c r="G224" s="1">
        <v>68.0</v>
      </c>
      <c r="H224" s="1">
        <v>68.0</v>
      </c>
      <c r="I224" s="1">
        <v>100.0</v>
      </c>
      <c r="J224" s="1">
        <v>8.74</v>
      </c>
      <c r="K224" s="26">
        <v>1.0</v>
      </c>
      <c r="L224" s="1" t="s">
        <v>207</v>
      </c>
      <c r="M224" s="1" t="s">
        <v>150</v>
      </c>
      <c r="N224" s="1">
        <v>2.0</v>
      </c>
      <c r="O224" s="33"/>
    </row>
    <row r="225">
      <c r="A225" s="1" t="s">
        <v>425</v>
      </c>
      <c r="B225" s="27">
        <v>4.3852031E7</v>
      </c>
      <c r="C225" s="61">
        <v>71888.58</v>
      </c>
      <c r="D225" s="61">
        <v>6264576.0</v>
      </c>
      <c r="E225" s="27">
        <v>4925101.0</v>
      </c>
      <c r="F225" s="27">
        <v>9787941.0</v>
      </c>
      <c r="G225" s="1">
        <v>7.0</v>
      </c>
      <c r="H225" s="1">
        <v>7.0</v>
      </c>
      <c r="I225" s="1">
        <v>100.0</v>
      </c>
      <c r="J225" s="1">
        <v>92.0</v>
      </c>
      <c r="K225" s="26">
        <v>1.0</v>
      </c>
      <c r="L225" s="1" t="s">
        <v>426</v>
      </c>
      <c r="M225" s="1" t="s">
        <v>210</v>
      </c>
      <c r="N225" s="1">
        <v>2.0</v>
      </c>
      <c r="O225" s="33"/>
    </row>
    <row r="226">
      <c r="A226" s="1" t="s">
        <v>427</v>
      </c>
      <c r="B226" s="27">
        <v>4.3251729E7</v>
      </c>
      <c r="C226" s="61">
        <v>70904.47</v>
      </c>
      <c r="D226" s="61">
        <v>1880510.0</v>
      </c>
      <c r="E226" s="27">
        <v>1157933.0</v>
      </c>
      <c r="F226" s="27">
        <v>3355106.0</v>
      </c>
      <c r="G226" s="1">
        <v>23.0</v>
      </c>
      <c r="H226" s="1">
        <v>24.0</v>
      </c>
      <c r="I226" s="1">
        <v>95.83</v>
      </c>
      <c r="J226" s="1">
        <v>25.52</v>
      </c>
      <c r="K226" s="26">
        <v>1.0</v>
      </c>
      <c r="L226" s="1" t="s">
        <v>428</v>
      </c>
      <c r="M226" s="1" t="s">
        <v>210</v>
      </c>
      <c r="N226" s="1">
        <v>2.0</v>
      </c>
      <c r="O226" s="33"/>
    </row>
    <row r="227">
      <c r="A227" s="1" t="s">
        <v>429</v>
      </c>
      <c r="B227" s="27">
        <v>3.9615708E7</v>
      </c>
      <c r="C227" s="61">
        <v>64943.78</v>
      </c>
      <c r="D227" s="61">
        <v>565938.7</v>
      </c>
      <c r="E227" s="27">
        <v>316121.0</v>
      </c>
      <c r="F227" s="27">
        <v>1175045.0</v>
      </c>
      <c r="G227" s="1">
        <v>70.0</v>
      </c>
      <c r="H227" s="1">
        <v>70.0</v>
      </c>
      <c r="I227" s="1">
        <v>100.0</v>
      </c>
      <c r="J227" s="1">
        <v>8.59</v>
      </c>
      <c r="K227" s="26">
        <v>1.0</v>
      </c>
      <c r="L227" s="1" t="s">
        <v>430</v>
      </c>
      <c r="M227" s="1" t="s">
        <v>210</v>
      </c>
      <c r="N227" s="1">
        <v>2.0</v>
      </c>
      <c r="O227" s="33"/>
    </row>
    <row r="228">
      <c r="A228" s="1" t="s">
        <v>431</v>
      </c>
      <c r="B228" s="27">
        <v>3.8988052E7</v>
      </c>
      <c r="C228" s="61">
        <v>63914.84</v>
      </c>
      <c r="D228" s="61">
        <v>1181456.0</v>
      </c>
      <c r="E228" s="27">
        <v>808343.0</v>
      </c>
      <c r="F228" s="27">
        <v>2806477.0</v>
      </c>
      <c r="G228" s="1">
        <v>33.0</v>
      </c>
      <c r="H228" s="1">
        <v>33.0</v>
      </c>
      <c r="I228" s="1">
        <v>100.0</v>
      </c>
      <c r="J228" s="1">
        <v>17.91</v>
      </c>
      <c r="K228" s="26">
        <v>1.0</v>
      </c>
      <c r="L228" s="1" t="s">
        <v>432</v>
      </c>
      <c r="M228" s="1" t="s">
        <v>182</v>
      </c>
      <c r="N228" s="1">
        <v>2.0</v>
      </c>
      <c r="O228" s="33"/>
    </row>
    <row r="229">
      <c r="A229" s="1" t="s">
        <v>433</v>
      </c>
      <c r="B229" s="27">
        <v>3.6675458E7</v>
      </c>
      <c r="C229" s="61">
        <v>60123.7</v>
      </c>
      <c r="D229" s="61">
        <v>1183079.0</v>
      </c>
      <c r="E229" s="27">
        <v>607933.0</v>
      </c>
      <c r="F229" s="27">
        <v>2590778.0</v>
      </c>
      <c r="G229" s="1">
        <v>31.0</v>
      </c>
      <c r="H229" s="1">
        <v>34.0</v>
      </c>
      <c r="I229" s="1">
        <v>91.18</v>
      </c>
      <c r="J229" s="1">
        <v>50.91</v>
      </c>
      <c r="K229" s="26">
        <v>1.0</v>
      </c>
      <c r="L229" s="1" t="s">
        <v>434</v>
      </c>
      <c r="M229" s="1" t="s">
        <v>210</v>
      </c>
      <c r="N229" s="1">
        <v>2.0</v>
      </c>
      <c r="O229" s="33"/>
    </row>
    <row r="230">
      <c r="A230" s="1" t="s">
        <v>435</v>
      </c>
      <c r="B230" s="27">
        <v>3.5438122E7</v>
      </c>
      <c r="C230" s="61">
        <v>58095.28</v>
      </c>
      <c r="D230" s="61">
        <v>210941.2</v>
      </c>
      <c r="E230" s="27">
        <v>91552.0</v>
      </c>
      <c r="F230" s="27">
        <v>735500.0</v>
      </c>
      <c r="G230" s="1">
        <v>168.0</v>
      </c>
      <c r="H230" s="1">
        <v>168.0</v>
      </c>
      <c r="I230" s="1">
        <v>100.0</v>
      </c>
      <c r="J230" s="1">
        <v>3.77</v>
      </c>
      <c r="K230" s="26">
        <v>1.0</v>
      </c>
      <c r="L230" s="1" t="s">
        <v>436</v>
      </c>
      <c r="M230" s="1" t="s">
        <v>156</v>
      </c>
      <c r="N230" s="1">
        <v>2.0</v>
      </c>
      <c r="O230" s="33"/>
    </row>
    <row r="231">
      <c r="A231" s="1" t="s">
        <v>211</v>
      </c>
      <c r="B231" s="27">
        <v>3.5117514E7</v>
      </c>
      <c r="C231" s="61">
        <v>57569.7</v>
      </c>
      <c r="D231" s="61">
        <v>2341168.0</v>
      </c>
      <c r="E231" s="27">
        <v>1453576.0</v>
      </c>
      <c r="F231" s="27">
        <v>2971171.0</v>
      </c>
      <c r="G231" s="1">
        <v>15.0</v>
      </c>
      <c r="H231" s="1">
        <v>15.0</v>
      </c>
      <c r="I231" s="1">
        <v>100.0</v>
      </c>
      <c r="J231" s="1">
        <v>57.0</v>
      </c>
      <c r="K231" s="26">
        <v>1.0</v>
      </c>
      <c r="L231" s="1" t="s">
        <v>212</v>
      </c>
      <c r="M231" s="1" t="s">
        <v>187</v>
      </c>
      <c r="N231" s="1">
        <v>2.0</v>
      </c>
      <c r="O231" s="33"/>
    </row>
    <row r="232">
      <c r="A232" s="1" t="s">
        <v>437</v>
      </c>
      <c r="B232" s="27">
        <v>3.4124438E7</v>
      </c>
      <c r="C232" s="61">
        <v>55941.7</v>
      </c>
      <c r="D232" s="61">
        <v>396795.8</v>
      </c>
      <c r="E232" s="27">
        <v>240454.0</v>
      </c>
      <c r="F232" s="27">
        <v>681020.0</v>
      </c>
      <c r="G232" s="1">
        <v>86.0</v>
      </c>
      <c r="H232" s="1">
        <v>86.0</v>
      </c>
      <c r="I232" s="1">
        <v>100.0</v>
      </c>
      <c r="J232" s="1">
        <v>7.0</v>
      </c>
      <c r="K232" s="26">
        <v>1.0</v>
      </c>
      <c r="L232" s="1" t="s">
        <v>438</v>
      </c>
      <c r="M232" s="1" t="s">
        <v>210</v>
      </c>
      <c r="N232" s="1">
        <v>2.0</v>
      </c>
      <c r="O232" s="33"/>
    </row>
    <row r="233">
      <c r="A233" s="1" t="s">
        <v>439</v>
      </c>
      <c r="B233" s="27">
        <v>3.3630695E7</v>
      </c>
      <c r="C233" s="61">
        <v>55132.29</v>
      </c>
      <c r="D233" s="61">
        <v>989138.1</v>
      </c>
      <c r="E233" s="27">
        <v>426962.0</v>
      </c>
      <c r="F233" s="27">
        <v>1778857.0</v>
      </c>
      <c r="G233" s="1">
        <v>34.0</v>
      </c>
      <c r="H233" s="1">
        <v>35.0</v>
      </c>
      <c r="I233" s="1">
        <v>97.14</v>
      </c>
      <c r="J233" s="1">
        <v>17.74</v>
      </c>
      <c r="K233" s="26">
        <v>1.0</v>
      </c>
      <c r="L233" s="1" t="s">
        <v>440</v>
      </c>
      <c r="M233" s="1" t="s">
        <v>210</v>
      </c>
      <c r="N233" s="1">
        <v>2.0</v>
      </c>
      <c r="O233" s="33"/>
    </row>
    <row r="234">
      <c r="A234" s="1" t="s">
        <v>213</v>
      </c>
      <c r="B234" s="27">
        <v>3.3496093E7</v>
      </c>
      <c r="C234" s="61">
        <v>54911.63</v>
      </c>
      <c r="D234" s="61">
        <v>2392578.0</v>
      </c>
      <c r="E234" s="27">
        <v>1870709.0</v>
      </c>
      <c r="F234" s="27">
        <v>3285604.0</v>
      </c>
      <c r="G234" s="1">
        <v>14.0</v>
      </c>
      <c r="H234" s="1">
        <v>14.0</v>
      </c>
      <c r="I234" s="1">
        <v>100.0</v>
      </c>
      <c r="J234" s="1">
        <v>43.0</v>
      </c>
      <c r="K234" s="26">
        <v>1.0</v>
      </c>
      <c r="L234" s="1" t="s">
        <v>214</v>
      </c>
      <c r="M234" s="1" t="s">
        <v>150</v>
      </c>
      <c r="N234" s="1">
        <v>2.0</v>
      </c>
      <c r="O234" s="33"/>
    </row>
    <row r="235">
      <c r="A235" s="1" t="s">
        <v>441</v>
      </c>
      <c r="B235" s="27">
        <v>3.3466613E7</v>
      </c>
      <c r="C235" s="61">
        <v>54863.3</v>
      </c>
      <c r="D235" s="61">
        <v>85374.01</v>
      </c>
      <c r="E235" s="27">
        <v>41066.0</v>
      </c>
      <c r="F235" s="27">
        <v>349644.0</v>
      </c>
      <c r="G235" s="1">
        <v>392.0</v>
      </c>
      <c r="H235" s="1">
        <v>392.0</v>
      </c>
      <c r="I235" s="1">
        <v>100.0</v>
      </c>
      <c r="J235" s="1">
        <v>3.62</v>
      </c>
      <c r="K235" s="26">
        <v>1.0</v>
      </c>
      <c r="L235" s="1" t="s">
        <v>442</v>
      </c>
      <c r="M235" s="1" t="s">
        <v>182</v>
      </c>
      <c r="N235" s="1">
        <v>1.0</v>
      </c>
      <c r="O235" s="33"/>
    </row>
    <row r="236">
      <c r="A236" s="1" t="s">
        <v>215</v>
      </c>
      <c r="B236" s="27">
        <v>2.9370872E7</v>
      </c>
      <c r="C236" s="61">
        <v>48148.97</v>
      </c>
      <c r="D236" s="61">
        <v>554167.4</v>
      </c>
      <c r="E236" s="27">
        <v>432838.0</v>
      </c>
      <c r="F236" s="27">
        <v>560280.0</v>
      </c>
      <c r="G236" s="1">
        <v>53.0</v>
      </c>
      <c r="H236" s="1">
        <v>53.0</v>
      </c>
      <c r="I236" s="1">
        <v>100.0</v>
      </c>
      <c r="J236" s="1">
        <v>11.75</v>
      </c>
      <c r="K236" s="26">
        <v>0.0</v>
      </c>
      <c r="L236" s="1" t="s">
        <v>149</v>
      </c>
      <c r="M236" s="1" t="s">
        <v>210</v>
      </c>
      <c r="N236" s="1">
        <v>2.0</v>
      </c>
      <c r="O236" s="33"/>
    </row>
    <row r="237">
      <c r="A237" s="1" t="s">
        <v>443</v>
      </c>
      <c r="B237" s="27">
        <v>2.8515697E7</v>
      </c>
      <c r="C237" s="61">
        <v>46747.04</v>
      </c>
      <c r="D237" s="61">
        <v>271578.1</v>
      </c>
      <c r="E237" s="27">
        <v>130292.0</v>
      </c>
      <c r="F237" s="27">
        <v>951916.0</v>
      </c>
      <c r="G237" s="1">
        <v>105.0</v>
      </c>
      <c r="H237" s="1">
        <v>105.0</v>
      </c>
      <c r="I237" s="1">
        <v>100.0</v>
      </c>
      <c r="J237" s="1">
        <v>6.3</v>
      </c>
      <c r="K237" s="26">
        <v>1.0</v>
      </c>
      <c r="L237" s="1" t="s">
        <v>444</v>
      </c>
      <c r="M237" s="1" t="s">
        <v>187</v>
      </c>
      <c r="N237" s="1">
        <v>2.0</v>
      </c>
      <c r="O237" s="33"/>
    </row>
    <row r="238">
      <c r="A238" s="1" t="s">
        <v>445</v>
      </c>
      <c r="B238" s="27">
        <v>2.821824E7</v>
      </c>
      <c r="C238" s="61">
        <v>46259.41</v>
      </c>
      <c r="D238" s="61">
        <v>1881216.0</v>
      </c>
      <c r="E238" s="27">
        <v>1293510.0</v>
      </c>
      <c r="F238" s="27">
        <v>3073567.0</v>
      </c>
      <c r="G238" s="1">
        <v>15.0</v>
      </c>
      <c r="H238" s="1">
        <v>16.0</v>
      </c>
      <c r="I238" s="1">
        <v>93.75</v>
      </c>
      <c r="J238" s="1">
        <v>37.2</v>
      </c>
      <c r="K238" s="26">
        <v>1.0</v>
      </c>
      <c r="L238" s="1" t="s">
        <v>446</v>
      </c>
      <c r="M238" s="1" t="s">
        <v>210</v>
      </c>
      <c r="N238" s="1">
        <v>2.0</v>
      </c>
      <c r="O238" s="33"/>
    </row>
    <row r="239">
      <c r="A239" s="1" t="s">
        <v>216</v>
      </c>
      <c r="B239" s="27">
        <v>2.7841119E7</v>
      </c>
      <c r="C239" s="61">
        <v>45641.18</v>
      </c>
      <c r="D239" s="61">
        <v>1465322.0</v>
      </c>
      <c r="E239" s="27">
        <v>945554.0</v>
      </c>
      <c r="F239" s="27">
        <v>2478591.0</v>
      </c>
      <c r="G239" s="1">
        <v>19.0</v>
      </c>
      <c r="H239" s="1">
        <v>19.0</v>
      </c>
      <c r="I239" s="1">
        <v>100.0</v>
      </c>
      <c r="J239" s="1">
        <v>32.67</v>
      </c>
      <c r="K239" s="26">
        <v>1.0</v>
      </c>
      <c r="L239" s="1" t="s">
        <v>217</v>
      </c>
      <c r="M239" s="1" t="s">
        <v>150</v>
      </c>
      <c r="N239" s="1">
        <v>2.0</v>
      </c>
      <c r="O239" s="33"/>
    </row>
    <row r="240">
      <c r="A240" s="1" t="s">
        <v>447</v>
      </c>
      <c r="B240" s="27">
        <v>2.7327261E7</v>
      </c>
      <c r="C240" s="61">
        <v>44798.79</v>
      </c>
      <c r="D240" s="61">
        <v>390389.4</v>
      </c>
      <c r="E240" s="27">
        <v>251556.0</v>
      </c>
      <c r="F240" s="27">
        <v>910203.0</v>
      </c>
      <c r="G240" s="1">
        <v>70.0</v>
      </c>
      <c r="H240" s="1">
        <v>70.0</v>
      </c>
      <c r="I240" s="1">
        <v>100.0</v>
      </c>
      <c r="J240" s="1">
        <v>7.96</v>
      </c>
      <c r="K240" s="26">
        <v>1.0</v>
      </c>
      <c r="L240" s="1" t="s">
        <v>448</v>
      </c>
      <c r="M240" s="1" t="s">
        <v>187</v>
      </c>
      <c r="N240" s="1">
        <v>2.0</v>
      </c>
      <c r="O240" s="33"/>
    </row>
    <row r="241">
      <c r="A241" s="1" t="s">
        <v>449</v>
      </c>
      <c r="B241" s="27">
        <v>2.5344883E7</v>
      </c>
      <c r="C241" s="61">
        <v>41548.99</v>
      </c>
      <c r="D241" s="61">
        <v>1490876.0</v>
      </c>
      <c r="E241" s="27">
        <v>673504.0</v>
      </c>
      <c r="F241" s="27">
        <v>4420595.0</v>
      </c>
      <c r="G241" s="1">
        <v>17.0</v>
      </c>
      <c r="H241" s="1">
        <v>17.0</v>
      </c>
      <c r="I241" s="1">
        <v>100.0</v>
      </c>
      <c r="J241" s="1">
        <v>34.56</v>
      </c>
      <c r="K241" s="26">
        <v>1.0</v>
      </c>
      <c r="L241" s="1" t="s">
        <v>450</v>
      </c>
      <c r="M241" s="1" t="s">
        <v>210</v>
      </c>
      <c r="N241" s="1">
        <v>2.0</v>
      </c>
      <c r="O241" s="33"/>
    </row>
    <row r="242">
      <c r="A242" s="1" t="s">
        <v>451</v>
      </c>
      <c r="B242" s="27">
        <v>2.3873328E7</v>
      </c>
      <c r="C242" s="61">
        <v>39136.6</v>
      </c>
      <c r="D242" s="61">
        <v>5968332.0</v>
      </c>
      <c r="E242" s="27">
        <v>5308909.0</v>
      </c>
      <c r="F242" s="27">
        <v>6663375.0</v>
      </c>
      <c r="G242" s="1">
        <v>4.0</v>
      </c>
      <c r="H242" s="1">
        <v>4.0</v>
      </c>
      <c r="I242" s="1">
        <v>100.0</v>
      </c>
      <c r="J242" s="1">
        <v>126.33</v>
      </c>
      <c r="K242" s="26">
        <v>1.0</v>
      </c>
      <c r="L242" s="1" t="s">
        <v>226</v>
      </c>
      <c r="M242" s="1" t="s">
        <v>150</v>
      </c>
      <c r="N242" s="1">
        <v>2.0</v>
      </c>
      <c r="O242" s="33"/>
    </row>
    <row r="243">
      <c r="A243" s="1" t="s">
        <v>452</v>
      </c>
      <c r="B243" s="27">
        <v>2.3665341E7</v>
      </c>
      <c r="C243" s="61">
        <v>38795.64</v>
      </c>
      <c r="D243" s="61">
        <v>1690381.0</v>
      </c>
      <c r="E243" s="27">
        <v>963183.0</v>
      </c>
      <c r="F243" s="27">
        <v>2630186.0</v>
      </c>
      <c r="G243" s="1">
        <v>14.0</v>
      </c>
      <c r="H243" s="1">
        <v>15.0</v>
      </c>
      <c r="I243" s="1">
        <v>93.33</v>
      </c>
      <c r="J243" s="1">
        <v>40.14</v>
      </c>
      <c r="K243" s="26">
        <v>1.0</v>
      </c>
      <c r="L243" s="1" t="s">
        <v>226</v>
      </c>
      <c r="M243" s="1" t="s">
        <v>190</v>
      </c>
      <c r="N243" s="1">
        <v>2.0</v>
      </c>
      <c r="O243" s="33"/>
    </row>
    <row r="244">
      <c r="A244" s="1" t="s">
        <v>453</v>
      </c>
      <c r="B244" s="27">
        <v>2.0985106E7</v>
      </c>
      <c r="C244" s="61">
        <v>34401.81</v>
      </c>
      <c r="D244" s="61">
        <v>2997872.0</v>
      </c>
      <c r="E244" s="27">
        <v>2260128.0</v>
      </c>
      <c r="F244" s="27">
        <v>4132513.0</v>
      </c>
      <c r="G244" s="1">
        <v>7.0</v>
      </c>
      <c r="H244" s="1">
        <v>7.0</v>
      </c>
      <c r="I244" s="1">
        <v>100.0</v>
      </c>
      <c r="J244" s="1">
        <v>76.5</v>
      </c>
      <c r="K244" s="26">
        <v>1.0</v>
      </c>
      <c r="L244" s="1" t="s">
        <v>454</v>
      </c>
      <c r="M244" s="1" t="s">
        <v>190</v>
      </c>
      <c r="N244" s="1">
        <v>2.0</v>
      </c>
      <c r="O244" s="33"/>
    </row>
    <row r="245">
      <c r="A245" s="1" t="s">
        <v>455</v>
      </c>
      <c r="B245" s="27">
        <v>2.0053061E7</v>
      </c>
      <c r="C245" s="61">
        <v>32873.87</v>
      </c>
      <c r="D245" s="61">
        <v>589795.9</v>
      </c>
      <c r="E245" s="27">
        <v>363269.0</v>
      </c>
      <c r="F245" s="27">
        <v>1718858.0</v>
      </c>
      <c r="G245" s="1">
        <v>34.0</v>
      </c>
      <c r="H245" s="1">
        <v>34.0</v>
      </c>
      <c r="I245" s="1">
        <v>100.0</v>
      </c>
      <c r="J245" s="1">
        <v>25.36</v>
      </c>
      <c r="K245" s="26">
        <v>1.0</v>
      </c>
      <c r="L245" s="1" t="s">
        <v>456</v>
      </c>
      <c r="M245" s="1" t="s">
        <v>210</v>
      </c>
      <c r="N245" s="1">
        <v>2.0</v>
      </c>
      <c r="O245" s="33"/>
    </row>
    <row r="246">
      <c r="A246" s="1" t="s">
        <v>457</v>
      </c>
      <c r="B246" s="27">
        <v>1.9080222E7</v>
      </c>
      <c r="C246" s="61">
        <v>31279.05</v>
      </c>
      <c r="D246" s="61">
        <v>2385028.0</v>
      </c>
      <c r="E246" s="27">
        <v>1452947.0</v>
      </c>
      <c r="F246" s="27">
        <v>3902156.0</v>
      </c>
      <c r="G246" s="1">
        <v>8.0</v>
      </c>
      <c r="H246" s="1">
        <v>8.0</v>
      </c>
      <c r="I246" s="1">
        <v>100.0</v>
      </c>
      <c r="J246" s="1">
        <v>80.71</v>
      </c>
      <c r="K246" s="26">
        <v>1.0</v>
      </c>
      <c r="L246" s="1" t="s">
        <v>458</v>
      </c>
      <c r="M246" s="1" t="s">
        <v>210</v>
      </c>
      <c r="N246" s="1">
        <v>2.0</v>
      </c>
      <c r="O246" s="33"/>
    </row>
    <row r="247">
      <c r="A247" s="1" t="s">
        <v>220</v>
      </c>
      <c r="B247" s="27">
        <v>1.7165327E7</v>
      </c>
      <c r="C247" s="61">
        <v>28139.88</v>
      </c>
      <c r="D247" s="61">
        <v>817396.6</v>
      </c>
      <c r="E247" s="27">
        <v>509806.0</v>
      </c>
      <c r="F247" s="27">
        <v>2406654.0</v>
      </c>
      <c r="G247" s="1">
        <v>21.0</v>
      </c>
      <c r="H247" s="1">
        <v>21.0</v>
      </c>
      <c r="I247" s="1">
        <v>100.0</v>
      </c>
      <c r="J247" s="1">
        <v>28.75</v>
      </c>
      <c r="K247" s="26">
        <v>1.0</v>
      </c>
      <c r="L247" s="1" t="s">
        <v>221</v>
      </c>
      <c r="M247" s="1" t="s">
        <v>150</v>
      </c>
      <c r="N247" s="1">
        <v>2.0</v>
      </c>
      <c r="O247" s="33"/>
    </row>
    <row r="248">
      <c r="A248" s="1" t="s">
        <v>459</v>
      </c>
      <c r="B248" s="27">
        <v>9644179.0</v>
      </c>
      <c r="C248" s="61">
        <v>15810.13</v>
      </c>
      <c r="D248" s="61">
        <v>2411045.0</v>
      </c>
      <c r="E248" s="27">
        <v>1715715.0</v>
      </c>
      <c r="F248" s="27">
        <v>3209394.0</v>
      </c>
      <c r="G248" s="1">
        <v>4.0</v>
      </c>
      <c r="H248" s="1">
        <v>4.0</v>
      </c>
      <c r="I248" s="1">
        <v>100.0</v>
      </c>
      <c r="J248" s="1">
        <v>305.0</v>
      </c>
      <c r="K248" s="26">
        <v>1.0</v>
      </c>
      <c r="L248" s="1" t="s">
        <v>460</v>
      </c>
      <c r="M248" s="1" t="s">
        <v>182</v>
      </c>
      <c r="N248" s="1">
        <v>2.0</v>
      </c>
      <c r="O248" s="33"/>
    </row>
    <row r="249">
      <c r="A249" s="1" t="s">
        <v>461</v>
      </c>
      <c r="B249" s="27">
        <v>8518669.0</v>
      </c>
      <c r="C249" s="61">
        <v>13965.03</v>
      </c>
      <c r="D249" s="61">
        <v>1703734.0</v>
      </c>
      <c r="E249" s="27">
        <v>1077562.0</v>
      </c>
      <c r="F249" s="27">
        <v>2826849.0</v>
      </c>
      <c r="G249" s="1">
        <v>5.0</v>
      </c>
      <c r="H249" s="1">
        <v>5.0</v>
      </c>
      <c r="I249" s="1">
        <v>100.0</v>
      </c>
      <c r="J249" s="1">
        <v>113.75</v>
      </c>
      <c r="K249" s="26">
        <v>1.0</v>
      </c>
      <c r="L249" s="1" t="s">
        <v>462</v>
      </c>
      <c r="M249" s="1" t="s">
        <v>190</v>
      </c>
      <c r="N249" s="1">
        <v>2.0</v>
      </c>
      <c r="O249" s="33"/>
    </row>
    <row r="250">
      <c r="A250" s="1" t="s">
        <v>463</v>
      </c>
      <c r="B250" s="27">
        <v>4709925.0</v>
      </c>
      <c r="C250" s="61">
        <v>7721.19</v>
      </c>
      <c r="D250" s="61">
        <v>28719.05</v>
      </c>
      <c r="E250" s="27">
        <v>15957.0</v>
      </c>
      <c r="F250" s="27">
        <v>79492.0</v>
      </c>
      <c r="G250" s="1">
        <v>164.0</v>
      </c>
      <c r="H250" s="1">
        <v>164.0</v>
      </c>
      <c r="I250" s="1">
        <v>100.0</v>
      </c>
      <c r="J250" s="1">
        <v>3.7</v>
      </c>
      <c r="K250" s="26">
        <v>1.0</v>
      </c>
      <c r="L250" s="1" t="s">
        <v>464</v>
      </c>
      <c r="M250" s="1" t="s">
        <v>190</v>
      </c>
      <c r="N250" s="1">
        <v>2.0</v>
      </c>
      <c r="O250" s="33"/>
    </row>
    <row r="251">
      <c r="A251" s="1" t="s">
        <v>222</v>
      </c>
      <c r="B251" s="27">
        <v>2429041.0</v>
      </c>
      <c r="C251" s="61">
        <v>3982.03</v>
      </c>
      <c r="D251" s="61">
        <v>2429041.0</v>
      </c>
      <c r="E251" s="27">
        <v>2429041.0</v>
      </c>
      <c r="F251" s="27">
        <v>2429041.0</v>
      </c>
      <c r="G251" s="1">
        <v>1.0</v>
      </c>
      <c r="H251" s="1">
        <v>1.0</v>
      </c>
      <c r="I251" s="1">
        <v>100.0</v>
      </c>
      <c r="J251" s="1" t="s">
        <v>223</v>
      </c>
      <c r="K251" s="26">
        <v>1.0</v>
      </c>
      <c r="L251" s="1" t="s">
        <v>224</v>
      </c>
      <c r="M251" s="1" t="s">
        <v>150</v>
      </c>
      <c r="N251" s="1">
        <v>2.0</v>
      </c>
      <c r="O251" s="33"/>
    </row>
    <row r="252">
      <c r="A252" s="1" t="s">
        <v>465</v>
      </c>
      <c r="B252" s="27">
        <v>2364746.0</v>
      </c>
      <c r="C252" s="61">
        <v>3876.63</v>
      </c>
      <c r="D252" s="61">
        <v>1182373.0</v>
      </c>
      <c r="E252" s="27">
        <v>750357.0</v>
      </c>
      <c r="F252" s="27">
        <v>1614389.0</v>
      </c>
      <c r="G252" s="1">
        <v>2.0</v>
      </c>
      <c r="H252" s="1">
        <v>2.0</v>
      </c>
      <c r="I252" s="1">
        <v>100.0</v>
      </c>
      <c r="J252" s="1">
        <v>35.0</v>
      </c>
      <c r="K252" s="26">
        <v>1.0</v>
      </c>
      <c r="L252" s="1" t="s">
        <v>466</v>
      </c>
      <c r="M252" s="1" t="s">
        <v>210</v>
      </c>
      <c r="N252" s="1">
        <v>2.0</v>
      </c>
      <c r="O252" s="33"/>
    </row>
    <row r="253">
      <c r="A253" s="1" t="s">
        <v>467</v>
      </c>
      <c r="B253" s="27">
        <v>2237249.0</v>
      </c>
      <c r="C253" s="61">
        <v>3667.62</v>
      </c>
      <c r="D253" s="61">
        <v>35511.89</v>
      </c>
      <c r="E253" s="27">
        <v>24728.0</v>
      </c>
      <c r="F253" s="27">
        <v>66316.0</v>
      </c>
      <c r="G253" s="1">
        <v>63.0</v>
      </c>
      <c r="H253" s="1">
        <v>63.0</v>
      </c>
      <c r="I253" s="1">
        <v>100.0</v>
      </c>
      <c r="J253" s="1">
        <v>9.74</v>
      </c>
      <c r="K253" s="26">
        <v>1.0</v>
      </c>
      <c r="L253" s="1" t="s">
        <v>468</v>
      </c>
      <c r="M253" s="1" t="s">
        <v>150</v>
      </c>
      <c r="N253" s="1">
        <v>2.0</v>
      </c>
      <c r="O253" s="33"/>
    </row>
    <row r="254">
      <c r="A254" s="1" t="s">
        <v>225</v>
      </c>
      <c r="B254" s="27">
        <v>1737428.0</v>
      </c>
      <c r="C254" s="61">
        <v>2848.24</v>
      </c>
      <c r="D254" s="61">
        <v>347485.6</v>
      </c>
      <c r="E254" s="27">
        <v>292339.0</v>
      </c>
      <c r="F254" s="27">
        <v>533362.0</v>
      </c>
      <c r="G254" s="1">
        <v>5.0</v>
      </c>
      <c r="H254" s="1">
        <v>5.0</v>
      </c>
      <c r="I254" s="1">
        <v>100.0</v>
      </c>
      <c r="J254" s="1">
        <v>4.0</v>
      </c>
      <c r="K254" s="26">
        <v>1.0</v>
      </c>
      <c r="L254" s="1" t="s">
        <v>226</v>
      </c>
      <c r="M254" s="1" t="s">
        <v>187</v>
      </c>
      <c r="N254" s="1">
        <v>2.0</v>
      </c>
      <c r="O254" s="33"/>
    </row>
    <row r="255">
      <c r="A255" s="1" t="s">
        <v>469</v>
      </c>
      <c r="B255" s="27">
        <v>1505822.0</v>
      </c>
      <c r="C255" s="61">
        <v>2468.56</v>
      </c>
      <c r="D255" s="61">
        <v>136892.9</v>
      </c>
      <c r="E255" s="27">
        <v>97436.0</v>
      </c>
      <c r="F255" s="27">
        <v>341800.0</v>
      </c>
      <c r="G255" s="1">
        <v>11.0</v>
      </c>
      <c r="H255" s="1">
        <v>11.0</v>
      </c>
      <c r="I255" s="1">
        <v>100.0</v>
      </c>
      <c r="J255" s="1">
        <v>4.0</v>
      </c>
      <c r="K255" s="26">
        <v>1.0</v>
      </c>
      <c r="L255" s="1" t="s">
        <v>470</v>
      </c>
      <c r="M255" s="1" t="s">
        <v>190</v>
      </c>
      <c r="N255" s="1">
        <v>2.0</v>
      </c>
      <c r="O255" s="33"/>
    </row>
    <row r="256">
      <c r="A256" s="1" t="s">
        <v>471</v>
      </c>
      <c r="B256" s="27">
        <v>1487111.0</v>
      </c>
      <c r="C256" s="61">
        <v>2437.89</v>
      </c>
      <c r="D256" s="61">
        <v>743555.5</v>
      </c>
      <c r="E256" s="27">
        <v>466550.0</v>
      </c>
      <c r="F256" s="27">
        <v>1020561.0</v>
      </c>
      <c r="G256" s="1">
        <v>2.0</v>
      </c>
      <c r="H256" s="1">
        <v>2.0</v>
      </c>
      <c r="I256" s="1">
        <v>100.0</v>
      </c>
      <c r="J256" s="1" t="s">
        <v>223</v>
      </c>
      <c r="K256" s="26">
        <v>0.0</v>
      </c>
      <c r="L256" s="1" t="s">
        <v>149</v>
      </c>
      <c r="M256" s="1" t="s">
        <v>156</v>
      </c>
      <c r="N256" s="1">
        <v>2.0</v>
      </c>
      <c r="O256" s="33"/>
    </row>
    <row r="257">
      <c r="A257" s="1" t="s">
        <v>472</v>
      </c>
      <c r="B257" s="27">
        <v>1139559.0</v>
      </c>
      <c r="C257" s="61">
        <v>1868.13</v>
      </c>
      <c r="D257" s="61">
        <v>1139559.0</v>
      </c>
      <c r="E257" s="27">
        <v>1139559.0</v>
      </c>
      <c r="F257" s="27">
        <v>1139559.0</v>
      </c>
      <c r="G257" s="1">
        <v>1.0</v>
      </c>
      <c r="H257" s="1">
        <v>1.0</v>
      </c>
      <c r="I257" s="1">
        <v>100.0</v>
      </c>
      <c r="J257" s="1" t="s">
        <v>223</v>
      </c>
      <c r="K257" s="26">
        <v>1.0</v>
      </c>
      <c r="L257" s="1" t="s">
        <v>473</v>
      </c>
      <c r="M257" s="1" t="s">
        <v>193</v>
      </c>
      <c r="N257" s="1">
        <v>1.0</v>
      </c>
      <c r="O257" s="33"/>
    </row>
    <row r="258">
      <c r="A258" s="1" t="s">
        <v>227</v>
      </c>
      <c r="B258" s="27">
        <v>925056.0</v>
      </c>
      <c r="C258" s="61">
        <v>1516.49</v>
      </c>
      <c r="D258" s="61">
        <v>925056.0</v>
      </c>
      <c r="E258" s="27">
        <v>925056.0</v>
      </c>
      <c r="F258" s="27">
        <v>925056.0</v>
      </c>
      <c r="G258" s="1">
        <v>1.0</v>
      </c>
      <c r="H258" s="1">
        <v>1.0</v>
      </c>
      <c r="I258" s="1">
        <v>100.0</v>
      </c>
      <c r="J258" s="1" t="s">
        <v>223</v>
      </c>
      <c r="K258" s="26">
        <v>1.0</v>
      </c>
      <c r="L258" s="1" t="s">
        <v>226</v>
      </c>
      <c r="M258" s="1" t="s">
        <v>187</v>
      </c>
      <c r="N258" s="1">
        <v>2.0</v>
      </c>
      <c r="O258" s="33"/>
    </row>
    <row r="259">
      <c r="A259" s="1" t="s">
        <v>474</v>
      </c>
      <c r="B259" s="27">
        <v>919591.0</v>
      </c>
      <c r="C259" s="61">
        <v>1507.53</v>
      </c>
      <c r="D259" s="61">
        <v>306530.3</v>
      </c>
      <c r="E259" s="27">
        <v>269114.0</v>
      </c>
      <c r="F259" s="27">
        <v>346560.0</v>
      </c>
      <c r="G259" s="1">
        <v>3.0</v>
      </c>
      <c r="H259" s="1">
        <v>3.0</v>
      </c>
      <c r="I259" s="1">
        <v>100.0</v>
      </c>
      <c r="J259" s="1" t="s">
        <v>223</v>
      </c>
      <c r="K259" s="26">
        <v>1.0</v>
      </c>
      <c r="L259" s="1" t="s">
        <v>475</v>
      </c>
      <c r="M259" s="1" t="s">
        <v>182</v>
      </c>
      <c r="N259" s="1">
        <v>2.0</v>
      </c>
      <c r="O259" s="33"/>
    </row>
    <row r="260">
      <c r="A260" s="1" t="s">
        <v>476</v>
      </c>
      <c r="B260" s="27">
        <v>752573.0</v>
      </c>
      <c r="C260" s="61">
        <v>1233.73</v>
      </c>
      <c r="D260" s="61">
        <v>13936.54</v>
      </c>
      <c r="E260" s="27">
        <v>12208.0</v>
      </c>
      <c r="F260" s="27">
        <v>14076.0</v>
      </c>
      <c r="G260" s="1">
        <v>54.0</v>
      </c>
      <c r="H260" s="1">
        <v>54.0</v>
      </c>
      <c r="I260" s="1">
        <v>100.0</v>
      </c>
      <c r="J260" s="1">
        <v>1.28</v>
      </c>
      <c r="K260" s="26">
        <v>0.0</v>
      </c>
      <c r="L260" s="1" t="s">
        <v>149</v>
      </c>
      <c r="M260" s="1" t="s">
        <v>156</v>
      </c>
      <c r="N260" s="1">
        <v>2.0</v>
      </c>
      <c r="O260" s="33"/>
    </row>
    <row r="261">
      <c r="A261" s="1" t="s">
        <v>477</v>
      </c>
      <c r="B261" s="27">
        <v>439228.0</v>
      </c>
      <c r="C261" s="1">
        <v>720.05</v>
      </c>
      <c r="D261" s="61">
        <v>36602.33</v>
      </c>
      <c r="E261" s="27">
        <v>30299.0</v>
      </c>
      <c r="F261" s="27">
        <v>46106.0</v>
      </c>
      <c r="G261" s="1">
        <v>12.0</v>
      </c>
      <c r="H261" s="1">
        <v>12.0</v>
      </c>
      <c r="I261" s="1">
        <v>100.0</v>
      </c>
      <c r="J261" s="1">
        <v>2.5</v>
      </c>
      <c r="K261" s="26">
        <v>1.0</v>
      </c>
      <c r="L261" s="1" t="s">
        <v>478</v>
      </c>
      <c r="M261" s="1" t="s">
        <v>190</v>
      </c>
      <c r="N261" s="1">
        <v>2.0</v>
      </c>
      <c r="O261" s="33"/>
    </row>
    <row r="262">
      <c r="A262" s="1" t="s">
        <v>479</v>
      </c>
      <c r="B262" s="27">
        <v>52904.0</v>
      </c>
      <c r="C262" s="1">
        <v>86.73</v>
      </c>
      <c r="D262" s="61">
        <v>2204.33</v>
      </c>
      <c r="E262" s="27">
        <v>1174.0</v>
      </c>
      <c r="F262" s="27">
        <v>3064.0</v>
      </c>
      <c r="G262" s="1">
        <v>24.0</v>
      </c>
      <c r="H262" s="1">
        <v>24.0</v>
      </c>
      <c r="I262" s="1">
        <v>100.0</v>
      </c>
      <c r="J262" s="1">
        <v>28.81</v>
      </c>
      <c r="K262" s="26">
        <v>0.0</v>
      </c>
      <c r="L262" s="1" t="s">
        <v>149</v>
      </c>
      <c r="M262" s="1" t="s">
        <v>150</v>
      </c>
      <c r="N262" s="1">
        <v>2.0</v>
      </c>
      <c r="O262" s="33"/>
    </row>
    <row r="263">
      <c r="A263" s="1" t="s">
        <v>480</v>
      </c>
      <c r="B263" s="27">
        <v>41280.0</v>
      </c>
      <c r="C263" s="1">
        <v>67.67</v>
      </c>
      <c r="D263" s="61">
        <v>1179.43</v>
      </c>
      <c r="E263" s="27">
        <v>1122.0</v>
      </c>
      <c r="F263" s="27">
        <v>1217.0</v>
      </c>
      <c r="G263" s="1">
        <v>35.0</v>
      </c>
      <c r="H263" s="1">
        <v>35.0</v>
      </c>
      <c r="I263" s="1">
        <v>100.0</v>
      </c>
      <c r="J263" s="1">
        <v>18.72</v>
      </c>
      <c r="K263" s="26">
        <v>0.0</v>
      </c>
      <c r="L263" s="1" t="s">
        <v>149</v>
      </c>
      <c r="M263" s="1" t="s">
        <v>150</v>
      </c>
      <c r="N263" s="1">
        <v>2.0</v>
      </c>
      <c r="O263" s="33"/>
    </row>
  </sheetData>
  <mergeCells count="2">
    <mergeCell ref="P1:Q1"/>
    <mergeCell ref="O8:R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2.63" defaultRowHeight="15.75"/>
  <sheetData>
    <row r="1">
      <c r="A1" s="39" t="s">
        <v>116</v>
      </c>
      <c r="B1" s="40" t="str">
        <f t="shared" ref="B1:O1" si="1">B8</f>
        <v>Agility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40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Stamina</v>
      </c>
      <c r="L1" s="40" t="str">
        <f t="shared" si="1"/>
        <v>TargetHP</v>
      </c>
      <c r="M1" s="40" t="str">
        <f t="shared" si="1"/>
        <v>CritPercent</v>
      </c>
      <c r="N1" s="40" t="str">
        <f t="shared" si="1"/>
        <v>Flurry Adjusted</v>
      </c>
      <c r="O1" s="40" t="str">
        <f t="shared" si="1"/>
        <v>SDA Adjusted</v>
      </c>
    </row>
    <row r="2">
      <c r="A2" s="41" t="s">
        <v>111</v>
      </c>
      <c r="B2" s="42">
        <f t="shared" ref="B2:O2" si="2">Average(B7:B1001)</f>
        <v>22796.83278</v>
      </c>
      <c r="C2" s="43">
        <f t="shared" si="2"/>
        <v>19.32498997</v>
      </c>
      <c r="D2" s="43">
        <f t="shared" si="2"/>
        <v>20.84908027</v>
      </c>
      <c r="E2" s="43">
        <f t="shared" si="2"/>
        <v>1.607110368</v>
      </c>
      <c r="F2" s="42">
        <f t="shared" si="2"/>
        <v>1070.591304</v>
      </c>
      <c r="G2" s="43">
        <f t="shared" si="2"/>
        <v>0.8844080268</v>
      </c>
      <c r="H2" s="43">
        <f t="shared" si="2"/>
        <v>0.4918294314</v>
      </c>
      <c r="I2" s="42">
        <f t="shared" si="2"/>
        <v>541.3548495</v>
      </c>
      <c r="J2" s="42">
        <f t="shared" si="2"/>
        <v>407.5053512</v>
      </c>
      <c r="K2" s="42">
        <f t="shared" si="2"/>
        <v>31436.99331</v>
      </c>
      <c r="L2" s="42">
        <f t="shared" si="2"/>
        <v>99.97993311</v>
      </c>
      <c r="M2" s="63">
        <f t="shared" si="2"/>
        <v>16.40580602</v>
      </c>
      <c r="N2" s="63">
        <f t="shared" si="2"/>
        <v>0.8844080268</v>
      </c>
      <c r="O2" s="63">
        <f t="shared" si="2"/>
        <v>0.4543110368</v>
      </c>
    </row>
    <row r="3">
      <c r="A3" s="41" t="s">
        <v>112</v>
      </c>
      <c r="B3" s="42">
        <f t="shared" ref="B3:O3" si="3">Min(B7:B1001)</f>
        <v>15749</v>
      </c>
      <c r="C3" s="43">
        <f t="shared" si="3"/>
        <v>16.95</v>
      </c>
      <c r="D3" s="43">
        <f t="shared" si="3"/>
        <v>16.585</v>
      </c>
      <c r="E3" s="43">
        <f t="shared" si="3"/>
        <v>0.977</v>
      </c>
      <c r="F3" s="42">
        <f t="shared" si="3"/>
        <v>1015.5</v>
      </c>
      <c r="G3" s="43">
        <f t="shared" si="3"/>
        <v>0.845</v>
      </c>
      <c r="H3" s="43">
        <f t="shared" si="3"/>
        <v>0.371</v>
      </c>
      <c r="I3" s="42">
        <f t="shared" si="3"/>
        <v>485.8</v>
      </c>
      <c r="J3" s="42">
        <f t="shared" si="3"/>
        <v>302.7</v>
      </c>
      <c r="K3" s="42">
        <f t="shared" si="3"/>
        <v>22387</v>
      </c>
      <c r="L3" s="42">
        <f t="shared" si="3"/>
        <v>99</v>
      </c>
      <c r="M3" s="63">
        <f t="shared" si="3"/>
        <v>15.674</v>
      </c>
      <c r="N3" s="63">
        <f t="shared" si="3"/>
        <v>0.845</v>
      </c>
      <c r="O3" s="63">
        <f t="shared" si="3"/>
        <v>0.371</v>
      </c>
    </row>
    <row r="4">
      <c r="A4" s="41" t="s">
        <v>113</v>
      </c>
      <c r="B4" s="42">
        <f t="shared" ref="B4:O4" si="4">Median(B7:B1001)</f>
        <v>20946</v>
      </c>
      <c r="C4" s="43">
        <f t="shared" si="4"/>
        <v>18.447</v>
      </c>
      <c r="D4" s="43">
        <f t="shared" si="4"/>
        <v>19.097</v>
      </c>
      <c r="E4" s="43">
        <f t="shared" si="4"/>
        <v>1.534</v>
      </c>
      <c r="F4" s="42">
        <f t="shared" si="4"/>
        <v>1069.8</v>
      </c>
      <c r="G4" s="43">
        <f t="shared" si="4"/>
        <v>0.885</v>
      </c>
      <c r="H4" s="43">
        <f t="shared" si="4"/>
        <v>0.399</v>
      </c>
      <c r="I4" s="42">
        <f t="shared" si="4"/>
        <v>509.8</v>
      </c>
      <c r="J4" s="42">
        <f t="shared" si="4"/>
        <v>423.9</v>
      </c>
      <c r="K4" s="42">
        <f t="shared" si="4"/>
        <v>28823</v>
      </c>
      <c r="L4" s="42">
        <f t="shared" si="4"/>
        <v>100</v>
      </c>
      <c r="M4" s="63">
        <f t="shared" si="4"/>
        <v>16.406</v>
      </c>
      <c r="N4" s="63">
        <f t="shared" si="4"/>
        <v>0.885</v>
      </c>
      <c r="O4" s="63">
        <f t="shared" si="4"/>
        <v>0.399</v>
      </c>
    </row>
    <row r="5">
      <c r="A5" s="41" t="s">
        <v>114</v>
      </c>
      <c r="B5" s="42">
        <f t="shared" ref="B5:O5" si="5">Max(B7:B1001)</f>
        <v>30611</v>
      </c>
      <c r="C5" s="43">
        <f t="shared" si="5"/>
        <v>24.011</v>
      </c>
      <c r="D5" s="43">
        <f t="shared" si="5"/>
        <v>32.334</v>
      </c>
      <c r="E5" s="43">
        <f t="shared" si="5"/>
        <v>2.373</v>
      </c>
      <c r="F5" s="42">
        <f t="shared" si="5"/>
        <v>1120.8</v>
      </c>
      <c r="G5" s="43">
        <f t="shared" si="5"/>
        <v>0.985</v>
      </c>
      <c r="H5" s="43">
        <f t="shared" si="5"/>
        <v>1.437</v>
      </c>
      <c r="I5" s="42">
        <f t="shared" si="5"/>
        <v>626.4</v>
      </c>
      <c r="J5" s="42">
        <f t="shared" si="5"/>
        <v>513.1</v>
      </c>
      <c r="K5" s="42">
        <f t="shared" si="5"/>
        <v>42122</v>
      </c>
      <c r="L5" s="42">
        <f t="shared" si="5"/>
        <v>100</v>
      </c>
      <c r="M5" s="63">
        <f t="shared" si="5"/>
        <v>16.697</v>
      </c>
      <c r="N5" s="63">
        <f t="shared" si="5"/>
        <v>0.985</v>
      </c>
      <c r="O5" s="63">
        <f t="shared" si="5"/>
        <v>1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</row>
    <row r="7">
      <c r="A7" s="1" t="s">
        <v>481</v>
      </c>
      <c r="B7" s="1"/>
      <c r="C7" s="23"/>
      <c r="D7" s="23"/>
      <c r="E7" s="23"/>
      <c r="F7" s="1"/>
      <c r="G7" s="23"/>
      <c r="H7" s="23"/>
      <c r="I7" s="1"/>
      <c r="J7" s="1"/>
      <c r="K7" s="1"/>
    </row>
    <row r="8">
      <c r="A8" s="1" t="s">
        <v>482</v>
      </c>
      <c r="B8" s="1" t="s">
        <v>117</v>
      </c>
      <c r="C8" s="1" t="s">
        <v>23</v>
      </c>
      <c r="D8" s="1" t="s">
        <v>12</v>
      </c>
      <c r="E8" s="1" t="s">
        <v>24</v>
      </c>
      <c r="F8" s="1" t="s">
        <v>25</v>
      </c>
      <c r="G8" s="1" t="s">
        <v>26</v>
      </c>
      <c r="H8" s="1" t="s">
        <v>483</v>
      </c>
      <c r="I8" s="1" t="s">
        <v>484</v>
      </c>
      <c r="J8" s="1" t="s">
        <v>485</v>
      </c>
      <c r="K8" s="1" t="s">
        <v>486</v>
      </c>
      <c r="L8" s="1" t="s">
        <v>487</v>
      </c>
      <c r="M8" s="1" t="s">
        <v>488</v>
      </c>
      <c r="N8" s="1" t="s">
        <v>489</v>
      </c>
      <c r="O8" s="1" t="s">
        <v>490</v>
      </c>
    </row>
    <row r="9">
      <c r="A9" s="1">
        <v>0.0</v>
      </c>
      <c r="B9" s="1">
        <v>22632.0</v>
      </c>
      <c r="C9" s="23">
        <v>17.038</v>
      </c>
      <c r="D9" s="23">
        <v>17.181</v>
      </c>
      <c r="E9" s="23">
        <v>1.071</v>
      </c>
      <c r="F9" s="61">
        <v>1015.5</v>
      </c>
      <c r="G9" s="26">
        <v>0.895</v>
      </c>
      <c r="H9" s="23">
        <v>0.389</v>
      </c>
      <c r="I9" s="1">
        <v>586.9</v>
      </c>
      <c r="J9" s="1">
        <v>454.1</v>
      </c>
      <c r="K9" s="1">
        <v>31483.0</v>
      </c>
      <c r="L9" s="1">
        <v>100.0</v>
      </c>
      <c r="M9" s="23">
        <v>16.148</v>
      </c>
      <c r="N9" s="12">
        <f t="shared" ref="N9:O9" si="6">if(G9&gt;100%,100%,G9)</f>
        <v>0.895</v>
      </c>
      <c r="O9" s="23">
        <f t="shared" si="6"/>
        <v>0.389</v>
      </c>
      <c r="P9" s="35"/>
    </row>
    <row r="10">
      <c r="A10" s="1">
        <v>2.0</v>
      </c>
      <c r="B10" s="1">
        <v>22632.0</v>
      </c>
      <c r="C10" s="23">
        <v>17.746</v>
      </c>
      <c r="D10" s="23">
        <v>17.834</v>
      </c>
      <c r="E10" s="23">
        <v>1.321</v>
      </c>
      <c r="F10" s="61">
        <v>1015.5</v>
      </c>
      <c r="G10" s="23">
        <v>0.895</v>
      </c>
      <c r="H10" s="23">
        <v>0.389</v>
      </c>
      <c r="I10" s="1">
        <v>586.9</v>
      </c>
      <c r="J10" s="1">
        <v>454.1</v>
      </c>
      <c r="K10" s="1">
        <v>31483.0</v>
      </c>
      <c r="L10" s="1">
        <v>100.0</v>
      </c>
      <c r="M10" s="23">
        <v>16.335</v>
      </c>
      <c r="N10" s="64">
        <f t="shared" ref="N10:O10" si="7">if(G10&gt;100%,100%,G10)</f>
        <v>0.895</v>
      </c>
      <c r="O10" s="23">
        <f t="shared" si="7"/>
        <v>0.389</v>
      </c>
      <c r="P10" s="35"/>
    </row>
    <row r="11">
      <c r="A11" s="1">
        <v>4.0</v>
      </c>
      <c r="B11" s="1">
        <v>22632.0</v>
      </c>
      <c r="C11" s="23">
        <v>18.297</v>
      </c>
      <c r="D11" s="23">
        <v>19.269</v>
      </c>
      <c r="E11" s="23">
        <v>1.323</v>
      </c>
      <c r="F11" s="61">
        <v>1015.5</v>
      </c>
      <c r="G11" s="23">
        <v>0.895</v>
      </c>
      <c r="H11" s="23">
        <v>0.396</v>
      </c>
      <c r="I11" s="1">
        <v>590.9</v>
      </c>
      <c r="J11" s="1">
        <v>454.1</v>
      </c>
      <c r="K11" s="1">
        <v>31483.0</v>
      </c>
      <c r="L11" s="1">
        <v>100.0</v>
      </c>
      <c r="M11" s="23">
        <v>16.335</v>
      </c>
      <c r="N11" s="64">
        <f t="shared" ref="N11:O11" si="8">if(G11&gt;100%,100%,G11)</f>
        <v>0.895</v>
      </c>
      <c r="O11" s="23">
        <f t="shared" si="8"/>
        <v>0.396</v>
      </c>
      <c r="P11" s="35"/>
    </row>
    <row r="12">
      <c r="A12" s="1">
        <v>6.0</v>
      </c>
      <c r="B12" s="1">
        <v>26219.0</v>
      </c>
      <c r="C12" s="23">
        <v>20.71</v>
      </c>
      <c r="D12" s="23">
        <v>20.747</v>
      </c>
      <c r="E12" s="23">
        <v>1.299</v>
      </c>
      <c r="F12" s="61">
        <v>1016.4</v>
      </c>
      <c r="G12" s="23">
        <v>0.886</v>
      </c>
      <c r="H12" s="23">
        <v>1.397</v>
      </c>
      <c r="I12" s="1">
        <v>626.4</v>
      </c>
      <c r="J12" s="1">
        <v>428.8</v>
      </c>
      <c r="K12" s="1">
        <v>35916.0</v>
      </c>
      <c r="L12" s="1">
        <v>99.0</v>
      </c>
      <c r="M12" s="23">
        <v>15.674</v>
      </c>
      <c r="N12" s="64">
        <f t="shared" ref="N12:O12" si="9">if(G12&gt;100%,100%,G12)</f>
        <v>0.886</v>
      </c>
      <c r="O12" s="23">
        <f t="shared" si="9"/>
        <v>1</v>
      </c>
      <c r="P12" s="35"/>
    </row>
    <row r="13">
      <c r="A13" s="1">
        <v>8.0</v>
      </c>
      <c r="B13" s="1">
        <v>30281.0</v>
      </c>
      <c r="C13" s="23">
        <v>22.187</v>
      </c>
      <c r="D13" s="23">
        <v>27.175</v>
      </c>
      <c r="E13" s="23">
        <v>1.359</v>
      </c>
      <c r="F13" s="61">
        <v>1062.5</v>
      </c>
      <c r="G13" s="23">
        <v>0.874</v>
      </c>
      <c r="H13" s="23">
        <v>1.397</v>
      </c>
      <c r="I13" s="1">
        <v>590.9</v>
      </c>
      <c r="J13" s="1">
        <v>391.9</v>
      </c>
      <c r="K13" s="1">
        <v>42122.0</v>
      </c>
      <c r="L13" s="1">
        <v>100.0</v>
      </c>
      <c r="M13" s="26">
        <v>16.469</v>
      </c>
      <c r="N13" s="64">
        <f t="shared" ref="N13:O13" si="10">if(G13&gt;100%,100%,G13)</f>
        <v>0.874</v>
      </c>
      <c r="O13" s="23">
        <f t="shared" si="10"/>
        <v>1</v>
      </c>
      <c r="P13" s="35"/>
    </row>
    <row r="14">
      <c r="A14" s="1">
        <v>10.0</v>
      </c>
      <c r="B14" s="1">
        <v>30281.0</v>
      </c>
      <c r="C14" s="23">
        <v>22.366</v>
      </c>
      <c r="D14" s="23">
        <v>27.542</v>
      </c>
      <c r="E14" s="23">
        <v>1.359</v>
      </c>
      <c r="F14" s="61">
        <v>1062.5</v>
      </c>
      <c r="G14" s="23">
        <v>0.874</v>
      </c>
      <c r="H14" s="23">
        <v>0.396</v>
      </c>
      <c r="I14" s="1">
        <v>590.9</v>
      </c>
      <c r="J14" s="1">
        <v>391.9</v>
      </c>
      <c r="K14" s="1">
        <v>42122.0</v>
      </c>
      <c r="L14" s="1">
        <v>100.0</v>
      </c>
      <c r="M14" s="26">
        <v>16.469</v>
      </c>
      <c r="N14" s="64">
        <f t="shared" ref="N14:O14" si="11">if(G14&gt;100%,100%,G14)</f>
        <v>0.874</v>
      </c>
      <c r="O14" s="23">
        <f t="shared" si="11"/>
        <v>0.396</v>
      </c>
      <c r="P14" s="35"/>
    </row>
    <row r="15">
      <c r="A15" s="1">
        <v>12.0</v>
      </c>
      <c r="B15" s="1">
        <v>30611.0</v>
      </c>
      <c r="C15" s="23">
        <v>23.627</v>
      </c>
      <c r="D15" s="23">
        <v>29.031</v>
      </c>
      <c r="E15" s="23">
        <v>1.479</v>
      </c>
      <c r="F15" s="61">
        <v>1101.8</v>
      </c>
      <c r="G15" s="23">
        <v>0.887</v>
      </c>
      <c r="H15" s="23">
        <v>0.396</v>
      </c>
      <c r="I15" s="1">
        <v>590.9</v>
      </c>
      <c r="J15" s="1">
        <v>431.2</v>
      </c>
      <c r="K15" s="1">
        <v>42122.0</v>
      </c>
      <c r="L15" s="1">
        <v>100.0</v>
      </c>
      <c r="M15" s="23">
        <v>16.556</v>
      </c>
      <c r="N15" s="64">
        <f t="shared" ref="N15:O15" si="12">if(G15&gt;100%,100%,G15)</f>
        <v>0.887</v>
      </c>
      <c r="O15" s="23">
        <f t="shared" si="12"/>
        <v>0.396</v>
      </c>
      <c r="P15" s="35"/>
    </row>
    <row r="16">
      <c r="A16" s="1">
        <v>14.0</v>
      </c>
      <c r="B16" s="1">
        <v>30611.0</v>
      </c>
      <c r="C16" s="23">
        <v>23.845</v>
      </c>
      <c r="D16" s="23">
        <v>29.219</v>
      </c>
      <c r="E16" s="23">
        <v>1.939</v>
      </c>
      <c r="F16" s="61">
        <v>1101.8</v>
      </c>
      <c r="G16" s="23">
        <v>0.887</v>
      </c>
      <c r="H16" s="23">
        <v>0.396</v>
      </c>
      <c r="I16" s="1">
        <v>590.9</v>
      </c>
      <c r="J16" s="1">
        <v>431.2</v>
      </c>
      <c r="K16" s="1">
        <v>42122.0</v>
      </c>
      <c r="L16" s="1">
        <v>100.0</v>
      </c>
      <c r="M16" s="23">
        <v>16.556</v>
      </c>
      <c r="N16" s="64">
        <f t="shared" ref="N16:O16" si="13">if(G16&gt;100%,100%,G16)</f>
        <v>0.887</v>
      </c>
      <c r="O16" s="23">
        <f t="shared" si="13"/>
        <v>0.396</v>
      </c>
      <c r="P16" s="35"/>
    </row>
    <row r="17">
      <c r="A17" s="1">
        <v>16.0</v>
      </c>
      <c r="B17" s="1">
        <v>30611.0</v>
      </c>
      <c r="C17" s="23">
        <v>24.011</v>
      </c>
      <c r="D17" s="23">
        <v>22.784</v>
      </c>
      <c r="E17" s="23">
        <v>1.902</v>
      </c>
      <c r="F17" s="61">
        <v>1101.8</v>
      </c>
      <c r="G17" s="23">
        <v>0.887</v>
      </c>
      <c r="H17" s="23">
        <v>0.389</v>
      </c>
      <c r="I17" s="1">
        <v>594.9</v>
      </c>
      <c r="J17" s="1">
        <v>431.2</v>
      </c>
      <c r="K17" s="1">
        <v>42122.0</v>
      </c>
      <c r="L17" s="1">
        <v>100.0</v>
      </c>
      <c r="M17" s="23">
        <v>16.611</v>
      </c>
      <c r="N17" s="64">
        <f t="shared" ref="N17:O17" si="14">if(G17&gt;100%,100%,G17)</f>
        <v>0.887</v>
      </c>
      <c r="O17" s="23">
        <f t="shared" si="14"/>
        <v>0.389</v>
      </c>
      <c r="P17" s="35"/>
    </row>
    <row r="18">
      <c r="A18" s="1">
        <v>18.0</v>
      </c>
      <c r="B18" s="1">
        <v>30611.0</v>
      </c>
      <c r="C18" s="23">
        <v>22.881</v>
      </c>
      <c r="D18" s="23">
        <v>23.033</v>
      </c>
      <c r="E18" s="23">
        <v>1.902</v>
      </c>
      <c r="F18" s="61">
        <v>1101.8</v>
      </c>
      <c r="G18" s="23">
        <v>0.887</v>
      </c>
      <c r="H18" s="23">
        <v>0.389</v>
      </c>
      <c r="I18" s="1">
        <v>594.9</v>
      </c>
      <c r="J18" s="1">
        <v>431.2</v>
      </c>
      <c r="K18" s="1">
        <v>42122.0</v>
      </c>
      <c r="L18" s="1">
        <v>100.0</v>
      </c>
      <c r="M18" s="23">
        <v>16.611</v>
      </c>
      <c r="N18" s="64">
        <f t="shared" ref="N18:O18" si="15">if(G18&gt;100%,100%,G18)</f>
        <v>0.887</v>
      </c>
      <c r="O18" s="23">
        <f t="shared" si="15"/>
        <v>0.389</v>
      </c>
      <c r="P18" s="35"/>
    </row>
    <row r="19">
      <c r="A19" s="1">
        <v>20.0</v>
      </c>
      <c r="B19" s="1">
        <v>26745.0</v>
      </c>
      <c r="C19" s="23">
        <v>21.787</v>
      </c>
      <c r="D19" s="23">
        <v>21.921</v>
      </c>
      <c r="E19" s="23">
        <v>1.937</v>
      </c>
      <c r="F19" s="61">
        <v>1075.8</v>
      </c>
      <c r="G19" s="23">
        <v>0.887</v>
      </c>
      <c r="H19" s="23">
        <v>0.389</v>
      </c>
      <c r="I19" s="1">
        <v>594.9</v>
      </c>
      <c r="J19" s="1">
        <v>431.2</v>
      </c>
      <c r="K19" s="1">
        <v>36802.0</v>
      </c>
      <c r="L19" s="1">
        <v>100.0</v>
      </c>
      <c r="M19" s="23">
        <v>16.562</v>
      </c>
      <c r="N19" s="64">
        <f t="shared" ref="N19:O19" si="16">if(G19&gt;100%,100%,G19)</f>
        <v>0.887</v>
      </c>
      <c r="O19" s="23">
        <f t="shared" si="16"/>
        <v>0.389</v>
      </c>
      <c r="P19" s="35"/>
    </row>
    <row r="20">
      <c r="A20" s="1">
        <v>22.0</v>
      </c>
      <c r="B20" s="1">
        <v>22879.0</v>
      </c>
      <c r="C20" s="23">
        <v>20.934</v>
      </c>
      <c r="D20" s="23">
        <v>20.52</v>
      </c>
      <c r="E20" s="23">
        <v>2.042</v>
      </c>
      <c r="F20" s="61">
        <v>1050.8</v>
      </c>
      <c r="G20" s="23">
        <v>0.887</v>
      </c>
      <c r="H20" s="23">
        <v>0.389</v>
      </c>
      <c r="I20" s="1">
        <v>594.9</v>
      </c>
      <c r="J20" s="1">
        <v>431.2</v>
      </c>
      <c r="K20" s="1">
        <v>31483.0</v>
      </c>
      <c r="L20" s="1">
        <v>100.0</v>
      </c>
      <c r="M20" s="23">
        <v>16.562</v>
      </c>
      <c r="N20" s="64">
        <f t="shared" ref="N20:O20" si="17">if(G20&gt;100%,100%,G20)</f>
        <v>0.887</v>
      </c>
      <c r="O20" s="23">
        <f t="shared" si="17"/>
        <v>0.389</v>
      </c>
      <c r="P20" s="35"/>
    </row>
    <row r="21">
      <c r="A21" s="1">
        <v>24.0</v>
      </c>
      <c r="B21" s="1">
        <v>22879.0</v>
      </c>
      <c r="C21" s="23">
        <v>21.234</v>
      </c>
      <c r="D21" s="23">
        <v>20.366</v>
      </c>
      <c r="E21" s="23">
        <v>2.146</v>
      </c>
      <c r="F21" s="61">
        <v>1069.8</v>
      </c>
      <c r="G21" s="23">
        <v>0.887</v>
      </c>
      <c r="H21" s="23">
        <v>0.399</v>
      </c>
      <c r="I21" s="1">
        <v>594.9</v>
      </c>
      <c r="J21" s="1">
        <v>431.2</v>
      </c>
      <c r="K21" s="1">
        <v>31483.0</v>
      </c>
      <c r="L21" s="1">
        <v>100.0</v>
      </c>
      <c r="M21" s="23">
        <v>16.432</v>
      </c>
      <c r="N21" s="64">
        <f t="shared" ref="N21:O21" si="18">if(G21&gt;100%,100%,G21)</f>
        <v>0.887</v>
      </c>
      <c r="O21" s="23">
        <f t="shared" si="18"/>
        <v>0.399</v>
      </c>
      <c r="P21" s="35"/>
    </row>
    <row r="22">
      <c r="A22" s="1">
        <v>26.0</v>
      </c>
      <c r="B22" s="1">
        <v>22879.0</v>
      </c>
      <c r="C22" s="23">
        <v>19.659</v>
      </c>
      <c r="D22" s="23">
        <v>18.848</v>
      </c>
      <c r="E22" s="23">
        <v>2.146</v>
      </c>
      <c r="F22" s="61">
        <v>1069.8</v>
      </c>
      <c r="G22" s="23">
        <v>0.887</v>
      </c>
      <c r="H22" s="23">
        <v>0.406</v>
      </c>
      <c r="I22" s="1">
        <v>594.9</v>
      </c>
      <c r="J22" s="1">
        <v>431.2</v>
      </c>
      <c r="K22" s="1">
        <v>31483.0</v>
      </c>
      <c r="L22" s="1">
        <v>100.0</v>
      </c>
      <c r="M22" s="23">
        <v>16.432</v>
      </c>
      <c r="N22" s="64">
        <f t="shared" ref="N22:O22" si="19">if(G22&gt;100%,100%,G22)</f>
        <v>0.887</v>
      </c>
      <c r="O22" s="23">
        <f t="shared" si="19"/>
        <v>0.406</v>
      </c>
      <c r="P22" s="35"/>
    </row>
    <row r="23">
      <c r="A23" s="1">
        <v>29.0</v>
      </c>
      <c r="B23" s="1">
        <v>20946.0</v>
      </c>
      <c r="C23" s="23">
        <v>19.606</v>
      </c>
      <c r="D23" s="23">
        <v>18.861</v>
      </c>
      <c r="E23" s="23">
        <v>2.015</v>
      </c>
      <c r="F23" s="61">
        <v>1069.8</v>
      </c>
      <c r="G23" s="23">
        <v>0.887</v>
      </c>
      <c r="H23" s="23">
        <v>0.406</v>
      </c>
      <c r="I23" s="1">
        <v>594.9</v>
      </c>
      <c r="J23" s="1">
        <v>431.2</v>
      </c>
      <c r="K23" s="1">
        <v>28823.0</v>
      </c>
      <c r="L23" s="1">
        <v>100.0</v>
      </c>
      <c r="M23" s="23">
        <v>16.432</v>
      </c>
      <c r="N23" s="64">
        <f t="shared" ref="N23:O23" si="20">if(G23&gt;100%,100%,G23)</f>
        <v>0.887</v>
      </c>
      <c r="O23" s="23">
        <f t="shared" si="20"/>
        <v>0.406</v>
      </c>
      <c r="P23" s="35"/>
    </row>
    <row r="24">
      <c r="A24" s="1">
        <v>31.0</v>
      </c>
      <c r="B24" s="1">
        <v>20946.0</v>
      </c>
      <c r="C24" s="23">
        <v>19.267</v>
      </c>
      <c r="D24" s="23">
        <v>18.579</v>
      </c>
      <c r="E24" s="23">
        <v>2.015</v>
      </c>
      <c r="F24" s="61">
        <v>1054.8</v>
      </c>
      <c r="G24" s="23">
        <v>0.914</v>
      </c>
      <c r="H24" s="23">
        <v>0.381</v>
      </c>
      <c r="I24" s="1">
        <v>594.9</v>
      </c>
      <c r="J24" s="1">
        <v>513.1</v>
      </c>
      <c r="K24" s="1">
        <v>28823.0</v>
      </c>
      <c r="L24" s="1">
        <v>100.0</v>
      </c>
      <c r="M24" s="23">
        <v>16.432</v>
      </c>
      <c r="N24" s="64">
        <f t="shared" ref="N24:O24" si="21">if(G24&gt;100%,100%,G24)</f>
        <v>0.914</v>
      </c>
      <c r="O24" s="23">
        <f t="shared" si="21"/>
        <v>0.381</v>
      </c>
      <c r="P24" s="35"/>
    </row>
    <row r="25">
      <c r="A25" s="1">
        <v>33.0</v>
      </c>
      <c r="B25" s="1">
        <v>20946.0</v>
      </c>
      <c r="C25" s="23">
        <v>19.641</v>
      </c>
      <c r="D25" s="23">
        <v>18.975</v>
      </c>
      <c r="E25" s="23">
        <v>2.015</v>
      </c>
      <c r="F25" s="61">
        <v>1054.8</v>
      </c>
      <c r="G25" s="23">
        <v>0.914</v>
      </c>
      <c r="H25" s="23">
        <v>0.381</v>
      </c>
      <c r="I25" s="1">
        <v>594.9</v>
      </c>
      <c r="J25" s="1">
        <v>513.1</v>
      </c>
      <c r="K25" s="1">
        <v>28823.0</v>
      </c>
      <c r="L25" s="1">
        <v>100.0</v>
      </c>
      <c r="M25" s="23">
        <v>16.437</v>
      </c>
      <c r="N25" s="64">
        <f t="shared" ref="N25:O25" si="22">if(G25&gt;100%,100%,G25)</f>
        <v>0.914</v>
      </c>
      <c r="O25" s="23">
        <f t="shared" si="22"/>
        <v>0.381</v>
      </c>
      <c r="P25" s="35"/>
    </row>
    <row r="26">
      <c r="A26" s="1">
        <v>35.0</v>
      </c>
      <c r="B26" s="1">
        <v>20946.0</v>
      </c>
      <c r="C26" s="23">
        <v>17.631</v>
      </c>
      <c r="D26" s="23">
        <v>17.857</v>
      </c>
      <c r="E26" s="23">
        <v>1.645</v>
      </c>
      <c r="F26" s="61">
        <v>1054.8</v>
      </c>
      <c r="G26" s="23">
        <v>0.914</v>
      </c>
      <c r="H26" s="23">
        <v>0.371</v>
      </c>
      <c r="I26" s="1">
        <v>594.9</v>
      </c>
      <c r="J26" s="1">
        <v>513.1</v>
      </c>
      <c r="K26" s="1">
        <v>28823.0</v>
      </c>
      <c r="L26" s="1">
        <v>100.0</v>
      </c>
      <c r="M26" s="23">
        <v>16.437</v>
      </c>
      <c r="N26" s="64">
        <f t="shared" ref="N26:O26" si="23">if(G26&gt;100%,100%,G26)</f>
        <v>0.914</v>
      </c>
      <c r="O26" s="23">
        <f t="shared" si="23"/>
        <v>0.371</v>
      </c>
      <c r="P26" s="35"/>
    </row>
    <row r="27">
      <c r="A27" s="1">
        <v>37.0</v>
      </c>
      <c r="B27" s="1">
        <v>20946.0</v>
      </c>
      <c r="C27" s="23">
        <v>17.603</v>
      </c>
      <c r="D27" s="23">
        <v>17.857</v>
      </c>
      <c r="E27" s="23">
        <v>1.645</v>
      </c>
      <c r="F27" s="61">
        <v>1054.8</v>
      </c>
      <c r="G27" s="23">
        <v>0.914</v>
      </c>
      <c r="H27" s="23">
        <v>0.396</v>
      </c>
      <c r="I27" s="1">
        <v>594.9</v>
      </c>
      <c r="J27" s="1">
        <v>513.1</v>
      </c>
      <c r="K27" s="1">
        <v>28823.0</v>
      </c>
      <c r="L27" s="1">
        <v>100.0</v>
      </c>
      <c r="M27" s="23">
        <v>16.437</v>
      </c>
      <c r="N27" s="64">
        <f t="shared" ref="N27:O27" si="24">if(G27&gt;100%,100%,G27)</f>
        <v>0.914</v>
      </c>
      <c r="O27" s="23">
        <f t="shared" si="24"/>
        <v>0.396</v>
      </c>
      <c r="P27" s="35"/>
    </row>
    <row r="28">
      <c r="A28" s="1">
        <v>39.0</v>
      </c>
      <c r="B28" s="1">
        <v>20946.0</v>
      </c>
      <c r="C28" s="23">
        <v>17.58</v>
      </c>
      <c r="D28" s="23">
        <v>17.618</v>
      </c>
      <c r="E28" s="23">
        <v>1.645</v>
      </c>
      <c r="F28" s="61">
        <v>1054.8</v>
      </c>
      <c r="G28" s="23">
        <v>0.914</v>
      </c>
      <c r="H28" s="23">
        <v>0.396</v>
      </c>
      <c r="I28" s="1">
        <v>485.8</v>
      </c>
      <c r="J28" s="1">
        <v>513.1</v>
      </c>
      <c r="K28" s="1">
        <v>28823.0</v>
      </c>
      <c r="L28" s="1">
        <v>100.0</v>
      </c>
      <c r="M28" s="23">
        <v>16.369</v>
      </c>
      <c r="N28" s="64">
        <f t="shared" ref="N28:O28" si="25">if(G28&gt;100%,100%,G28)</f>
        <v>0.914</v>
      </c>
      <c r="O28" s="23">
        <f t="shared" si="25"/>
        <v>0.396</v>
      </c>
      <c r="P28" s="35"/>
    </row>
    <row r="29">
      <c r="A29" s="1">
        <v>41.0</v>
      </c>
      <c r="B29" s="1">
        <v>20946.0</v>
      </c>
      <c r="C29" s="23">
        <v>18.1</v>
      </c>
      <c r="D29" s="23">
        <v>17.618</v>
      </c>
      <c r="E29" s="23">
        <v>1.645</v>
      </c>
      <c r="F29" s="61">
        <v>1054.8</v>
      </c>
      <c r="G29" s="23">
        <v>0.914</v>
      </c>
      <c r="H29" s="23">
        <v>0.396</v>
      </c>
      <c r="I29" s="1">
        <v>485.8</v>
      </c>
      <c r="J29" s="1">
        <v>513.1</v>
      </c>
      <c r="K29" s="1">
        <v>28823.0</v>
      </c>
      <c r="L29" s="1">
        <v>100.0</v>
      </c>
      <c r="M29" s="23">
        <v>16.369</v>
      </c>
      <c r="N29" s="64">
        <f t="shared" ref="N29:O29" si="26">if(G29&gt;100%,100%,G29)</f>
        <v>0.914</v>
      </c>
      <c r="O29" s="23">
        <f t="shared" si="26"/>
        <v>0.396</v>
      </c>
      <c r="P29" s="35"/>
    </row>
    <row r="30">
      <c r="A30" s="1">
        <v>43.0</v>
      </c>
      <c r="B30" s="1">
        <v>20946.0</v>
      </c>
      <c r="C30" s="26">
        <v>17.461</v>
      </c>
      <c r="D30" s="23">
        <v>20.125</v>
      </c>
      <c r="E30" s="23">
        <v>1.395</v>
      </c>
      <c r="F30" s="61">
        <v>1069.8</v>
      </c>
      <c r="G30" s="23">
        <v>0.914</v>
      </c>
      <c r="H30" s="23">
        <v>0.396</v>
      </c>
      <c r="I30" s="1">
        <v>485.8</v>
      </c>
      <c r="J30" s="1">
        <v>513.1</v>
      </c>
      <c r="K30" s="1">
        <v>28823.0</v>
      </c>
      <c r="L30" s="1">
        <v>100.0</v>
      </c>
      <c r="M30" s="23">
        <v>16.364</v>
      </c>
      <c r="N30" s="64">
        <f t="shared" ref="N30:O30" si="27">if(G30&gt;100%,100%,G30)</f>
        <v>0.914</v>
      </c>
      <c r="O30" s="23">
        <f t="shared" si="27"/>
        <v>0.396</v>
      </c>
      <c r="P30" s="35"/>
    </row>
    <row r="31">
      <c r="A31" s="1">
        <v>45.0</v>
      </c>
      <c r="B31" s="1">
        <v>20946.0</v>
      </c>
      <c r="C31" s="26">
        <v>18.343</v>
      </c>
      <c r="D31" s="23">
        <v>20.402</v>
      </c>
      <c r="E31" s="23">
        <v>1.395</v>
      </c>
      <c r="F31" s="61">
        <v>1069.8</v>
      </c>
      <c r="G31" s="23">
        <v>0.914</v>
      </c>
      <c r="H31" s="23">
        <v>0.396</v>
      </c>
      <c r="I31" s="1">
        <v>485.8</v>
      </c>
      <c r="J31" s="1">
        <v>513.1</v>
      </c>
      <c r="K31" s="1">
        <v>28823.0</v>
      </c>
      <c r="L31" s="1">
        <v>100.0</v>
      </c>
      <c r="M31" s="23">
        <v>16.364</v>
      </c>
      <c r="N31" s="64">
        <f t="shared" ref="N31:O31" si="28">if(G31&gt;100%,100%,G31)</f>
        <v>0.914</v>
      </c>
      <c r="O31" s="23">
        <f t="shared" si="28"/>
        <v>0.396</v>
      </c>
      <c r="P31" s="35"/>
    </row>
    <row r="32">
      <c r="A32" s="1">
        <v>47.0</v>
      </c>
      <c r="B32" s="1">
        <v>18202.0</v>
      </c>
      <c r="C32" s="23">
        <v>18.366</v>
      </c>
      <c r="D32" s="23">
        <v>20.765</v>
      </c>
      <c r="E32" s="23">
        <v>1.395</v>
      </c>
      <c r="F32" s="61">
        <v>1082.8</v>
      </c>
      <c r="G32" s="23">
        <v>0.887</v>
      </c>
      <c r="H32" s="23">
        <v>0.406</v>
      </c>
      <c r="I32" s="1">
        <v>485.8</v>
      </c>
      <c r="J32" s="1">
        <v>431.2</v>
      </c>
      <c r="K32" s="1">
        <v>25046.0</v>
      </c>
      <c r="L32" s="1">
        <v>100.0</v>
      </c>
      <c r="M32" s="23">
        <v>16.337</v>
      </c>
      <c r="N32" s="64">
        <f t="shared" ref="N32:O32" si="29">if(G32&gt;100%,100%,G32)</f>
        <v>0.887</v>
      </c>
      <c r="O32" s="23">
        <f t="shared" si="29"/>
        <v>0.406</v>
      </c>
      <c r="P32" s="35"/>
    </row>
    <row r="33">
      <c r="A33" s="1">
        <v>49.0</v>
      </c>
      <c r="B33" s="1">
        <v>18202.0</v>
      </c>
      <c r="C33" s="23">
        <v>17.943</v>
      </c>
      <c r="D33" s="23">
        <v>20.279</v>
      </c>
      <c r="E33" s="23">
        <v>1.395</v>
      </c>
      <c r="F33" s="61">
        <v>1082.8</v>
      </c>
      <c r="G33" s="23">
        <v>0.867</v>
      </c>
      <c r="H33" s="23">
        <v>0.406</v>
      </c>
      <c r="I33" s="1">
        <v>485.8</v>
      </c>
      <c r="J33" s="1">
        <v>371.9</v>
      </c>
      <c r="K33" s="1">
        <v>25046.0</v>
      </c>
      <c r="L33" s="1">
        <v>100.0</v>
      </c>
      <c r="M33" s="23">
        <v>16.337</v>
      </c>
      <c r="N33" s="64">
        <f t="shared" ref="N33:O33" si="30">if(G33&gt;100%,100%,G33)</f>
        <v>0.867</v>
      </c>
      <c r="O33" s="23">
        <f t="shared" si="30"/>
        <v>0.406</v>
      </c>
      <c r="P33" s="35"/>
    </row>
    <row r="34">
      <c r="A34" s="1">
        <v>51.0</v>
      </c>
      <c r="B34" s="1">
        <v>18202.0</v>
      </c>
      <c r="C34" s="23">
        <v>17.943</v>
      </c>
      <c r="D34" s="23">
        <v>20.025</v>
      </c>
      <c r="E34" s="23">
        <v>1.397</v>
      </c>
      <c r="F34" s="61">
        <v>1082.8</v>
      </c>
      <c r="G34" s="23">
        <v>0.867</v>
      </c>
      <c r="H34" s="23">
        <v>0.399</v>
      </c>
      <c r="I34" s="1">
        <v>489.8</v>
      </c>
      <c r="J34" s="1">
        <v>371.9</v>
      </c>
      <c r="K34" s="1">
        <v>25046.0</v>
      </c>
      <c r="L34" s="1">
        <v>100.0</v>
      </c>
      <c r="M34" s="23">
        <v>16.337</v>
      </c>
      <c r="N34" s="64">
        <f t="shared" ref="N34:O34" si="31">if(G34&gt;100%,100%,G34)</f>
        <v>0.867</v>
      </c>
      <c r="O34" s="23">
        <f t="shared" si="31"/>
        <v>0.399</v>
      </c>
      <c r="P34" s="35"/>
    </row>
    <row r="35">
      <c r="A35" s="1">
        <v>53.0</v>
      </c>
      <c r="B35" s="1">
        <v>22879.0</v>
      </c>
      <c r="C35" s="23">
        <v>18.514</v>
      </c>
      <c r="D35" s="23">
        <v>18.345</v>
      </c>
      <c r="E35" s="23">
        <v>0.977</v>
      </c>
      <c r="F35" s="61">
        <v>1082.8</v>
      </c>
      <c r="G35" s="23">
        <v>0.867</v>
      </c>
      <c r="H35" s="23">
        <v>0.399</v>
      </c>
      <c r="I35" s="1">
        <v>489.8</v>
      </c>
      <c r="J35" s="1">
        <v>371.9</v>
      </c>
      <c r="K35" s="1">
        <v>31483.0</v>
      </c>
      <c r="L35" s="1">
        <v>100.0</v>
      </c>
      <c r="M35" s="23">
        <v>16.337</v>
      </c>
      <c r="N35" s="64">
        <f t="shared" ref="N35:O35" si="32">if(G35&gt;100%,100%,G35)</f>
        <v>0.867</v>
      </c>
      <c r="O35" s="23">
        <f t="shared" si="32"/>
        <v>0.399</v>
      </c>
      <c r="P35" s="35"/>
    </row>
    <row r="36">
      <c r="A36" s="1">
        <v>55.0</v>
      </c>
      <c r="B36" s="1">
        <v>22879.0</v>
      </c>
      <c r="C36" s="23">
        <v>18.311</v>
      </c>
      <c r="D36" s="23">
        <v>18.16</v>
      </c>
      <c r="E36" s="23">
        <v>0.977</v>
      </c>
      <c r="F36" s="61">
        <v>1067.8</v>
      </c>
      <c r="G36" s="23">
        <v>0.867</v>
      </c>
      <c r="H36" s="23">
        <v>0.399</v>
      </c>
      <c r="I36" s="1">
        <v>489.8</v>
      </c>
      <c r="J36" s="1">
        <v>371.9</v>
      </c>
      <c r="K36" s="1">
        <v>31483.0</v>
      </c>
      <c r="L36" s="1">
        <v>100.0</v>
      </c>
      <c r="M36" s="23">
        <v>16.381</v>
      </c>
      <c r="N36" s="64">
        <f t="shared" ref="N36:O36" si="33">if(G36&gt;100%,100%,G36)</f>
        <v>0.867</v>
      </c>
      <c r="O36" s="23">
        <f t="shared" si="33"/>
        <v>0.399</v>
      </c>
      <c r="P36" s="35"/>
    </row>
    <row r="37">
      <c r="A37" s="1">
        <v>57.0</v>
      </c>
      <c r="B37" s="1">
        <v>22879.0</v>
      </c>
      <c r="C37" s="23">
        <v>18.311</v>
      </c>
      <c r="D37" s="23">
        <v>18.214</v>
      </c>
      <c r="E37" s="23">
        <v>1.397</v>
      </c>
      <c r="F37" s="61">
        <v>1067.8</v>
      </c>
      <c r="G37" s="23">
        <v>0.867</v>
      </c>
      <c r="H37" s="23">
        <v>0.389</v>
      </c>
      <c r="I37" s="1">
        <v>489.8</v>
      </c>
      <c r="J37" s="1">
        <v>371.9</v>
      </c>
      <c r="K37" s="1">
        <v>31483.0</v>
      </c>
      <c r="L37" s="1">
        <v>100.0</v>
      </c>
      <c r="M37" s="23">
        <v>16.381</v>
      </c>
      <c r="N37" s="64">
        <f t="shared" ref="N37:O37" si="34">if(G37&gt;100%,100%,G37)</f>
        <v>0.867</v>
      </c>
      <c r="O37" s="23">
        <f t="shared" si="34"/>
        <v>0.389</v>
      </c>
      <c r="P37" s="35"/>
    </row>
    <row r="38">
      <c r="A38" s="1">
        <v>59.0</v>
      </c>
      <c r="B38" s="1">
        <v>22879.0</v>
      </c>
      <c r="C38" s="23">
        <v>18.085</v>
      </c>
      <c r="D38" s="23">
        <v>18.002</v>
      </c>
      <c r="E38" s="23">
        <v>1.397</v>
      </c>
      <c r="F38" s="61">
        <v>1067.8</v>
      </c>
      <c r="G38" s="23">
        <v>0.867</v>
      </c>
      <c r="H38" s="23">
        <v>0.396</v>
      </c>
      <c r="I38" s="1">
        <v>489.8</v>
      </c>
      <c r="J38" s="1">
        <v>371.9</v>
      </c>
      <c r="K38" s="1">
        <v>31483.0</v>
      </c>
      <c r="L38" s="1">
        <v>100.0</v>
      </c>
      <c r="M38" s="23">
        <v>16.403</v>
      </c>
      <c r="N38" s="64">
        <f t="shared" ref="N38:O38" si="35">if(G38&gt;100%,100%,G38)</f>
        <v>0.867</v>
      </c>
      <c r="O38" s="23">
        <f t="shared" si="35"/>
        <v>0.396</v>
      </c>
      <c r="P38" s="35"/>
    </row>
    <row r="39">
      <c r="A39" s="1">
        <v>61.0</v>
      </c>
      <c r="B39" s="1">
        <v>20946.0</v>
      </c>
      <c r="C39" s="23">
        <v>18.125</v>
      </c>
      <c r="D39" s="23">
        <v>17.883</v>
      </c>
      <c r="E39" s="23">
        <v>1.397</v>
      </c>
      <c r="F39" s="61">
        <v>1054.8</v>
      </c>
      <c r="G39" s="23">
        <v>0.867</v>
      </c>
      <c r="H39" s="23">
        <v>0.396</v>
      </c>
      <c r="I39" s="1">
        <v>489.8</v>
      </c>
      <c r="J39" s="1">
        <v>371.9</v>
      </c>
      <c r="K39" s="1">
        <v>28823.0</v>
      </c>
      <c r="L39" s="1">
        <v>100.0</v>
      </c>
      <c r="M39" s="23">
        <v>16.403</v>
      </c>
      <c r="N39" s="64">
        <f t="shared" ref="N39:O39" si="36">if(G39&gt;100%,100%,G39)</f>
        <v>0.867</v>
      </c>
      <c r="O39" s="23">
        <f t="shared" si="36"/>
        <v>0.396</v>
      </c>
      <c r="P39" s="35"/>
    </row>
    <row r="40">
      <c r="A40" s="1">
        <v>63.0</v>
      </c>
      <c r="B40" s="1">
        <v>20946.0</v>
      </c>
      <c r="C40" s="23">
        <v>18.464</v>
      </c>
      <c r="D40" s="23">
        <v>17.937</v>
      </c>
      <c r="E40" s="23">
        <v>1.397</v>
      </c>
      <c r="F40" s="61">
        <v>1054.8</v>
      </c>
      <c r="G40" s="23">
        <v>0.894</v>
      </c>
      <c r="H40" s="23">
        <v>0.396</v>
      </c>
      <c r="I40" s="1">
        <v>489.8</v>
      </c>
      <c r="J40" s="1">
        <v>453.9</v>
      </c>
      <c r="K40" s="1">
        <v>28823.0</v>
      </c>
      <c r="L40" s="1">
        <v>100.0</v>
      </c>
      <c r="M40" s="23">
        <v>16.403</v>
      </c>
      <c r="N40" s="64">
        <f t="shared" ref="N40:O40" si="37">if(G40&gt;100%,100%,G40)</f>
        <v>0.894</v>
      </c>
      <c r="O40" s="23">
        <f t="shared" si="37"/>
        <v>0.396</v>
      </c>
      <c r="P40" s="35"/>
    </row>
    <row r="41">
      <c r="A41" s="1">
        <v>65.0</v>
      </c>
      <c r="B41" s="1">
        <v>20946.0</v>
      </c>
      <c r="C41" s="23">
        <v>18.475</v>
      </c>
      <c r="D41" s="23">
        <v>17.181</v>
      </c>
      <c r="E41" s="23">
        <v>1.517</v>
      </c>
      <c r="F41" s="61">
        <v>1054.8</v>
      </c>
      <c r="G41" s="23">
        <v>0.894</v>
      </c>
      <c r="H41" s="23">
        <v>0.396</v>
      </c>
      <c r="I41" s="1">
        <v>489.8</v>
      </c>
      <c r="J41" s="1">
        <v>453.9</v>
      </c>
      <c r="K41" s="1">
        <v>28823.0</v>
      </c>
      <c r="L41" s="1">
        <v>100.0</v>
      </c>
      <c r="M41" s="23">
        <v>16.403</v>
      </c>
      <c r="N41" s="64">
        <f t="shared" ref="N41:O41" si="38">if(G41&gt;100%,100%,G41)</f>
        <v>0.894</v>
      </c>
      <c r="O41" s="23">
        <f t="shared" si="38"/>
        <v>0.396</v>
      </c>
      <c r="P41" s="35"/>
    </row>
    <row r="42">
      <c r="A42" s="1">
        <v>67.0</v>
      </c>
      <c r="B42" s="1">
        <v>20946.0</v>
      </c>
      <c r="C42" s="23">
        <v>18.147</v>
      </c>
      <c r="D42" s="23">
        <v>18.137</v>
      </c>
      <c r="E42" s="23">
        <v>1.099</v>
      </c>
      <c r="F42" s="61">
        <v>1054.8</v>
      </c>
      <c r="G42" s="23">
        <v>0.885</v>
      </c>
      <c r="H42" s="23">
        <v>0.396</v>
      </c>
      <c r="I42" s="1">
        <v>493.8</v>
      </c>
      <c r="J42" s="1">
        <v>423.9</v>
      </c>
      <c r="K42" s="1">
        <v>28823.0</v>
      </c>
      <c r="L42" s="1">
        <v>100.0</v>
      </c>
      <c r="M42" s="23">
        <v>16.403</v>
      </c>
      <c r="N42" s="64">
        <f t="shared" ref="N42:O42" si="39">if(G42&gt;100%,100%,G42)</f>
        <v>0.885</v>
      </c>
      <c r="O42" s="23">
        <f t="shared" si="39"/>
        <v>0.396</v>
      </c>
      <c r="P42" s="35"/>
    </row>
    <row r="43">
      <c r="A43" s="1">
        <v>69.0</v>
      </c>
      <c r="B43" s="1">
        <v>20946.0</v>
      </c>
      <c r="C43" s="23">
        <v>18.17</v>
      </c>
      <c r="D43" s="23">
        <v>18.143</v>
      </c>
      <c r="E43" s="23">
        <v>1.519</v>
      </c>
      <c r="F43" s="61">
        <v>1054.8</v>
      </c>
      <c r="G43" s="23">
        <v>0.885</v>
      </c>
      <c r="H43" s="23">
        <v>1.389</v>
      </c>
      <c r="I43" s="1">
        <v>493.8</v>
      </c>
      <c r="J43" s="1">
        <v>423.9</v>
      </c>
      <c r="K43" s="1">
        <v>28823.0</v>
      </c>
      <c r="L43" s="1">
        <v>100.0</v>
      </c>
      <c r="M43" s="23">
        <v>16.426</v>
      </c>
      <c r="N43" s="64">
        <f t="shared" ref="N43:O43" si="40">if(G43&gt;100%,100%,G43)</f>
        <v>0.885</v>
      </c>
      <c r="O43" s="23">
        <f t="shared" si="40"/>
        <v>1</v>
      </c>
      <c r="P43" s="35"/>
    </row>
    <row r="44">
      <c r="A44" s="1">
        <v>71.0</v>
      </c>
      <c r="B44" s="1">
        <v>20946.0</v>
      </c>
      <c r="C44" s="23">
        <v>18.192</v>
      </c>
      <c r="D44" s="23">
        <v>18.147</v>
      </c>
      <c r="E44" s="23">
        <v>1.523</v>
      </c>
      <c r="F44" s="61">
        <v>1054.8</v>
      </c>
      <c r="G44" s="23">
        <v>0.885</v>
      </c>
      <c r="H44" s="23">
        <v>1.389</v>
      </c>
      <c r="I44" s="1">
        <v>501.8</v>
      </c>
      <c r="J44" s="1">
        <v>423.9</v>
      </c>
      <c r="K44" s="1">
        <v>28823.0</v>
      </c>
      <c r="L44" s="1">
        <v>100.0</v>
      </c>
      <c r="M44" s="23">
        <v>16.426</v>
      </c>
      <c r="N44" s="64">
        <f t="shared" ref="N44:O44" si="41">if(G44&gt;100%,100%,G44)</f>
        <v>0.885</v>
      </c>
      <c r="O44" s="23">
        <f t="shared" si="41"/>
        <v>1</v>
      </c>
      <c r="P44" s="35"/>
    </row>
    <row r="45">
      <c r="A45" s="1">
        <v>73.0</v>
      </c>
      <c r="B45" s="1">
        <v>20946.0</v>
      </c>
      <c r="C45" s="23">
        <v>19.356</v>
      </c>
      <c r="D45" s="23">
        <v>19.277</v>
      </c>
      <c r="E45" s="23">
        <v>1.523</v>
      </c>
      <c r="F45" s="61">
        <v>1054.8</v>
      </c>
      <c r="G45" s="23">
        <v>0.885</v>
      </c>
      <c r="H45" s="23">
        <v>0.396</v>
      </c>
      <c r="I45" s="1">
        <v>501.8</v>
      </c>
      <c r="J45" s="1">
        <v>423.9</v>
      </c>
      <c r="K45" s="1">
        <v>28823.0</v>
      </c>
      <c r="L45" s="1">
        <v>100.0</v>
      </c>
      <c r="M45" s="23">
        <v>16.426</v>
      </c>
      <c r="N45" s="64">
        <f t="shared" ref="N45:O45" si="42">if(G45&gt;100%,100%,G45)</f>
        <v>0.885</v>
      </c>
      <c r="O45" s="23">
        <f t="shared" si="42"/>
        <v>0.396</v>
      </c>
      <c r="P45" s="35"/>
    </row>
    <row r="46">
      <c r="A46" s="1">
        <v>75.0</v>
      </c>
      <c r="B46" s="1">
        <v>26745.0</v>
      </c>
      <c r="C46" s="23">
        <v>22.385</v>
      </c>
      <c r="D46" s="23">
        <v>27.269</v>
      </c>
      <c r="E46" s="23">
        <v>1.525</v>
      </c>
      <c r="F46" s="61">
        <v>1092.8</v>
      </c>
      <c r="G46" s="23">
        <v>0.885</v>
      </c>
      <c r="H46" s="23">
        <v>0.396</v>
      </c>
      <c r="I46" s="1">
        <v>505.8</v>
      </c>
      <c r="J46" s="1">
        <v>423.9</v>
      </c>
      <c r="K46" s="1">
        <v>36802.0</v>
      </c>
      <c r="L46" s="1">
        <v>100.0</v>
      </c>
      <c r="M46" s="26">
        <v>16.426</v>
      </c>
      <c r="N46" s="64">
        <f t="shared" ref="N46:O46" si="43">if(G46&gt;100%,100%,G46)</f>
        <v>0.885</v>
      </c>
      <c r="O46" s="23">
        <f t="shared" si="43"/>
        <v>0.396</v>
      </c>
      <c r="P46" s="35"/>
    </row>
    <row r="47">
      <c r="A47" s="1">
        <v>77.0</v>
      </c>
      <c r="B47" s="1">
        <v>28678.0</v>
      </c>
      <c r="C47" s="23">
        <v>22.746</v>
      </c>
      <c r="D47" s="23">
        <v>27.536</v>
      </c>
      <c r="E47" s="23">
        <v>1.525</v>
      </c>
      <c r="F47" s="61">
        <v>1073.8</v>
      </c>
      <c r="G47" s="23">
        <v>0.885</v>
      </c>
      <c r="H47" s="23">
        <v>0.371</v>
      </c>
      <c r="I47" s="1">
        <v>505.8</v>
      </c>
      <c r="J47" s="1">
        <v>423.9</v>
      </c>
      <c r="K47" s="1">
        <v>39462.0</v>
      </c>
      <c r="L47" s="1">
        <v>100.0</v>
      </c>
      <c r="M47" s="26">
        <v>16.59</v>
      </c>
      <c r="N47" s="64">
        <f t="shared" ref="N47:O47" si="44">if(G47&gt;100%,100%,G47)</f>
        <v>0.885</v>
      </c>
      <c r="O47" s="23">
        <f t="shared" si="44"/>
        <v>0.371</v>
      </c>
      <c r="P47" s="35"/>
    </row>
    <row r="48">
      <c r="A48" s="1">
        <v>79.0</v>
      </c>
      <c r="B48" s="1">
        <v>28678.0</v>
      </c>
      <c r="C48" s="23">
        <v>22.95</v>
      </c>
      <c r="D48" s="23">
        <v>28.145</v>
      </c>
      <c r="E48" s="23">
        <v>1.407</v>
      </c>
      <c r="F48" s="61">
        <v>1086.8</v>
      </c>
      <c r="G48" s="23">
        <v>0.858</v>
      </c>
      <c r="H48" s="23">
        <v>0.371</v>
      </c>
      <c r="I48" s="1">
        <v>509.8</v>
      </c>
      <c r="J48" s="1">
        <v>341.9</v>
      </c>
      <c r="K48" s="1">
        <v>39462.0</v>
      </c>
      <c r="L48" s="1">
        <v>100.0</v>
      </c>
      <c r="M48" s="23">
        <v>16.59</v>
      </c>
      <c r="N48" s="64">
        <f t="shared" ref="N48:O48" si="45">if(G48&gt;100%,100%,G48)</f>
        <v>0.858</v>
      </c>
      <c r="O48" s="23">
        <f t="shared" si="45"/>
        <v>0.371</v>
      </c>
      <c r="P48" s="35"/>
    </row>
    <row r="49">
      <c r="A49" s="1">
        <v>81.0</v>
      </c>
      <c r="B49" s="1">
        <v>27761.0</v>
      </c>
      <c r="C49" s="23">
        <v>22.712</v>
      </c>
      <c r="D49" s="23">
        <v>32.176</v>
      </c>
      <c r="E49" s="23">
        <v>1.407</v>
      </c>
      <c r="F49" s="61">
        <v>1083.8</v>
      </c>
      <c r="G49" s="23">
        <v>0.851</v>
      </c>
      <c r="H49" s="23">
        <v>0.371</v>
      </c>
      <c r="I49" s="1">
        <v>509.8</v>
      </c>
      <c r="J49" s="1">
        <v>322.1</v>
      </c>
      <c r="K49" s="1">
        <v>39462.0</v>
      </c>
      <c r="L49" s="1">
        <v>100.0</v>
      </c>
      <c r="M49" s="23">
        <v>16.554</v>
      </c>
      <c r="N49" s="64">
        <f t="shared" ref="N49:O49" si="46">if(G49&gt;100%,100%,G49)</f>
        <v>0.851</v>
      </c>
      <c r="O49" s="23">
        <f t="shared" si="46"/>
        <v>0.371</v>
      </c>
      <c r="P49" s="35"/>
    </row>
    <row r="50">
      <c r="A50" s="1">
        <v>83.0</v>
      </c>
      <c r="B50" s="1">
        <v>28678.0</v>
      </c>
      <c r="C50" s="23">
        <v>22.995</v>
      </c>
      <c r="D50" s="23">
        <v>32.334</v>
      </c>
      <c r="E50" s="23">
        <v>1.407</v>
      </c>
      <c r="F50" s="61">
        <v>1086.8</v>
      </c>
      <c r="G50" s="23">
        <v>0.858</v>
      </c>
      <c r="H50" s="23">
        <v>0.406</v>
      </c>
      <c r="I50" s="1">
        <v>509.8</v>
      </c>
      <c r="J50" s="1">
        <v>341.9</v>
      </c>
      <c r="K50" s="1">
        <v>39462.0</v>
      </c>
      <c r="L50" s="1">
        <v>100.0</v>
      </c>
      <c r="M50" s="23">
        <v>16.554</v>
      </c>
      <c r="N50" s="64">
        <f t="shared" ref="N50:O50" si="47">if(G50&gt;100%,100%,G50)</f>
        <v>0.858</v>
      </c>
      <c r="O50" s="23">
        <f t="shared" si="47"/>
        <v>0.406</v>
      </c>
      <c r="P50" s="35"/>
    </row>
    <row r="51">
      <c r="A51" s="1">
        <v>85.0</v>
      </c>
      <c r="B51" s="1">
        <v>28678.0</v>
      </c>
      <c r="C51" s="23">
        <v>23.006</v>
      </c>
      <c r="D51" s="23">
        <v>28.322</v>
      </c>
      <c r="E51" s="23">
        <v>1.407</v>
      </c>
      <c r="F51" s="61">
        <v>1101.8</v>
      </c>
      <c r="G51" s="23">
        <v>0.858</v>
      </c>
      <c r="H51" s="23">
        <v>0.406</v>
      </c>
      <c r="I51" s="1">
        <v>509.8</v>
      </c>
      <c r="J51" s="1">
        <v>341.9</v>
      </c>
      <c r="K51" s="1">
        <v>39462.0</v>
      </c>
      <c r="L51" s="1">
        <v>100.0</v>
      </c>
      <c r="M51" s="23">
        <v>16.557</v>
      </c>
      <c r="N51" s="64">
        <f t="shared" ref="N51:O51" si="48">if(G51&gt;100%,100%,G51)</f>
        <v>0.858</v>
      </c>
      <c r="O51" s="23">
        <f t="shared" si="48"/>
        <v>0.406</v>
      </c>
      <c r="P51" s="35"/>
    </row>
    <row r="52">
      <c r="A52" s="1">
        <v>87.0</v>
      </c>
      <c r="B52" s="1">
        <v>28368.0</v>
      </c>
      <c r="C52" s="23">
        <v>22.656</v>
      </c>
      <c r="D52" s="23">
        <v>27.883</v>
      </c>
      <c r="E52" s="23">
        <v>1.407</v>
      </c>
      <c r="F52" s="61">
        <v>1101.8</v>
      </c>
      <c r="G52" s="23">
        <v>0.858</v>
      </c>
      <c r="H52" s="23">
        <v>0.406</v>
      </c>
      <c r="I52" s="1">
        <v>509.8</v>
      </c>
      <c r="J52" s="1">
        <v>341.9</v>
      </c>
      <c r="K52" s="1">
        <v>39462.0</v>
      </c>
      <c r="L52" s="1">
        <v>100.0</v>
      </c>
      <c r="M52" s="23">
        <v>16.557</v>
      </c>
      <c r="N52" s="64">
        <f t="shared" ref="N52:O52" si="49">if(G52&gt;100%,100%,G52)</f>
        <v>0.858</v>
      </c>
      <c r="O52" s="23">
        <f t="shared" si="49"/>
        <v>0.406</v>
      </c>
      <c r="P52" s="35"/>
    </row>
    <row r="53">
      <c r="A53" s="1">
        <v>89.0</v>
      </c>
      <c r="B53" s="1">
        <v>24812.0</v>
      </c>
      <c r="C53" s="23">
        <v>20.797</v>
      </c>
      <c r="D53" s="23">
        <v>25.254</v>
      </c>
      <c r="E53" s="23">
        <v>1.407</v>
      </c>
      <c r="F53" s="61">
        <v>1088.8</v>
      </c>
      <c r="G53" s="23">
        <v>0.858</v>
      </c>
      <c r="H53" s="23">
        <v>0.406</v>
      </c>
      <c r="I53" s="1">
        <v>509.8</v>
      </c>
      <c r="J53" s="1">
        <v>341.9</v>
      </c>
      <c r="K53" s="1">
        <v>34142.0</v>
      </c>
      <c r="L53" s="1">
        <v>100.0</v>
      </c>
      <c r="M53" s="23">
        <v>16.473</v>
      </c>
      <c r="N53" s="64">
        <f t="shared" ref="N53:O53" si="50">if(G53&gt;100%,100%,G53)</f>
        <v>0.858</v>
      </c>
      <c r="O53" s="23">
        <f t="shared" si="50"/>
        <v>0.406</v>
      </c>
      <c r="P53" s="35"/>
    </row>
    <row r="54">
      <c r="A54" s="1">
        <v>91.0</v>
      </c>
      <c r="B54" s="1">
        <v>22879.0</v>
      </c>
      <c r="C54" s="23">
        <v>19.565</v>
      </c>
      <c r="D54" s="23">
        <v>20.297</v>
      </c>
      <c r="E54" s="23">
        <v>1.407</v>
      </c>
      <c r="F54" s="61">
        <v>1082.8</v>
      </c>
      <c r="G54" s="23">
        <v>0.858</v>
      </c>
      <c r="H54" s="23">
        <v>0.406</v>
      </c>
      <c r="I54" s="1">
        <v>509.8</v>
      </c>
      <c r="J54" s="1">
        <v>341.9</v>
      </c>
      <c r="K54" s="1">
        <v>31483.0</v>
      </c>
      <c r="L54" s="1">
        <v>100.0</v>
      </c>
      <c r="M54" s="23">
        <v>16.473</v>
      </c>
      <c r="N54" s="64">
        <f t="shared" ref="N54:O54" si="51">if(G54&gt;100%,100%,G54)</f>
        <v>0.858</v>
      </c>
      <c r="O54" s="23">
        <f t="shared" si="51"/>
        <v>0.406</v>
      </c>
      <c r="P54" s="35"/>
    </row>
    <row r="55">
      <c r="A55" s="1">
        <v>93.0</v>
      </c>
      <c r="B55" s="1">
        <v>20946.0</v>
      </c>
      <c r="C55" s="23">
        <v>19.701</v>
      </c>
      <c r="D55" s="23">
        <v>20.405</v>
      </c>
      <c r="E55" s="23">
        <v>1.507</v>
      </c>
      <c r="F55" s="61">
        <v>1069.8</v>
      </c>
      <c r="G55" s="23">
        <v>0.858</v>
      </c>
      <c r="H55" s="23">
        <v>0.406</v>
      </c>
      <c r="I55" s="1">
        <v>509.8</v>
      </c>
      <c r="J55" s="1">
        <v>341.9</v>
      </c>
      <c r="K55" s="1">
        <v>28823.0</v>
      </c>
      <c r="L55" s="1">
        <v>100.0</v>
      </c>
      <c r="M55" s="23">
        <v>16.402</v>
      </c>
      <c r="N55" s="64">
        <f t="shared" ref="N55:O55" si="52">if(G55&gt;100%,100%,G55)</f>
        <v>0.858</v>
      </c>
      <c r="O55" s="23">
        <f t="shared" si="52"/>
        <v>0.406</v>
      </c>
      <c r="P55" s="35"/>
    </row>
    <row r="56">
      <c r="A56" s="1">
        <v>95.0</v>
      </c>
      <c r="B56" s="1">
        <v>20946.0</v>
      </c>
      <c r="C56" s="23">
        <v>17.452</v>
      </c>
      <c r="D56" s="23">
        <v>18.71</v>
      </c>
      <c r="E56" s="23">
        <v>1.757</v>
      </c>
      <c r="F56" s="61">
        <v>1069.8</v>
      </c>
      <c r="G56" s="23">
        <v>0.885</v>
      </c>
      <c r="H56" s="23">
        <v>0.406</v>
      </c>
      <c r="I56" s="1">
        <v>509.8</v>
      </c>
      <c r="J56" s="1">
        <v>423.9</v>
      </c>
      <c r="K56" s="1">
        <v>28823.0</v>
      </c>
      <c r="L56" s="1">
        <v>100.0</v>
      </c>
      <c r="M56" s="23">
        <v>16.402</v>
      </c>
      <c r="N56" s="64">
        <f t="shared" ref="N56:O56" si="53">if(G56&gt;100%,100%,G56)</f>
        <v>0.885</v>
      </c>
      <c r="O56" s="23">
        <f t="shared" si="53"/>
        <v>0.406</v>
      </c>
      <c r="P56" s="35"/>
    </row>
    <row r="57">
      <c r="A57" s="1">
        <v>97.0</v>
      </c>
      <c r="B57" s="1">
        <v>20946.0</v>
      </c>
      <c r="C57" s="23">
        <v>17.972</v>
      </c>
      <c r="D57" s="23">
        <v>17.806</v>
      </c>
      <c r="E57" s="23">
        <v>1.757</v>
      </c>
      <c r="F57" s="61">
        <v>1054.8</v>
      </c>
      <c r="G57" s="23">
        <v>0.885</v>
      </c>
      <c r="H57" s="23">
        <v>0.406</v>
      </c>
      <c r="I57" s="1">
        <v>509.8</v>
      </c>
      <c r="J57" s="1">
        <v>423.9</v>
      </c>
      <c r="K57" s="1">
        <v>28823.0</v>
      </c>
      <c r="L57" s="1">
        <v>100.0</v>
      </c>
      <c r="M57" s="23">
        <v>16.402</v>
      </c>
      <c r="N57" s="64">
        <f t="shared" ref="N57:O57" si="54">if(G57&gt;100%,100%,G57)</f>
        <v>0.885</v>
      </c>
      <c r="O57" s="23">
        <f t="shared" si="54"/>
        <v>0.406</v>
      </c>
      <c r="P57" s="35"/>
    </row>
    <row r="58">
      <c r="A58" s="1">
        <v>99.0</v>
      </c>
      <c r="B58" s="1">
        <v>20946.0</v>
      </c>
      <c r="C58" s="23">
        <v>18.277</v>
      </c>
      <c r="D58" s="23">
        <v>18.137</v>
      </c>
      <c r="E58" s="26">
        <v>2.242</v>
      </c>
      <c r="F58" s="61">
        <v>1069.8</v>
      </c>
      <c r="G58" s="23">
        <v>0.885</v>
      </c>
      <c r="H58" s="23">
        <v>0.406</v>
      </c>
      <c r="I58" s="1">
        <v>509.8</v>
      </c>
      <c r="J58" s="1">
        <v>423.9</v>
      </c>
      <c r="K58" s="1">
        <v>28823.0</v>
      </c>
      <c r="L58" s="1">
        <v>100.0</v>
      </c>
      <c r="M58" s="23">
        <v>16.365</v>
      </c>
      <c r="N58" s="64">
        <f t="shared" ref="N58:O58" si="55">if(G58&gt;100%,100%,G58)</f>
        <v>0.885</v>
      </c>
      <c r="O58" s="23">
        <f t="shared" si="55"/>
        <v>0.406</v>
      </c>
      <c r="P58" s="35"/>
    </row>
    <row r="59">
      <c r="A59" s="1">
        <v>101.0</v>
      </c>
      <c r="B59" s="1">
        <v>20946.0</v>
      </c>
      <c r="C59" s="23">
        <v>18.243</v>
      </c>
      <c r="D59" s="23">
        <v>17.855</v>
      </c>
      <c r="E59" s="26">
        <v>2.242</v>
      </c>
      <c r="F59" s="61">
        <v>1069.8</v>
      </c>
      <c r="G59" s="23">
        <v>0.885</v>
      </c>
      <c r="H59" s="23">
        <v>0.406</v>
      </c>
      <c r="I59" s="1">
        <v>509.8</v>
      </c>
      <c r="J59" s="1">
        <v>423.9</v>
      </c>
      <c r="K59" s="1">
        <v>28823.0</v>
      </c>
      <c r="L59" s="1">
        <v>100.0</v>
      </c>
      <c r="M59" s="23">
        <v>16.365</v>
      </c>
      <c r="N59" s="64">
        <f t="shared" ref="N59:O59" si="56">if(G59&gt;100%,100%,G59)</f>
        <v>0.885</v>
      </c>
      <c r="O59" s="23">
        <f t="shared" si="56"/>
        <v>0.406</v>
      </c>
      <c r="P59" s="35"/>
    </row>
    <row r="60">
      <c r="A60" s="1">
        <v>104.0</v>
      </c>
      <c r="B60" s="1">
        <v>20946.0</v>
      </c>
      <c r="C60" s="23">
        <v>18.243</v>
      </c>
      <c r="D60" s="23">
        <v>18.031</v>
      </c>
      <c r="E60" s="23">
        <v>2.242</v>
      </c>
      <c r="F60" s="61">
        <v>1069.8</v>
      </c>
      <c r="G60" s="23">
        <v>0.885</v>
      </c>
      <c r="H60" s="23">
        <v>0.396</v>
      </c>
      <c r="I60" s="1">
        <v>509.8</v>
      </c>
      <c r="J60" s="1">
        <v>423.9</v>
      </c>
      <c r="K60" s="1">
        <v>28823.0</v>
      </c>
      <c r="L60" s="1">
        <v>100.0</v>
      </c>
      <c r="M60" s="23">
        <v>16.396</v>
      </c>
      <c r="N60" s="64">
        <f t="shared" ref="N60:O60" si="57">if(G60&gt;100%,100%,G60)</f>
        <v>0.885</v>
      </c>
      <c r="O60" s="23">
        <f t="shared" si="57"/>
        <v>0.396</v>
      </c>
      <c r="P60" s="35"/>
    </row>
    <row r="61">
      <c r="A61" s="1">
        <v>106.0</v>
      </c>
      <c r="B61" s="1">
        <v>20946.0</v>
      </c>
      <c r="C61" s="26">
        <v>18.232</v>
      </c>
      <c r="D61" s="23">
        <v>18.144</v>
      </c>
      <c r="E61" s="23">
        <v>2.242</v>
      </c>
      <c r="F61" s="61">
        <v>1069.8</v>
      </c>
      <c r="G61" s="23">
        <v>0.885</v>
      </c>
      <c r="H61" s="23">
        <v>0.396</v>
      </c>
      <c r="I61" s="1">
        <v>509.8</v>
      </c>
      <c r="J61" s="1">
        <v>423.9</v>
      </c>
      <c r="K61" s="1">
        <v>28823.0</v>
      </c>
      <c r="L61" s="1">
        <v>100.0</v>
      </c>
      <c r="M61" s="23">
        <v>16.396</v>
      </c>
      <c r="N61" s="64">
        <f t="shared" ref="N61:O61" si="58">if(G61&gt;100%,100%,G61)</f>
        <v>0.885</v>
      </c>
      <c r="O61" s="23">
        <f t="shared" si="58"/>
        <v>0.396</v>
      </c>
      <c r="P61" s="35"/>
    </row>
    <row r="62">
      <c r="A62" s="1" t="s">
        <v>491</v>
      </c>
      <c r="B62" s="1" t="s">
        <v>492</v>
      </c>
      <c r="C62" s="26"/>
      <c r="D62" s="23"/>
      <c r="E62" s="23"/>
      <c r="F62" s="61"/>
      <c r="G62" s="23"/>
      <c r="H62" s="23"/>
      <c r="I62" s="1"/>
      <c r="J62" s="1"/>
      <c r="K62" s="1"/>
      <c r="L62" s="1"/>
      <c r="M62" s="23"/>
      <c r="N62" s="64" t="str">
        <f t="shared" ref="N62:O62" si="59">if(G62&gt;100%,100%,G62)</f>
        <v/>
      </c>
      <c r="O62" s="23" t="str">
        <f t="shared" si="59"/>
        <v/>
      </c>
      <c r="P62" s="35"/>
    </row>
    <row r="63">
      <c r="A63" s="1">
        <v>108.0</v>
      </c>
      <c r="B63" s="1">
        <v>20946.0</v>
      </c>
      <c r="C63" s="23">
        <v>18.209</v>
      </c>
      <c r="D63" s="23">
        <v>17.343</v>
      </c>
      <c r="E63" s="23">
        <v>2.242</v>
      </c>
      <c r="F63" s="61">
        <v>1069.8</v>
      </c>
      <c r="G63" s="23">
        <v>0.885</v>
      </c>
      <c r="H63" s="23">
        <v>0.396</v>
      </c>
      <c r="I63" s="1">
        <v>509.8</v>
      </c>
      <c r="J63" s="1">
        <v>423.9</v>
      </c>
      <c r="K63" s="1">
        <v>28823.0</v>
      </c>
      <c r="L63" s="1">
        <v>100.0</v>
      </c>
      <c r="M63" s="23">
        <v>16.353</v>
      </c>
      <c r="N63" s="64">
        <f t="shared" ref="N63:O63" si="60">if(G63&gt;100%,100%,G63)</f>
        <v>0.885</v>
      </c>
      <c r="O63" s="23">
        <f t="shared" si="60"/>
        <v>0.396</v>
      </c>
      <c r="P63" s="35"/>
    </row>
    <row r="64">
      <c r="A64" s="1">
        <v>110.0</v>
      </c>
      <c r="B64" s="1">
        <v>20946.0</v>
      </c>
      <c r="C64" s="26">
        <v>18.752</v>
      </c>
      <c r="D64" s="23">
        <v>17.883</v>
      </c>
      <c r="E64" s="23">
        <v>2.242</v>
      </c>
      <c r="F64" s="61">
        <v>1069.8</v>
      </c>
      <c r="G64" s="23">
        <v>0.885</v>
      </c>
      <c r="H64" s="23">
        <v>0.396</v>
      </c>
      <c r="I64" s="1">
        <v>509.8</v>
      </c>
      <c r="J64" s="1">
        <v>423.9</v>
      </c>
      <c r="K64" s="1">
        <v>28823.0</v>
      </c>
      <c r="L64" s="1">
        <v>100.0</v>
      </c>
      <c r="M64" s="23">
        <v>16.353</v>
      </c>
      <c r="N64" s="64">
        <f t="shared" ref="N64:O64" si="61">if(G64&gt;100%,100%,G64)</f>
        <v>0.885</v>
      </c>
      <c r="O64" s="23">
        <f t="shared" si="61"/>
        <v>0.396</v>
      </c>
      <c r="P64" s="35"/>
    </row>
    <row r="65">
      <c r="A65" s="1">
        <v>112.0</v>
      </c>
      <c r="B65" s="1">
        <v>18202.0</v>
      </c>
      <c r="C65" s="26">
        <v>18.322</v>
      </c>
      <c r="D65" s="23">
        <v>17.791</v>
      </c>
      <c r="E65" s="23">
        <v>2.133</v>
      </c>
      <c r="F65" s="61">
        <v>1067.8</v>
      </c>
      <c r="G65" s="23">
        <v>0.885</v>
      </c>
      <c r="H65" s="23">
        <v>0.406</v>
      </c>
      <c r="I65" s="1">
        <v>509.8</v>
      </c>
      <c r="J65" s="1">
        <v>423.9</v>
      </c>
      <c r="K65" s="1">
        <v>25046.0</v>
      </c>
      <c r="L65" s="1">
        <v>100.0</v>
      </c>
      <c r="M65" s="23">
        <v>16.377</v>
      </c>
      <c r="N65" s="64">
        <f t="shared" ref="N65:O65" si="62">if(G65&gt;100%,100%,G65)</f>
        <v>0.885</v>
      </c>
      <c r="O65" s="23">
        <f t="shared" si="62"/>
        <v>0.406</v>
      </c>
      <c r="P65" s="35"/>
    </row>
    <row r="66">
      <c r="A66" s="1">
        <v>114.0</v>
      </c>
      <c r="B66" s="1">
        <v>22879.0</v>
      </c>
      <c r="C66" s="23">
        <v>18.04</v>
      </c>
      <c r="D66" s="26">
        <v>17.035</v>
      </c>
      <c r="E66" s="23">
        <v>2.133</v>
      </c>
      <c r="F66" s="61">
        <v>1082.8</v>
      </c>
      <c r="G66" s="23">
        <v>0.858</v>
      </c>
      <c r="H66" s="23">
        <v>0.406</v>
      </c>
      <c r="I66" s="1">
        <v>509.8</v>
      </c>
      <c r="J66" s="1">
        <v>341.9</v>
      </c>
      <c r="K66" s="1">
        <v>31483.0</v>
      </c>
      <c r="L66" s="1">
        <v>100.0</v>
      </c>
      <c r="M66" s="23">
        <v>16.377</v>
      </c>
      <c r="N66" s="64">
        <f t="shared" ref="N66:O66" si="63">if(G66&gt;100%,100%,G66)</f>
        <v>0.858</v>
      </c>
      <c r="O66" s="23">
        <f t="shared" si="63"/>
        <v>0.406</v>
      </c>
      <c r="P66" s="35"/>
    </row>
    <row r="67">
      <c r="A67" s="1">
        <v>116.0</v>
      </c>
      <c r="B67" s="1">
        <v>22879.0</v>
      </c>
      <c r="C67" s="23">
        <v>18.486</v>
      </c>
      <c r="D67" s="23">
        <v>17.555</v>
      </c>
      <c r="E67" s="23">
        <v>2.133</v>
      </c>
      <c r="F67" s="61">
        <v>1082.8</v>
      </c>
      <c r="G67" s="23">
        <v>0.858</v>
      </c>
      <c r="H67" s="23">
        <v>0.406</v>
      </c>
      <c r="I67" s="1">
        <v>509.8</v>
      </c>
      <c r="J67" s="1">
        <v>341.9</v>
      </c>
      <c r="K67" s="1">
        <v>31483.0</v>
      </c>
      <c r="L67" s="1">
        <v>100.0</v>
      </c>
      <c r="M67" s="23">
        <v>16.388</v>
      </c>
      <c r="N67" s="64">
        <f t="shared" ref="N67:O67" si="64">if(G67&gt;100%,100%,G67)</f>
        <v>0.858</v>
      </c>
      <c r="O67" s="23">
        <f t="shared" si="64"/>
        <v>0.406</v>
      </c>
      <c r="P67" s="35"/>
    </row>
    <row r="68">
      <c r="A68" s="1">
        <v>118.0</v>
      </c>
      <c r="B68" s="1">
        <v>22879.0</v>
      </c>
      <c r="C68" s="23">
        <v>18.486</v>
      </c>
      <c r="D68" s="23">
        <v>17.717</v>
      </c>
      <c r="E68" s="23">
        <v>2.133</v>
      </c>
      <c r="F68" s="61">
        <v>1082.8</v>
      </c>
      <c r="G68" s="23">
        <v>0.858</v>
      </c>
      <c r="H68" s="23">
        <v>0.406</v>
      </c>
      <c r="I68" s="1">
        <v>509.8</v>
      </c>
      <c r="J68" s="1">
        <v>341.9</v>
      </c>
      <c r="K68" s="1">
        <v>31483.0</v>
      </c>
      <c r="L68" s="1">
        <v>100.0</v>
      </c>
      <c r="M68" s="23">
        <v>16.238</v>
      </c>
      <c r="N68" s="64">
        <f t="shared" ref="N68:O68" si="65">if(G68&gt;100%,100%,G68)</f>
        <v>0.858</v>
      </c>
      <c r="O68" s="23">
        <f t="shared" si="65"/>
        <v>0.406</v>
      </c>
      <c r="P68" s="35"/>
    </row>
    <row r="69">
      <c r="A69" s="1">
        <v>120.0</v>
      </c>
      <c r="B69" s="1">
        <v>22879.0</v>
      </c>
      <c r="C69" s="23">
        <v>18.486</v>
      </c>
      <c r="D69" s="23">
        <v>17.771</v>
      </c>
      <c r="E69" s="23">
        <v>1.357</v>
      </c>
      <c r="F69" s="61">
        <v>1082.8</v>
      </c>
      <c r="G69" s="23">
        <v>0.858</v>
      </c>
      <c r="H69" s="23">
        <v>0.406</v>
      </c>
      <c r="I69" s="1">
        <v>509.8</v>
      </c>
      <c r="J69" s="1">
        <v>341.9</v>
      </c>
      <c r="K69" s="1">
        <v>31483.0</v>
      </c>
      <c r="L69" s="1">
        <v>100.0</v>
      </c>
      <c r="M69" s="23">
        <v>16.236</v>
      </c>
      <c r="N69" s="64">
        <f t="shared" ref="N69:O69" si="66">if(G69&gt;100%,100%,G69)</f>
        <v>0.858</v>
      </c>
      <c r="O69" s="23">
        <f t="shared" si="66"/>
        <v>0.406</v>
      </c>
      <c r="P69" s="35"/>
    </row>
    <row r="70">
      <c r="A70" s="1">
        <v>122.0</v>
      </c>
      <c r="B70" s="1">
        <v>22879.0</v>
      </c>
      <c r="C70" s="23">
        <v>18.486</v>
      </c>
      <c r="D70" s="23">
        <v>17.771</v>
      </c>
      <c r="E70" s="23">
        <v>1.357</v>
      </c>
      <c r="F70" s="61">
        <v>1082.8</v>
      </c>
      <c r="G70" s="23">
        <v>0.858</v>
      </c>
      <c r="H70" s="23">
        <v>0.406</v>
      </c>
      <c r="I70" s="1">
        <v>509.8</v>
      </c>
      <c r="J70" s="1">
        <v>341.9</v>
      </c>
      <c r="K70" s="1">
        <v>31483.0</v>
      </c>
      <c r="L70" s="1">
        <v>100.0</v>
      </c>
      <c r="M70" s="23">
        <v>16.236</v>
      </c>
      <c r="N70" s="64">
        <f t="shared" ref="N70:O70" si="67">if(G70&gt;100%,100%,G70)</f>
        <v>0.858</v>
      </c>
      <c r="O70" s="23">
        <f t="shared" si="67"/>
        <v>0.406</v>
      </c>
      <c r="P70" s="35"/>
    </row>
    <row r="71">
      <c r="A71" s="1">
        <v>124.0</v>
      </c>
      <c r="B71" s="1">
        <v>22879.0</v>
      </c>
      <c r="C71" s="23">
        <v>17.921</v>
      </c>
      <c r="D71" s="23">
        <v>17.223</v>
      </c>
      <c r="E71" s="26">
        <v>1.357</v>
      </c>
      <c r="F71" s="61">
        <v>1082.8</v>
      </c>
      <c r="G71" s="23">
        <v>0.858</v>
      </c>
      <c r="H71" s="23">
        <v>0.381</v>
      </c>
      <c r="I71" s="1">
        <v>509.8</v>
      </c>
      <c r="J71" s="1">
        <v>341.9</v>
      </c>
      <c r="K71" s="1">
        <v>31483.0</v>
      </c>
      <c r="L71" s="1">
        <v>100.0</v>
      </c>
      <c r="M71" s="23">
        <v>16.197</v>
      </c>
      <c r="N71" s="64">
        <f t="shared" ref="N71:O71" si="68">if(G71&gt;100%,100%,G71)</f>
        <v>0.858</v>
      </c>
      <c r="O71" s="23">
        <f t="shared" si="68"/>
        <v>0.381</v>
      </c>
      <c r="P71" s="35"/>
    </row>
    <row r="72">
      <c r="A72" s="1">
        <v>126.0</v>
      </c>
      <c r="B72" s="1">
        <v>20946.0</v>
      </c>
      <c r="C72" s="23">
        <v>17.74</v>
      </c>
      <c r="D72" s="23">
        <v>16.91</v>
      </c>
      <c r="E72" s="26">
        <v>1.357</v>
      </c>
      <c r="F72" s="61">
        <v>1054.8</v>
      </c>
      <c r="G72" s="23">
        <v>0.858</v>
      </c>
      <c r="H72" s="23">
        <v>0.381</v>
      </c>
      <c r="I72" s="1">
        <v>509.8</v>
      </c>
      <c r="J72" s="1">
        <v>341.9</v>
      </c>
      <c r="K72" s="1">
        <v>28823.0</v>
      </c>
      <c r="L72" s="1">
        <v>100.0</v>
      </c>
      <c r="M72" s="23">
        <v>16.347</v>
      </c>
      <c r="N72" s="64">
        <f t="shared" ref="N72:O72" si="69">if(G72&gt;100%,100%,G72)</f>
        <v>0.858</v>
      </c>
      <c r="O72" s="23">
        <f t="shared" si="69"/>
        <v>0.381</v>
      </c>
      <c r="P72" s="35"/>
    </row>
    <row r="73">
      <c r="A73" s="1">
        <v>128.0</v>
      </c>
      <c r="B73" s="1">
        <v>20277.0</v>
      </c>
      <c r="C73" s="23">
        <v>18.091</v>
      </c>
      <c r="D73" s="23">
        <v>16.877</v>
      </c>
      <c r="E73" s="26">
        <v>1.357</v>
      </c>
      <c r="F73" s="61">
        <v>1051.8</v>
      </c>
      <c r="G73" s="23">
        <v>0.858</v>
      </c>
      <c r="H73" s="23">
        <v>0.381</v>
      </c>
      <c r="I73" s="1">
        <v>509.8</v>
      </c>
      <c r="J73" s="1">
        <v>341.9</v>
      </c>
      <c r="K73" s="1">
        <v>28823.0</v>
      </c>
      <c r="L73" s="1">
        <v>100.0</v>
      </c>
      <c r="M73" s="26">
        <v>16.347</v>
      </c>
      <c r="N73" s="64">
        <f t="shared" ref="N73:O73" si="70">if(G73&gt;100%,100%,G73)</f>
        <v>0.858</v>
      </c>
      <c r="O73" s="23">
        <f t="shared" si="70"/>
        <v>0.381</v>
      </c>
      <c r="P73" s="35"/>
    </row>
    <row r="74">
      <c r="A74" s="1">
        <v>130.0</v>
      </c>
      <c r="B74" s="1">
        <v>20946.0</v>
      </c>
      <c r="C74" s="23">
        <v>18.294</v>
      </c>
      <c r="D74" s="23">
        <v>20.311</v>
      </c>
      <c r="E74" s="23">
        <v>1.777</v>
      </c>
      <c r="F74" s="61">
        <v>1054.8</v>
      </c>
      <c r="G74" s="23">
        <v>0.885</v>
      </c>
      <c r="H74" s="23">
        <v>1.407</v>
      </c>
      <c r="I74" s="1">
        <v>509.8</v>
      </c>
      <c r="J74" s="1">
        <v>423.9</v>
      </c>
      <c r="K74" s="1">
        <v>28823.0</v>
      </c>
      <c r="L74" s="1">
        <v>100.0</v>
      </c>
      <c r="M74" s="26">
        <v>16.335</v>
      </c>
      <c r="N74" s="64">
        <f t="shared" ref="N74:O74" si="71">if(G74&gt;100%,100%,G74)</f>
        <v>0.885</v>
      </c>
      <c r="O74" s="23">
        <f t="shared" si="71"/>
        <v>1</v>
      </c>
      <c r="P74" s="35"/>
    </row>
    <row r="75">
      <c r="A75" s="1">
        <v>132.0</v>
      </c>
      <c r="B75" s="1">
        <v>20946.0</v>
      </c>
      <c r="C75" s="23">
        <v>17.966</v>
      </c>
      <c r="D75" s="23">
        <v>20.762</v>
      </c>
      <c r="E75" s="23">
        <v>1.777</v>
      </c>
      <c r="F75" s="61">
        <v>1054.8</v>
      </c>
      <c r="G75" s="23">
        <v>0.885</v>
      </c>
      <c r="H75" s="23">
        <v>1.397</v>
      </c>
      <c r="I75" s="1">
        <v>509.8</v>
      </c>
      <c r="J75" s="1">
        <v>423.9</v>
      </c>
      <c r="K75" s="1">
        <v>28823.0</v>
      </c>
      <c r="L75" s="1">
        <v>100.0</v>
      </c>
      <c r="M75" s="26">
        <v>16.335</v>
      </c>
      <c r="N75" s="64">
        <f t="shared" ref="N75:O75" si="72">if(G75&gt;100%,100%,G75)</f>
        <v>0.885</v>
      </c>
      <c r="O75" s="23">
        <f t="shared" si="72"/>
        <v>1</v>
      </c>
      <c r="P75" s="35"/>
    </row>
    <row r="76">
      <c r="A76" s="1">
        <v>134.0</v>
      </c>
      <c r="B76" s="1">
        <v>20946.0</v>
      </c>
      <c r="C76" s="23">
        <v>17.978</v>
      </c>
      <c r="D76" s="23">
        <v>22.229</v>
      </c>
      <c r="E76" s="23">
        <v>1.657</v>
      </c>
      <c r="F76" s="61">
        <v>1069.8</v>
      </c>
      <c r="G76" s="23">
        <v>0.885</v>
      </c>
      <c r="H76" s="23">
        <v>0.396</v>
      </c>
      <c r="I76" s="1">
        <v>509.8</v>
      </c>
      <c r="J76" s="1">
        <v>423.9</v>
      </c>
      <c r="K76" s="1">
        <v>28823.0</v>
      </c>
      <c r="L76" s="1">
        <v>100.0</v>
      </c>
      <c r="M76" s="23">
        <v>16.403</v>
      </c>
      <c r="N76" s="64">
        <f t="shared" ref="N76:O76" si="73">if(G76&gt;100%,100%,G76)</f>
        <v>0.885</v>
      </c>
      <c r="O76" s="23">
        <f t="shared" si="73"/>
        <v>0.396</v>
      </c>
      <c r="P76" s="35"/>
    </row>
    <row r="77">
      <c r="A77" s="1">
        <v>136.0</v>
      </c>
      <c r="B77" s="1">
        <v>20946.0</v>
      </c>
      <c r="C77" s="23">
        <v>17.989</v>
      </c>
      <c r="D77" s="23">
        <v>23.293</v>
      </c>
      <c r="E77" s="23">
        <v>1.407</v>
      </c>
      <c r="F77" s="61">
        <v>1069.8</v>
      </c>
      <c r="G77" s="23">
        <v>0.885</v>
      </c>
      <c r="H77" s="23">
        <v>0.396</v>
      </c>
      <c r="I77" s="1">
        <v>509.8</v>
      </c>
      <c r="J77" s="1">
        <v>423.9</v>
      </c>
      <c r="K77" s="1">
        <v>28823.0</v>
      </c>
      <c r="L77" s="1">
        <v>100.0</v>
      </c>
      <c r="M77" s="23">
        <v>16.403</v>
      </c>
      <c r="N77" s="64">
        <f t="shared" ref="N77:O77" si="74">if(G77&gt;100%,100%,G77)</f>
        <v>0.885</v>
      </c>
      <c r="O77" s="23">
        <f t="shared" si="74"/>
        <v>0.396</v>
      </c>
      <c r="P77" s="35"/>
    </row>
    <row r="78">
      <c r="A78" s="1">
        <v>138.0</v>
      </c>
      <c r="B78" s="1">
        <v>20946.0</v>
      </c>
      <c r="C78" s="23">
        <v>17.469</v>
      </c>
      <c r="D78" s="23">
        <v>23.329</v>
      </c>
      <c r="E78" s="23">
        <v>1.407</v>
      </c>
      <c r="F78" s="61">
        <v>1069.8</v>
      </c>
      <c r="G78" s="23">
        <v>0.885</v>
      </c>
      <c r="H78" s="23">
        <v>0.396</v>
      </c>
      <c r="I78" s="1">
        <v>509.8</v>
      </c>
      <c r="J78" s="1">
        <v>423.9</v>
      </c>
      <c r="K78" s="1">
        <v>28823.0</v>
      </c>
      <c r="L78" s="1">
        <v>100.0</v>
      </c>
      <c r="M78" s="23">
        <v>16.388</v>
      </c>
      <c r="N78" s="64">
        <f t="shared" ref="N78:O78" si="75">if(G78&gt;100%,100%,G78)</f>
        <v>0.885</v>
      </c>
      <c r="O78" s="23">
        <f t="shared" si="75"/>
        <v>0.396</v>
      </c>
      <c r="P78" s="35"/>
    </row>
    <row r="79">
      <c r="A79" s="1">
        <v>140.0</v>
      </c>
      <c r="B79" s="1">
        <v>20946.0</v>
      </c>
      <c r="C79" s="23">
        <v>18.012</v>
      </c>
      <c r="D79" s="23">
        <v>21.668</v>
      </c>
      <c r="E79" s="26">
        <v>1.407</v>
      </c>
      <c r="F79" s="61">
        <v>1069.8</v>
      </c>
      <c r="G79" s="23">
        <v>0.885</v>
      </c>
      <c r="H79" s="23">
        <v>0.396</v>
      </c>
      <c r="I79" s="1">
        <v>618.9</v>
      </c>
      <c r="J79" s="1">
        <v>423.9</v>
      </c>
      <c r="K79" s="1">
        <v>28823.0</v>
      </c>
      <c r="L79" s="1">
        <v>100.0</v>
      </c>
      <c r="M79" s="23">
        <v>16.388</v>
      </c>
      <c r="N79" s="64">
        <f t="shared" ref="N79:O79" si="76">if(G79&gt;100%,100%,G79)</f>
        <v>0.885</v>
      </c>
      <c r="O79" s="23">
        <f t="shared" si="76"/>
        <v>0.396</v>
      </c>
      <c r="P79" s="35"/>
    </row>
    <row r="80">
      <c r="A80" s="1">
        <v>142.0</v>
      </c>
      <c r="B80" s="1">
        <v>22879.0</v>
      </c>
      <c r="C80" s="23">
        <v>19.345</v>
      </c>
      <c r="D80" s="23">
        <v>19.906</v>
      </c>
      <c r="E80" s="26">
        <v>1.407</v>
      </c>
      <c r="F80" s="61">
        <v>1082.8</v>
      </c>
      <c r="G80" s="23">
        <v>0.904</v>
      </c>
      <c r="H80" s="23">
        <v>0.396</v>
      </c>
      <c r="I80" s="1">
        <v>618.9</v>
      </c>
      <c r="J80" s="1">
        <v>483.1</v>
      </c>
      <c r="K80" s="1">
        <v>31483.0</v>
      </c>
      <c r="L80" s="1">
        <v>100.0</v>
      </c>
      <c r="M80" s="23">
        <v>16.351</v>
      </c>
      <c r="N80" s="64">
        <f t="shared" ref="N80:O80" si="77">if(G80&gt;100%,100%,G80)</f>
        <v>0.904</v>
      </c>
      <c r="O80" s="23">
        <f t="shared" si="77"/>
        <v>0.396</v>
      </c>
      <c r="P80" s="35"/>
    </row>
    <row r="81">
      <c r="A81" s="1">
        <v>144.0</v>
      </c>
      <c r="B81" s="1">
        <v>28678.0</v>
      </c>
      <c r="C81" s="23">
        <v>22.486</v>
      </c>
      <c r="D81" s="23">
        <v>28.45</v>
      </c>
      <c r="E81" s="23">
        <v>1.407</v>
      </c>
      <c r="F81" s="61">
        <v>1107.8</v>
      </c>
      <c r="G81" s="23">
        <v>0.904</v>
      </c>
      <c r="H81" s="23">
        <v>0.396</v>
      </c>
      <c r="I81" s="1">
        <v>618.9</v>
      </c>
      <c r="J81" s="1">
        <v>483.1</v>
      </c>
      <c r="K81" s="1">
        <v>39462.0</v>
      </c>
      <c r="L81" s="1">
        <v>100.0</v>
      </c>
      <c r="M81" s="23">
        <v>16.351</v>
      </c>
      <c r="N81" s="64">
        <f t="shared" ref="N81:O81" si="78">if(G81&gt;100%,100%,G81)</f>
        <v>0.904</v>
      </c>
      <c r="O81" s="23">
        <f t="shared" si="78"/>
        <v>0.396</v>
      </c>
      <c r="P81" s="35"/>
    </row>
    <row r="82">
      <c r="A82" s="1">
        <v>146.0</v>
      </c>
      <c r="B82" s="1">
        <v>28678.0</v>
      </c>
      <c r="C82" s="23">
        <v>22.334</v>
      </c>
      <c r="D82" s="23">
        <v>30.116</v>
      </c>
      <c r="E82" s="23">
        <v>1.407</v>
      </c>
      <c r="F82" s="61">
        <v>1101.8</v>
      </c>
      <c r="G82" s="23">
        <v>0.877</v>
      </c>
      <c r="H82" s="23">
        <v>0.396</v>
      </c>
      <c r="I82" s="1">
        <v>618.9</v>
      </c>
      <c r="J82" s="1">
        <v>401.2</v>
      </c>
      <c r="K82" s="1">
        <v>39462.0</v>
      </c>
      <c r="L82" s="1">
        <v>100.0</v>
      </c>
      <c r="M82" s="23">
        <v>16.537</v>
      </c>
      <c r="N82" s="64">
        <f t="shared" ref="N82:O82" si="79">if(G82&gt;100%,100%,G82)</f>
        <v>0.877</v>
      </c>
      <c r="O82" s="23">
        <f t="shared" si="79"/>
        <v>0.396</v>
      </c>
      <c r="P82" s="35"/>
    </row>
    <row r="83">
      <c r="A83" s="1">
        <v>148.0</v>
      </c>
      <c r="B83" s="1">
        <v>28678.0</v>
      </c>
      <c r="C83" s="23">
        <v>22.673</v>
      </c>
      <c r="D83" s="23">
        <v>29.564</v>
      </c>
      <c r="E83" s="23">
        <v>1.407</v>
      </c>
      <c r="F83" s="61">
        <v>1101.8</v>
      </c>
      <c r="G83" s="23">
        <v>0.877</v>
      </c>
      <c r="H83" s="23">
        <v>0.396</v>
      </c>
      <c r="I83" s="1">
        <v>618.9</v>
      </c>
      <c r="J83" s="1">
        <v>401.2</v>
      </c>
      <c r="K83" s="1">
        <v>39462.0</v>
      </c>
      <c r="L83" s="1">
        <v>99.0</v>
      </c>
      <c r="M83" s="23">
        <v>16.537</v>
      </c>
      <c r="N83" s="64">
        <f t="shared" ref="N83:O83" si="80">if(G83&gt;100%,100%,G83)</f>
        <v>0.877</v>
      </c>
      <c r="O83" s="23">
        <f t="shared" si="80"/>
        <v>0.396</v>
      </c>
      <c r="P83" s="35"/>
    </row>
    <row r="84">
      <c r="A84" s="1">
        <v>150.0</v>
      </c>
      <c r="B84" s="1">
        <v>28678.0</v>
      </c>
      <c r="C84" s="23">
        <v>22.492</v>
      </c>
      <c r="D84" s="23">
        <v>30.028</v>
      </c>
      <c r="E84" s="23">
        <v>1.407</v>
      </c>
      <c r="F84" s="61">
        <v>1101.8</v>
      </c>
      <c r="G84" s="23">
        <v>0.877</v>
      </c>
      <c r="H84" s="23">
        <v>0.406</v>
      </c>
      <c r="I84" s="1">
        <v>618.9</v>
      </c>
      <c r="J84" s="1">
        <v>401.2</v>
      </c>
      <c r="K84" s="1">
        <v>39462.0</v>
      </c>
      <c r="L84" s="1">
        <v>100.0</v>
      </c>
      <c r="M84" s="23">
        <v>16.466</v>
      </c>
      <c r="N84" s="64">
        <f t="shared" ref="N84:O84" si="81">if(G84&gt;100%,100%,G84)</f>
        <v>0.877</v>
      </c>
      <c r="O84" s="23">
        <f t="shared" si="81"/>
        <v>0.406</v>
      </c>
      <c r="P84" s="35"/>
    </row>
    <row r="85">
      <c r="A85" s="1">
        <v>152.0</v>
      </c>
      <c r="B85" s="1">
        <v>28678.0</v>
      </c>
      <c r="C85" s="23">
        <v>23.034</v>
      </c>
      <c r="D85" s="23">
        <v>30.028</v>
      </c>
      <c r="E85" s="23">
        <v>1.407</v>
      </c>
      <c r="F85" s="61">
        <v>1101.8</v>
      </c>
      <c r="G85" s="23">
        <v>0.877</v>
      </c>
      <c r="H85" s="23">
        <v>0.406</v>
      </c>
      <c r="I85" s="1">
        <v>618.9</v>
      </c>
      <c r="J85" s="1">
        <v>401.2</v>
      </c>
      <c r="K85" s="1">
        <v>39462.0</v>
      </c>
      <c r="L85" s="1">
        <v>100.0</v>
      </c>
      <c r="M85" s="23">
        <v>16.616</v>
      </c>
      <c r="N85" s="64">
        <f t="shared" ref="N85:O85" si="82">if(G85&gt;100%,100%,G85)</f>
        <v>0.877</v>
      </c>
      <c r="O85" s="23">
        <f t="shared" si="82"/>
        <v>0.406</v>
      </c>
      <c r="P85" s="35"/>
    </row>
    <row r="86">
      <c r="A86" s="1">
        <v>154.0</v>
      </c>
      <c r="B86" s="1">
        <v>28678.0</v>
      </c>
      <c r="C86" s="23">
        <v>23.046</v>
      </c>
      <c r="D86" s="23">
        <v>24.644</v>
      </c>
      <c r="E86" s="23">
        <v>1.407</v>
      </c>
      <c r="F86" s="61">
        <v>1101.8</v>
      </c>
      <c r="G86" s="23">
        <v>0.877</v>
      </c>
      <c r="H86" s="23">
        <v>0.406</v>
      </c>
      <c r="I86" s="1">
        <v>618.9</v>
      </c>
      <c r="J86" s="1">
        <v>401.2</v>
      </c>
      <c r="K86" s="1">
        <v>39462.0</v>
      </c>
      <c r="L86" s="1">
        <v>100.0</v>
      </c>
      <c r="M86" s="26">
        <v>16.615</v>
      </c>
      <c r="N86" s="64">
        <f t="shared" ref="N86:O86" si="83">if(G86&gt;100%,100%,G86)</f>
        <v>0.877</v>
      </c>
      <c r="O86" s="23">
        <f t="shared" si="83"/>
        <v>0.406</v>
      </c>
      <c r="P86" s="35"/>
    </row>
    <row r="87">
      <c r="A87" s="1">
        <v>156.0</v>
      </c>
      <c r="B87" s="1">
        <v>28678.0</v>
      </c>
      <c r="C87" s="23">
        <v>23.057</v>
      </c>
      <c r="D87" s="23">
        <v>24.644</v>
      </c>
      <c r="E87" s="23">
        <v>1.407</v>
      </c>
      <c r="F87" s="61">
        <v>1101.8</v>
      </c>
      <c r="G87" s="23">
        <v>0.877</v>
      </c>
      <c r="H87" s="23">
        <v>0.406</v>
      </c>
      <c r="I87" s="1">
        <v>618.9</v>
      </c>
      <c r="J87" s="1">
        <v>401.2</v>
      </c>
      <c r="K87" s="1">
        <v>39462.0</v>
      </c>
      <c r="L87" s="1">
        <v>100.0</v>
      </c>
      <c r="M87" s="26">
        <v>16.615</v>
      </c>
      <c r="N87" s="64">
        <f t="shared" ref="N87:O87" si="84">if(G87&gt;100%,100%,G87)</f>
        <v>0.877</v>
      </c>
      <c r="O87" s="23">
        <f t="shared" si="84"/>
        <v>0.406</v>
      </c>
      <c r="P87" s="35"/>
    </row>
    <row r="88">
      <c r="A88" s="1">
        <v>158.0</v>
      </c>
      <c r="B88" s="1">
        <v>24812.0</v>
      </c>
      <c r="C88" s="23">
        <v>20.424</v>
      </c>
      <c r="D88" s="23">
        <v>21.514</v>
      </c>
      <c r="E88" s="23">
        <v>1.407</v>
      </c>
      <c r="F88" s="61">
        <v>1060.8</v>
      </c>
      <c r="G88" s="23">
        <v>0.877</v>
      </c>
      <c r="H88" s="23">
        <v>0.406</v>
      </c>
      <c r="I88" s="1">
        <v>618.9</v>
      </c>
      <c r="J88" s="1">
        <v>401.2</v>
      </c>
      <c r="K88" s="1">
        <v>34142.0</v>
      </c>
      <c r="L88" s="1">
        <v>100.0</v>
      </c>
      <c r="M88" s="23">
        <v>16.615</v>
      </c>
      <c r="N88" s="64">
        <f t="shared" ref="N88:O88" si="85">if(G88&gt;100%,100%,G88)</f>
        <v>0.877</v>
      </c>
      <c r="O88" s="23">
        <f t="shared" si="85"/>
        <v>0.406</v>
      </c>
      <c r="P88" s="35"/>
    </row>
    <row r="89">
      <c r="A89" s="1">
        <v>160.0</v>
      </c>
      <c r="B89" s="1">
        <v>20946.0</v>
      </c>
      <c r="C89" s="23">
        <v>20.08</v>
      </c>
      <c r="D89" s="23">
        <v>19.803</v>
      </c>
      <c r="E89" s="23">
        <v>1.407</v>
      </c>
      <c r="F89" s="61">
        <v>1054.8</v>
      </c>
      <c r="G89" s="23">
        <v>0.871</v>
      </c>
      <c r="H89" s="23">
        <v>0.406</v>
      </c>
      <c r="I89" s="1">
        <v>618.9</v>
      </c>
      <c r="J89" s="1">
        <v>381.4</v>
      </c>
      <c r="K89" s="1">
        <v>28823.0</v>
      </c>
      <c r="L89" s="1">
        <v>100.0</v>
      </c>
      <c r="M89" s="23">
        <v>16.497</v>
      </c>
      <c r="N89" s="64">
        <f t="shared" ref="N89:O89" si="86">if(G89&gt;100%,100%,G89)</f>
        <v>0.871</v>
      </c>
      <c r="O89" s="23">
        <f t="shared" si="86"/>
        <v>0.406</v>
      </c>
      <c r="P89" s="35"/>
    </row>
    <row r="90">
      <c r="A90" s="1">
        <v>163.0</v>
      </c>
      <c r="B90" s="1">
        <v>20946.0</v>
      </c>
      <c r="C90" s="23">
        <v>20.057</v>
      </c>
      <c r="D90" s="23">
        <v>19.916</v>
      </c>
      <c r="E90" s="23">
        <v>0.987</v>
      </c>
      <c r="F90" s="61">
        <v>1054.8</v>
      </c>
      <c r="G90" s="23">
        <v>0.898</v>
      </c>
      <c r="H90" s="23">
        <v>0.406</v>
      </c>
      <c r="I90" s="1">
        <v>618.9</v>
      </c>
      <c r="J90" s="1">
        <v>463.3</v>
      </c>
      <c r="K90" s="1">
        <v>28823.0</v>
      </c>
      <c r="L90" s="1">
        <v>100.0</v>
      </c>
      <c r="M90" s="23">
        <v>16.497</v>
      </c>
      <c r="N90" s="64">
        <f t="shared" ref="N90:O90" si="87">if(G90&gt;100%,100%,G90)</f>
        <v>0.898</v>
      </c>
      <c r="O90" s="23">
        <f t="shared" si="87"/>
        <v>0.406</v>
      </c>
      <c r="P90" s="35"/>
    </row>
    <row r="91">
      <c r="A91" s="1">
        <v>165.0</v>
      </c>
      <c r="B91" s="1">
        <v>20720.0</v>
      </c>
      <c r="C91" s="23">
        <v>18.328</v>
      </c>
      <c r="D91" s="23">
        <v>18.174</v>
      </c>
      <c r="E91" s="23">
        <v>1.527</v>
      </c>
      <c r="F91" s="61">
        <v>1054.8</v>
      </c>
      <c r="G91" s="23">
        <v>0.904</v>
      </c>
      <c r="H91" s="23">
        <v>0.406</v>
      </c>
      <c r="I91" s="1">
        <v>618.9</v>
      </c>
      <c r="J91" s="1">
        <v>483.1</v>
      </c>
      <c r="K91" s="1">
        <v>28823.0</v>
      </c>
      <c r="L91" s="1">
        <v>100.0</v>
      </c>
      <c r="M91" s="23">
        <v>16.386</v>
      </c>
      <c r="N91" s="64">
        <f t="shared" ref="N91:O91" si="88">if(G91&gt;100%,100%,G91)</f>
        <v>0.904</v>
      </c>
      <c r="O91" s="23">
        <f t="shared" si="88"/>
        <v>0.406</v>
      </c>
      <c r="P91" s="35"/>
    </row>
    <row r="92">
      <c r="A92" s="1">
        <v>167.0</v>
      </c>
      <c r="B92" s="1">
        <v>20720.0</v>
      </c>
      <c r="C92" s="23">
        <v>18.294</v>
      </c>
      <c r="D92" s="23">
        <v>18.174</v>
      </c>
      <c r="E92" s="23">
        <v>1.527</v>
      </c>
      <c r="F92" s="61">
        <v>1054.8</v>
      </c>
      <c r="G92" s="23">
        <v>0.904</v>
      </c>
      <c r="H92" s="23">
        <v>0.406</v>
      </c>
      <c r="I92" s="1">
        <v>618.9</v>
      </c>
      <c r="J92" s="1">
        <v>483.1</v>
      </c>
      <c r="K92" s="1">
        <v>28823.0</v>
      </c>
      <c r="L92" s="1">
        <v>100.0</v>
      </c>
      <c r="M92" s="23">
        <v>16.386</v>
      </c>
      <c r="N92" s="64">
        <f t="shared" ref="N92:O92" si="89">if(G92&gt;100%,100%,G92)</f>
        <v>0.904</v>
      </c>
      <c r="O92" s="23">
        <f t="shared" si="89"/>
        <v>0.406</v>
      </c>
      <c r="P92" s="35"/>
    </row>
    <row r="93">
      <c r="A93" s="1">
        <v>169.0</v>
      </c>
      <c r="B93" s="1">
        <v>20946.0</v>
      </c>
      <c r="C93" s="23">
        <v>18.305</v>
      </c>
      <c r="D93" s="23">
        <v>18.196</v>
      </c>
      <c r="E93" s="23">
        <v>1.527</v>
      </c>
      <c r="F93" s="61">
        <v>1069.8</v>
      </c>
      <c r="G93" s="23">
        <v>0.904</v>
      </c>
      <c r="H93" s="23">
        <v>0.381</v>
      </c>
      <c r="I93" s="1">
        <v>618.9</v>
      </c>
      <c r="J93" s="1">
        <v>483.1</v>
      </c>
      <c r="K93" s="1">
        <v>28823.0</v>
      </c>
      <c r="L93" s="1">
        <v>100.0</v>
      </c>
      <c r="M93" s="26">
        <v>16.385</v>
      </c>
      <c r="N93" s="64">
        <f t="shared" ref="N93:O93" si="90">if(G93&gt;100%,100%,G93)</f>
        <v>0.904</v>
      </c>
      <c r="O93" s="23">
        <f t="shared" si="90"/>
        <v>0.381</v>
      </c>
      <c r="P93" s="35"/>
    </row>
    <row r="94">
      <c r="A94" s="1">
        <v>171.0</v>
      </c>
      <c r="B94" s="1">
        <v>20946.0</v>
      </c>
      <c r="C94" s="23">
        <v>17.506</v>
      </c>
      <c r="D94" s="23">
        <v>17.914</v>
      </c>
      <c r="E94" s="23">
        <v>1.527</v>
      </c>
      <c r="F94" s="61">
        <v>1030.5</v>
      </c>
      <c r="G94" s="23">
        <v>0.891</v>
      </c>
      <c r="H94" s="23">
        <v>0.381</v>
      </c>
      <c r="I94" s="1">
        <v>618.9</v>
      </c>
      <c r="J94" s="1">
        <v>443.9</v>
      </c>
      <c r="K94" s="1">
        <v>28823.0</v>
      </c>
      <c r="L94" s="1">
        <v>100.0</v>
      </c>
      <c r="M94" s="26">
        <v>16.385</v>
      </c>
      <c r="N94" s="64">
        <f t="shared" ref="N94:O94" si="91">if(G94&gt;100%,100%,G94)</f>
        <v>0.891</v>
      </c>
      <c r="O94" s="23">
        <f t="shared" si="91"/>
        <v>0.381</v>
      </c>
      <c r="P94" s="35"/>
    </row>
    <row r="95">
      <c r="A95" s="1">
        <v>173.0</v>
      </c>
      <c r="B95" s="1">
        <v>16269.0</v>
      </c>
      <c r="C95" s="23">
        <v>18.125</v>
      </c>
      <c r="D95" s="23">
        <v>17.242</v>
      </c>
      <c r="E95" s="23">
        <v>1.527</v>
      </c>
      <c r="F95" s="61">
        <v>1069.8</v>
      </c>
      <c r="G95" s="23">
        <v>0.904</v>
      </c>
      <c r="H95" s="23">
        <v>0.371</v>
      </c>
      <c r="I95" s="1">
        <v>618.9</v>
      </c>
      <c r="J95" s="1">
        <v>483.1</v>
      </c>
      <c r="K95" s="1">
        <v>22387.0</v>
      </c>
      <c r="L95" s="1">
        <v>100.0</v>
      </c>
      <c r="M95" s="23">
        <v>16.233</v>
      </c>
      <c r="N95" s="64">
        <f t="shared" ref="N95:O95" si="92">if(G95&gt;100%,100%,G95)</f>
        <v>0.904</v>
      </c>
      <c r="O95" s="23">
        <f t="shared" si="92"/>
        <v>0.371</v>
      </c>
      <c r="P95" s="35"/>
    </row>
    <row r="96">
      <c r="A96" s="1">
        <v>175.0</v>
      </c>
      <c r="B96" s="1">
        <v>15749.0</v>
      </c>
      <c r="C96" s="23">
        <v>17.707</v>
      </c>
      <c r="D96" s="23">
        <v>17.004</v>
      </c>
      <c r="E96" s="23">
        <v>1.107</v>
      </c>
      <c r="F96" s="61">
        <v>1069.8</v>
      </c>
      <c r="G96" s="23">
        <v>0.904</v>
      </c>
      <c r="H96" s="23">
        <v>0.371</v>
      </c>
      <c r="I96" s="1">
        <v>618.9</v>
      </c>
      <c r="J96" s="1">
        <v>483.1</v>
      </c>
      <c r="K96" s="1">
        <v>22387.0</v>
      </c>
      <c r="L96" s="1">
        <v>100.0</v>
      </c>
      <c r="M96" s="23">
        <v>16.233</v>
      </c>
      <c r="N96" s="64">
        <f t="shared" ref="N96:O96" si="93">if(G96&gt;100%,100%,G96)</f>
        <v>0.904</v>
      </c>
      <c r="O96" s="23">
        <f t="shared" si="93"/>
        <v>0.371</v>
      </c>
      <c r="P96" s="35"/>
    </row>
    <row r="97">
      <c r="A97" s="1">
        <v>177.0</v>
      </c>
      <c r="B97" s="1">
        <v>20946.0</v>
      </c>
      <c r="C97" s="23">
        <v>17.876</v>
      </c>
      <c r="D97" s="23">
        <v>16.994</v>
      </c>
      <c r="E97" s="23">
        <v>1.107</v>
      </c>
      <c r="F97" s="61">
        <v>1069.8</v>
      </c>
      <c r="G97" s="23">
        <v>0.904</v>
      </c>
      <c r="H97" s="23">
        <v>0.371</v>
      </c>
      <c r="I97" s="1">
        <v>618.9</v>
      </c>
      <c r="J97" s="1">
        <v>483.1</v>
      </c>
      <c r="K97" s="1">
        <v>28823.0</v>
      </c>
      <c r="L97" s="1">
        <v>100.0</v>
      </c>
      <c r="M97" s="26">
        <v>16.187</v>
      </c>
      <c r="N97" s="64">
        <f t="shared" ref="N97:O97" si="94">if(G97&gt;100%,100%,G97)</f>
        <v>0.904</v>
      </c>
      <c r="O97" s="23">
        <f t="shared" si="94"/>
        <v>0.371</v>
      </c>
      <c r="P97" s="35"/>
    </row>
    <row r="98">
      <c r="A98" s="1">
        <v>179.0</v>
      </c>
      <c r="B98" s="1">
        <v>20946.0</v>
      </c>
      <c r="C98" s="23">
        <v>18.746</v>
      </c>
      <c r="D98" s="23">
        <v>17.826</v>
      </c>
      <c r="E98" s="23">
        <v>0.987</v>
      </c>
      <c r="F98" s="61">
        <v>1069.8</v>
      </c>
      <c r="G98" s="23">
        <v>0.904</v>
      </c>
      <c r="H98" s="23">
        <v>0.371</v>
      </c>
      <c r="I98" s="1">
        <v>618.9</v>
      </c>
      <c r="J98" s="1">
        <v>483.1</v>
      </c>
      <c r="K98" s="1">
        <v>28823.0</v>
      </c>
      <c r="L98" s="1">
        <v>100.0</v>
      </c>
      <c r="M98" s="26">
        <v>16.187</v>
      </c>
      <c r="N98" s="64">
        <f t="shared" ref="N98:O98" si="95">if(G98&gt;100%,100%,G98)</f>
        <v>0.904</v>
      </c>
      <c r="O98" s="23">
        <f t="shared" si="95"/>
        <v>0.371</v>
      </c>
      <c r="P98" s="35"/>
    </row>
    <row r="99">
      <c r="A99" s="1">
        <v>181.0</v>
      </c>
      <c r="B99" s="1">
        <v>22879.0</v>
      </c>
      <c r="C99" s="23">
        <v>19.379</v>
      </c>
      <c r="D99" s="23">
        <v>18.154</v>
      </c>
      <c r="E99" s="23">
        <v>0.987</v>
      </c>
      <c r="F99" s="61">
        <v>1067.8</v>
      </c>
      <c r="G99" s="23">
        <v>0.877</v>
      </c>
      <c r="H99" s="23">
        <v>0.371</v>
      </c>
      <c r="I99" s="1">
        <v>618.9</v>
      </c>
      <c r="J99" s="1">
        <v>401.2</v>
      </c>
      <c r="K99" s="1">
        <v>31483.0</v>
      </c>
      <c r="L99" s="1">
        <v>100.0</v>
      </c>
      <c r="M99" s="26">
        <v>16.406</v>
      </c>
      <c r="N99" s="64">
        <f t="shared" ref="N99:O99" si="96">if(G99&gt;100%,100%,G99)</f>
        <v>0.877</v>
      </c>
      <c r="O99" s="23">
        <f t="shared" si="96"/>
        <v>0.371</v>
      </c>
      <c r="P99" s="35"/>
    </row>
    <row r="100">
      <c r="A100" s="1">
        <v>183.0</v>
      </c>
      <c r="B100" s="1">
        <v>22879.0</v>
      </c>
      <c r="C100" s="23">
        <v>19.379</v>
      </c>
      <c r="D100" s="23">
        <v>21.203</v>
      </c>
      <c r="E100" s="23">
        <v>0.987</v>
      </c>
      <c r="F100" s="61">
        <v>1067.8</v>
      </c>
      <c r="G100" s="23">
        <v>0.877</v>
      </c>
      <c r="H100" s="23">
        <v>0.373</v>
      </c>
      <c r="I100" s="1">
        <v>618.9</v>
      </c>
      <c r="J100" s="1">
        <v>401.2</v>
      </c>
      <c r="K100" s="1">
        <v>31483.0</v>
      </c>
      <c r="L100" s="1">
        <v>100.0</v>
      </c>
      <c r="M100" s="26">
        <v>16.406</v>
      </c>
      <c r="N100" s="64">
        <f t="shared" ref="N100:O100" si="97">if(G100&gt;100%,100%,G100)</f>
        <v>0.877</v>
      </c>
      <c r="O100" s="23">
        <f t="shared" si="97"/>
        <v>0.373</v>
      </c>
      <c r="P100" s="35"/>
    </row>
    <row r="101">
      <c r="A101" s="1">
        <v>185.0</v>
      </c>
      <c r="B101" s="1">
        <v>22879.0</v>
      </c>
      <c r="C101" s="23">
        <v>19.396</v>
      </c>
      <c r="D101" s="23">
        <v>21.332</v>
      </c>
      <c r="E101" s="23">
        <v>1.512</v>
      </c>
      <c r="F101" s="61">
        <v>1082.8</v>
      </c>
      <c r="G101" s="23">
        <v>0.877</v>
      </c>
      <c r="H101" s="23">
        <v>0.373</v>
      </c>
      <c r="I101" s="1">
        <v>618.9</v>
      </c>
      <c r="J101" s="1">
        <v>401.2</v>
      </c>
      <c r="K101" s="1">
        <v>31483.0</v>
      </c>
      <c r="L101" s="1">
        <v>100.0</v>
      </c>
      <c r="M101" s="23">
        <v>16.409</v>
      </c>
      <c r="N101" s="64">
        <f t="shared" ref="N101:O101" si="98">if(G101&gt;100%,100%,G101)</f>
        <v>0.877</v>
      </c>
      <c r="O101" s="23">
        <f t="shared" si="98"/>
        <v>0.373</v>
      </c>
      <c r="P101" s="35"/>
    </row>
    <row r="102">
      <c r="A102" s="1">
        <v>187.0</v>
      </c>
      <c r="B102" s="1">
        <v>22879.0</v>
      </c>
      <c r="C102" s="23">
        <v>18.019</v>
      </c>
      <c r="D102" s="23">
        <v>21.46</v>
      </c>
      <c r="E102" s="23">
        <v>1.784</v>
      </c>
      <c r="F102" s="61">
        <v>1043.5</v>
      </c>
      <c r="G102" s="23">
        <v>0.864</v>
      </c>
      <c r="H102" s="23">
        <v>0.399</v>
      </c>
      <c r="I102" s="1">
        <v>618.9</v>
      </c>
      <c r="J102" s="1">
        <v>361.9</v>
      </c>
      <c r="K102" s="1">
        <v>31483.0</v>
      </c>
      <c r="L102" s="1">
        <v>100.0</v>
      </c>
      <c r="M102" s="23">
        <v>16.409</v>
      </c>
      <c r="N102" s="64">
        <f t="shared" ref="N102:O102" si="99">if(G102&gt;100%,100%,G102)</f>
        <v>0.864</v>
      </c>
      <c r="O102" s="23">
        <f t="shared" si="99"/>
        <v>0.399</v>
      </c>
      <c r="P102" s="35"/>
    </row>
    <row r="103">
      <c r="A103" s="1">
        <v>189.0</v>
      </c>
      <c r="B103" s="1">
        <v>22879.0</v>
      </c>
      <c r="C103" s="23">
        <v>18.175</v>
      </c>
      <c r="D103" s="23">
        <v>20.692</v>
      </c>
      <c r="E103" s="23">
        <v>1.784</v>
      </c>
      <c r="F103" s="61">
        <v>1082.8</v>
      </c>
      <c r="G103" s="23">
        <v>0.877</v>
      </c>
      <c r="H103" s="23">
        <v>0.399</v>
      </c>
      <c r="I103" s="1">
        <v>618.9</v>
      </c>
      <c r="J103" s="1">
        <v>401.2</v>
      </c>
      <c r="K103" s="1">
        <v>31483.0</v>
      </c>
      <c r="L103" s="1">
        <v>100.0</v>
      </c>
      <c r="M103" s="23">
        <v>16.409</v>
      </c>
      <c r="N103" s="64">
        <f t="shared" ref="N103:O103" si="100">if(G103&gt;100%,100%,G103)</f>
        <v>0.877</v>
      </c>
      <c r="O103" s="23">
        <f t="shared" si="100"/>
        <v>0.399</v>
      </c>
      <c r="P103" s="35"/>
    </row>
    <row r="104">
      <c r="A104" s="1">
        <v>191.0</v>
      </c>
      <c r="B104" s="1">
        <v>22879.0</v>
      </c>
      <c r="C104" s="23">
        <v>18.526</v>
      </c>
      <c r="D104" s="23">
        <v>21.011</v>
      </c>
      <c r="E104" s="23">
        <v>2.242</v>
      </c>
      <c r="F104" s="61">
        <v>1082.8</v>
      </c>
      <c r="G104" s="23">
        <v>0.877</v>
      </c>
      <c r="H104" s="23">
        <v>1.399</v>
      </c>
      <c r="I104" s="1">
        <v>509.8</v>
      </c>
      <c r="J104" s="1">
        <v>401.2</v>
      </c>
      <c r="K104" s="1">
        <v>31483.0</v>
      </c>
      <c r="L104" s="1">
        <v>100.0</v>
      </c>
      <c r="M104" s="23">
        <v>16.37</v>
      </c>
      <c r="N104" s="64">
        <f t="shared" ref="N104:O104" si="101">if(G104&gt;100%,100%,G104)</f>
        <v>0.877</v>
      </c>
      <c r="O104" s="23">
        <f t="shared" si="101"/>
        <v>1</v>
      </c>
      <c r="P104" s="35"/>
    </row>
    <row r="105">
      <c r="A105" s="1">
        <v>193.0</v>
      </c>
      <c r="B105" s="1">
        <v>22879.0</v>
      </c>
      <c r="C105" s="23">
        <v>18.978</v>
      </c>
      <c r="D105" s="23">
        <v>18.092</v>
      </c>
      <c r="E105" s="23">
        <v>2.242</v>
      </c>
      <c r="F105" s="61">
        <v>1082.8</v>
      </c>
      <c r="G105" s="23">
        <v>0.877</v>
      </c>
      <c r="H105" s="23">
        <v>1.407</v>
      </c>
      <c r="I105" s="1">
        <v>509.8</v>
      </c>
      <c r="J105" s="1">
        <v>401.2</v>
      </c>
      <c r="K105" s="1">
        <v>31483.0</v>
      </c>
      <c r="L105" s="1">
        <v>100.0</v>
      </c>
      <c r="M105" s="23">
        <v>16.37</v>
      </c>
      <c r="N105" s="64">
        <f t="shared" ref="N105:O105" si="102">if(G105&gt;100%,100%,G105)</f>
        <v>0.877</v>
      </c>
      <c r="O105" s="23">
        <f t="shared" si="102"/>
        <v>1</v>
      </c>
      <c r="P105" s="35"/>
    </row>
    <row r="106">
      <c r="A106" s="1">
        <v>195.0</v>
      </c>
      <c r="B106" s="1">
        <v>20946.0</v>
      </c>
      <c r="C106" s="23">
        <v>18.548</v>
      </c>
      <c r="D106" s="23">
        <v>18.179</v>
      </c>
      <c r="E106" s="23">
        <v>2.242</v>
      </c>
      <c r="F106" s="61">
        <v>1082.8</v>
      </c>
      <c r="G106" s="23">
        <v>0.904</v>
      </c>
      <c r="H106" s="23">
        <v>1.407</v>
      </c>
      <c r="I106" s="1">
        <v>509.8</v>
      </c>
      <c r="J106" s="1">
        <v>483.1</v>
      </c>
      <c r="K106" s="1">
        <v>28823.0</v>
      </c>
      <c r="L106" s="1">
        <v>100.0</v>
      </c>
      <c r="M106" s="23">
        <v>16.349</v>
      </c>
      <c r="N106" s="64">
        <f t="shared" ref="N106:O106" si="103">if(G106&gt;100%,100%,G106)</f>
        <v>0.904</v>
      </c>
      <c r="O106" s="23">
        <f t="shared" si="103"/>
        <v>1</v>
      </c>
      <c r="P106" s="35"/>
    </row>
    <row r="107">
      <c r="A107" s="1">
        <v>197.0</v>
      </c>
      <c r="B107" s="1">
        <v>20946.0</v>
      </c>
      <c r="C107" s="23">
        <v>18.401</v>
      </c>
      <c r="D107" s="23">
        <v>18.021</v>
      </c>
      <c r="E107" s="23">
        <v>2.242</v>
      </c>
      <c r="F107" s="61">
        <v>1054.8</v>
      </c>
      <c r="G107" s="23">
        <v>0.904</v>
      </c>
      <c r="H107" s="23">
        <v>0.396</v>
      </c>
      <c r="I107" s="1">
        <v>509.8</v>
      </c>
      <c r="J107" s="1">
        <v>483.1</v>
      </c>
      <c r="K107" s="1">
        <v>28823.0</v>
      </c>
      <c r="L107" s="1">
        <v>100.0</v>
      </c>
      <c r="M107" s="23">
        <v>16.349</v>
      </c>
      <c r="N107" s="64">
        <f t="shared" ref="N107:O107" si="104">if(G107&gt;100%,100%,G107)</f>
        <v>0.904</v>
      </c>
      <c r="O107" s="23">
        <f t="shared" si="104"/>
        <v>0.396</v>
      </c>
      <c r="P107" s="35"/>
    </row>
    <row r="108">
      <c r="A108" s="1">
        <v>199.0</v>
      </c>
      <c r="B108" s="1">
        <v>20946.0</v>
      </c>
      <c r="C108" s="23">
        <v>18.424</v>
      </c>
      <c r="D108" s="23">
        <v>18.095</v>
      </c>
      <c r="E108" s="26">
        <v>2.242</v>
      </c>
      <c r="F108" s="61">
        <v>1054.8</v>
      </c>
      <c r="G108" s="23">
        <v>0.904</v>
      </c>
      <c r="H108" s="23">
        <v>0.396</v>
      </c>
      <c r="I108" s="1">
        <v>509.8</v>
      </c>
      <c r="J108" s="1">
        <v>483.1</v>
      </c>
      <c r="K108" s="1">
        <v>28823.0</v>
      </c>
      <c r="L108" s="1">
        <v>100.0</v>
      </c>
      <c r="M108" s="23">
        <v>16.432</v>
      </c>
      <c r="N108" s="64">
        <f t="shared" ref="N108:O108" si="105">if(G108&gt;100%,100%,G108)</f>
        <v>0.904</v>
      </c>
      <c r="O108" s="23">
        <f t="shared" si="105"/>
        <v>0.396</v>
      </c>
      <c r="P108" s="35"/>
    </row>
    <row r="109">
      <c r="A109" s="1">
        <v>201.0</v>
      </c>
      <c r="B109" s="1">
        <v>20946.0</v>
      </c>
      <c r="C109" s="23">
        <v>18.458</v>
      </c>
      <c r="D109" s="23">
        <v>18.152</v>
      </c>
      <c r="E109" s="23">
        <v>1.784</v>
      </c>
      <c r="F109" s="61">
        <v>1054.8</v>
      </c>
      <c r="G109" s="23">
        <v>0.885</v>
      </c>
      <c r="H109" s="23">
        <v>0.396</v>
      </c>
      <c r="I109" s="1">
        <v>509.8</v>
      </c>
      <c r="J109" s="1">
        <v>423.9</v>
      </c>
      <c r="K109" s="1">
        <v>28823.0</v>
      </c>
      <c r="L109" s="1">
        <v>100.0</v>
      </c>
      <c r="M109" s="23">
        <v>16.282</v>
      </c>
      <c r="N109" s="64">
        <f t="shared" ref="N109:O109" si="106">if(G109&gt;100%,100%,G109)</f>
        <v>0.885</v>
      </c>
      <c r="O109" s="23">
        <f t="shared" si="106"/>
        <v>0.396</v>
      </c>
      <c r="P109" s="35"/>
    </row>
    <row r="110">
      <c r="A110" s="1">
        <v>203.0</v>
      </c>
      <c r="B110" s="1">
        <v>20946.0</v>
      </c>
      <c r="C110" s="23">
        <v>18.3</v>
      </c>
      <c r="D110" s="23">
        <v>18.161</v>
      </c>
      <c r="E110" s="23">
        <v>1.337</v>
      </c>
      <c r="F110" s="61">
        <v>1069.8</v>
      </c>
      <c r="G110" s="23">
        <v>0.885</v>
      </c>
      <c r="H110" s="23">
        <v>1.397</v>
      </c>
      <c r="I110" s="1">
        <v>509.8</v>
      </c>
      <c r="J110" s="1">
        <v>423.9</v>
      </c>
      <c r="K110" s="1">
        <v>28823.0</v>
      </c>
      <c r="L110" s="1">
        <v>100.0</v>
      </c>
      <c r="M110" s="23">
        <v>16.322</v>
      </c>
      <c r="N110" s="64">
        <f t="shared" ref="N110:O110" si="107">if(G110&gt;100%,100%,G110)</f>
        <v>0.885</v>
      </c>
      <c r="O110" s="23">
        <f t="shared" si="107"/>
        <v>1</v>
      </c>
      <c r="P110" s="35"/>
    </row>
    <row r="111">
      <c r="A111" s="1">
        <v>205.0</v>
      </c>
      <c r="B111" s="1">
        <v>20946.0</v>
      </c>
      <c r="C111" s="23">
        <v>18.322</v>
      </c>
      <c r="D111" s="23">
        <v>18.161</v>
      </c>
      <c r="E111" s="23">
        <v>1.657</v>
      </c>
      <c r="F111" s="61">
        <v>1069.8</v>
      </c>
      <c r="G111" s="23">
        <v>0.885</v>
      </c>
      <c r="H111" s="23">
        <v>1.399</v>
      </c>
      <c r="I111" s="1">
        <v>509.8</v>
      </c>
      <c r="J111" s="1">
        <v>423.9</v>
      </c>
      <c r="K111" s="1">
        <v>28823.0</v>
      </c>
      <c r="L111" s="1">
        <v>100.0</v>
      </c>
      <c r="M111" s="23">
        <v>16.322</v>
      </c>
      <c r="N111" s="64">
        <f t="shared" ref="N111:O111" si="108">if(G111&gt;100%,100%,G111)</f>
        <v>0.885</v>
      </c>
      <c r="O111" s="23">
        <f t="shared" si="108"/>
        <v>1</v>
      </c>
      <c r="P111" s="35"/>
    </row>
    <row r="112">
      <c r="A112" s="1">
        <v>207.0</v>
      </c>
      <c r="B112" s="1">
        <v>20946.0</v>
      </c>
      <c r="C112" s="23">
        <v>18.345</v>
      </c>
      <c r="D112" s="23">
        <v>17.867</v>
      </c>
      <c r="E112" s="23">
        <v>1.777</v>
      </c>
      <c r="F112" s="61">
        <v>1069.8</v>
      </c>
      <c r="G112" s="23">
        <v>0.885</v>
      </c>
      <c r="H112" s="23">
        <v>0.399</v>
      </c>
      <c r="I112" s="1">
        <v>509.8</v>
      </c>
      <c r="J112" s="1">
        <v>423.9</v>
      </c>
      <c r="K112" s="1">
        <v>28823.0</v>
      </c>
      <c r="L112" s="1">
        <v>100.0</v>
      </c>
      <c r="M112" s="23">
        <v>16.273</v>
      </c>
      <c r="N112" s="64">
        <f t="shared" ref="N112:O112" si="109">if(G112&gt;100%,100%,G112)</f>
        <v>0.885</v>
      </c>
      <c r="O112" s="23">
        <f t="shared" si="109"/>
        <v>0.399</v>
      </c>
      <c r="P112" s="35"/>
    </row>
    <row r="113">
      <c r="A113" s="1">
        <v>209.0</v>
      </c>
      <c r="B113" s="1">
        <v>20946.0</v>
      </c>
      <c r="C113" s="23">
        <v>17.791</v>
      </c>
      <c r="D113" s="23">
        <v>17.98</v>
      </c>
      <c r="E113" s="23">
        <v>1.777</v>
      </c>
      <c r="F113" s="61">
        <v>1069.8</v>
      </c>
      <c r="G113" s="23">
        <v>0.885</v>
      </c>
      <c r="H113" s="23">
        <v>0.406</v>
      </c>
      <c r="I113" s="1">
        <v>509.8</v>
      </c>
      <c r="J113" s="1">
        <v>423.9</v>
      </c>
      <c r="K113" s="1">
        <v>28823.0</v>
      </c>
      <c r="L113" s="1">
        <v>100.0</v>
      </c>
      <c r="M113" s="23">
        <v>16.273</v>
      </c>
      <c r="N113" s="64">
        <f t="shared" ref="N113:O113" si="110">if(G113&gt;100%,100%,G113)</f>
        <v>0.885</v>
      </c>
      <c r="O113" s="23">
        <f t="shared" si="110"/>
        <v>0.406</v>
      </c>
      <c r="P113" s="35"/>
    </row>
    <row r="114">
      <c r="A114" s="1">
        <v>211.0</v>
      </c>
      <c r="B114" s="1">
        <v>20946.0</v>
      </c>
      <c r="C114" s="23">
        <v>17.441</v>
      </c>
      <c r="D114" s="23">
        <v>17.754</v>
      </c>
      <c r="E114" s="23">
        <v>1.777</v>
      </c>
      <c r="F114" s="61">
        <v>1069.8</v>
      </c>
      <c r="G114" s="23">
        <v>0.885</v>
      </c>
      <c r="H114" s="23">
        <v>0.406</v>
      </c>
      <c r="I114" s="1">
        <v>509.8</v>
      </c>
      <c r="J114" s="1">
        <v>423.9</v>
      </c>
      <c r="K114" s="1">
        <v>28823.0</v>
      </c>
      <c r="L114" s="1">
        <v>100.0</v>
      </c>
      <c r="M114" s="23">
        <v>16.273</v>
      </c>
      <c r="N114" s="64">
        <f t="shared" ref="N114:O114" si="111">if(G114&gt;100%,100%,G114)</f>
        <v>0.885</v>
      </c>
      <c r="O114" s="23">
        <f t="shared" si="111"/>
        <v>0.406</v>
      </c>
      <c r="P114" s="35"/>
    </row>
    <row r="115">
      <c r="A115" s="1" t="s">
        <v>493</v>
      </c>
      <c r="B115" s="1" t="s">
        <v>492</v>
      </c>
      <c r="C115" s="23"/>
      <c r="D115" s="23"/>
      <c r="E115" s="23"/>
      <c r="F115" s="61"/>
      <c r="G115" s="23"/>
      <c r="H115" s="23"/>
      <c r="I115" s="1"/>
      <c r="J115" s="1"/>
      <c r="K115" s="1"/>
      <c r="L115" s="1"/>
      <c r="M115" s="23"/>
      <c r="N115" s="64" t="str">
        <f t="shared" ref="N115:O115" si="112">if(G115&gt;100%,100%,G115)</f>
        <v/>
      </c>
      <c r="O115" s="23" t="str">
        <f t="shared" si="112"/>
        <v/>
      </c>
      <c r="P115" s="35"/>
    </row>
    <row r="116">
      <c r="A116" s="1">
        <v>213.0</v>
      </c>
      <c r="B116" s="1">
        <v>20946.0</v>
      </c>
      <c r="C116" s="23">
        <v>17.43</v>
      </c>
      <c r="D116" s="23">
        <v>17.797</v>
      </c>
      <c r="E116" s="23">
        <v>1.777</v>
      </c>
      <c r="F116" s="61">
        <v>1069.8</v>
      </c>
      <c r="G116" s="23">
        <v>0.858</v>
      </c>
      <c r="H116" s="23">
        <v>0.406</v>
      </c>
      <c r="I116" s="1">
        <v>509.8</v>
      </c>
      <c r="J116" s="1">
        <v>341.9</v>
      </c>
      <c r="K116" s="1">
        <v>28823.0</v>
      </c>
      <c r="L116" s="1">
        <v>100.0</v>
      </c>
      <c r="M116" s="23">
        <v>16.212</v>
      </c>
      <c r="N116" s="64">
        <f t="shared" ref="N116:O116" si="113">if(G116&gt;100%,100%,G116)</f>
        <v>0.858</v>
      </c>
      <c r="O116" s="23">
        <f t="shared" si="113"/>
        <v>0.406</v>
      </c>
      <c r="P116" s="35"/>
    </row>
    <row r="117">
      <c r="A117" s="1">
        <v>215.0</v>
      </c>
      <c r="B117" s="1">
        <v>22879.0</v>
      </c>
      <c r="C117" s="23">
        <v>20.209</v>
      </c>
      <c r="D117" s="26">
        <v>20.724</v>
      </c>
      <c r="E117" s="23">
        <v>1.777</v>
      </c>
      <c r="F117" s="61">
        <v>1082.8</v>
      </c>
      <c r="G117" s="23">
        <v>0.858</v>
      </c>
      <c r="H117" s="23">
        <v>0.406</v>
      </c>
      <c r="I117" s="1">
        <v>509.8</v>
      </c>
      <c r="J117" s="1">
        <v>341.9</v>
      </c>
      <c r="K117" s="1">
        <v>31483.0</v>
      </c>
      <c r="L117" s="1">
        <v>100.0</v>
      </c>
      <c r="M117" s="23">
        <v>16.212</v>
      </c>
      <c r="N117" s="64">
        <f t="shared" ref="N117:O117" si="114">if(G117&gt;100%,100%,G117)</f>
        <v>0.858</v>
      </c>
      <c r="O117" s="23">
        <f t="shared" si="114"/>
        <v>0.406</v>
      </c>
      <c r="P117" s="35"/>
    </row>
    <row r="118">
      <c r="A118" s="1">
        <v>217.0</v>
      </c>
      <c r="B118" s="1">
        <v>26745.0</v>
      </c>
      <c r="C118" s="23">
        <v>21.678</v>
      </c>
      <c r="D118" s="26">
        <v>27.417</v>
      </c>
      <c r="E118" s="23">
        <v>1.777</v>
      </c>
      <c r="F118" s="61">
        <v>1107.8</v>
      </c>
      <c r="G118" s="23">
        <v>0.858</v>
      </c>
      <c r="H118" s="23">
        <v>0.396</v>
      </c>
      <c r="I118" s="1">
        <v>509.8</v>
      </c>
      <c r="J118" s="1">
        <v>341.9</v>
      </c>
      <c r="K118" s="1">
        <v>36802.0</v>
      </c>
      <c r="L118" s="1">
        <v>100.0</v>
      </c>
      <c r="M118" s="23">
        <v>16.306</v>
      </c>
      <c r="N118" s="64">
        <f t="shared" ref="N118:O118" si="115">if(G118&gt;100%,100%,G118)</f>
        <v>0.858</v>
      </c>
      <c r="O118" s="23">
        <f t="shared" si="115"/>
        <v>0.396</v>
      </c>
      <c r="P118" s="35"/>
    </row>
    <row r="119">
      <c r="A119" s="1">
        <v>219.0</v>
      </c>
      <c r="B119" s="1">
        <v>28678.0</v>
      </c>
      <c r="C119" s="23">
        <v>22.243</v>
      </c>
      <c r="D119" s="26">
        <v>31.733</v>
      </c>
      <c r="E119" s="23">
        <v>1.777</v>
      </c>
      <c r="F119" s="61">
        <v>1120.8</v>
      </c>
      <c r="G119" s="23">
        <v>0.858</v>
      </c>
      <c r="H119" s="23">
        <v>0.396</v>
      </c>
      <c r="I119" s="1">
        <v>509.8</v>
      </c>
      <c r="J119" s="1">
        <v>341.9</v>
      </c>
      <c r="K119" s="1">
        <v>39462.0</v>
      </c>
      <c r="L119" s="1">
        <v>100.0</v>
      </c>
      <c r="M119" s="23">
        <v>16.306</v>
      </c>
      <c r="N119" s="64">
        <f t="shared" ref="N119:O119" si="116">if(G119&gt;100%,100%,G119)</f>
        <v>0.858</v>
      </c>
      <c r="O119" s="23">
        <f t="shared" si="116"/>
        <v>0.396</v>
      </c>
      <c r="P119" s="35"/>
    </row>
    <row r="120">
      <c r="A120" s="1">
        <v>221.0</v>
      </c>
      <c r="B120" s="1">
        <v>27761.0</v>
      </c>
      <c r="C120" s="26">
        <v>21.825</v>
      </c>
      <c r="D120" s="23">
        <v>31.054</v>
      </c>
      <c r="E120" s="23">
        <v>1.657</v>
      </c>
      <c r="F120" s="61">
        <v>1083.8</v>
      </c>
      <c r="G120" s="23">
        <v>0.858</v>
      </c>
      <c r="H120" s="23">
        <v>0.396</v>
      </c>
      <c r="I120" s="1">
        <v>509.8</v>
      </c>
      <c r="J120" s="1">
        <v>341.9</v>
      </c>
      <c r="K120" s="1">
        <v>39462.0</v>
      </c>
      <c r="L120" s="1">
        <v>100.0</v>
      </c>
      <c r="M120" s="23">
        <v>16.506</v>
      </c>
      <c r="N120" s="64">
        <f t="shared" ref="N120:O120" si="117">if(G120&gt;100%,100%,G120)</f>
        <v>0.858</v>
      </c>
      <c r="O120" s="23">
        <f t="shared" si="117"/>
        <v>0.396</v>
      </c>
      <c r="P120" s="35"/>
    </row>
    <row r="121">
      <c r="A121" s="1">
        <v>223.0</v>
      </c>
      <c r="B121" s="1">
        <v>28678.0</v>
      </c>
      <c r="C121" s="26">
        <v>21.871</v>
      </c>
      <c r="D121" s="23">
        <v>31.37</v>
      </c>
      <c r="E121" s="23">
        <v>1.657</v>
      </c>
      <c r="F121" s="61">
        <v>1086.8</v>
      </c>
      <c r="G121" s="23">
        <v>0.858</v>
      </c>
      <c r="H121" s="23">
        <v>0.396</v>
      </c>
      <c r="I121" s="1">
        <v>509.8</v>
      </c>
      <c r="J121" s="1">
        <v>341.9</v>
      </c>
      <c r="K121" s="1">
        <v>39462.0</v>
      </c>
      <c r="L121" s="1">
        <v>100.0</v>
      </c>
      <c r="M121" s="23">
        <v>16.506</v>
      </c>
      <c r="N121" s="64">
        <f t="shared" ref="N121:O121" si="118">if(G121&gt;100%,100%,G121)</f>
        <v>0.858</v>
      </c>
      <c r="O121" s="23">
        <f t="shared" si="118"/>
        <v>0.396</v>
      </c>
      <c r="P121" s="35"/>
    </row>
    <row r="122">
      <c r="A122" s="1">
        <v>225.0</v>
      </c>
      <c r="B122" s="1">
        <v>28678.0</v>
      </c>
      <c r="C122" s="26">
        <v>22.198</v>
      </c>
      <c r="D122" s="23">
        <v>31.844</v>
      </c>
      <c r="E122" s="23">
        <v>1.657</v>
      </c>
      <c r="F122" s="61">
        <v>1086.8</v>
      </c>
      <c r="G122" s="23">
        <v>0.858</v>
      </c>
      <c r="H122" s="23">
        <v>0.396</v>
      </c>
      <c r="I122" s="1">
        <v>509.8</v>
      </c>
      <c r="J122" s="1">
        <v>341.9</v>
      </c>
      <c r="K122" s="1">
        <v>39462.0</v>
      </c>
      <c r="L122" s="1">
        <v>100.0</v>
      </c>
      <c r="M122" s="23">
        <v>16.506</v>
      </c>
      <c r="N122" s="64">
        <f t="shared" ref="N122:O122" si="119">if(G122&gt;100%,100%,G122)</f>
        <v>0.858</v>
      </c>
      <c r="O122" s="23">
        <f t="shared" si="119"/>
        <v>0.396</v>
      </c>
      <c r="P122" s="35"/>
    </row>
    <row r="123">
      <c r="A123" s="1">
        <v>227.0</v>
      </c>
      <c r="B123" s="1">
        <v>28678.0</v>
      </c>
      <c r="C123" s="23">
        <v>22.729</v>
      </c>
      <c r="D123" s="23">
        <v>26.846</v>
      </c>
      <c r="E123" s="23">
        <v>1.407</v>
      </c>
      <c r="F123" s="61">
        <v>1086.8</v>
      </c>
      <c r="G123" s="23">
        <v>0.885</v>
      </c>
      <c r="H123" s="23">
        <v>0.381</v>
      </c>
      <c r="I123" s="1">
        <v>509.8</v>
      </c>
      <c r="J123" s="1">
        <v>423.9</v>
      </c>
      <c r="K123" s="1">
        <v>39462.0</v>
      </c>
      <c r="L123" s="1">
        <v>100.0</v>
      </c>
      <c r="M123" s="23">
        <v>16.506</v>
      </c>
      <c r="N123" s="64">
        <f t="shared" ref="N123:O123" si="120">if(G123&gt;100%,100%,G123)</f>
        <v>0.885</v>
      </c>
      <c r="O123" s="23">
        <f t="shared" si="120"/>
        <v>0.381</v>
      </c>
      <c r="P123" s="35"/>
    </row>
    <row r="124">
      <c r="A124" s="1">
        <v>229.0</v>
      </c>
      <c r="B124" s="1">
        <v>28678.0</v>
      </c>
      <c r="C124" s="23">
        <v>22.695</v>
      </c>
      <c r="D124" s="23">
        <v>22.846</v>
      </c>
      <c r="E124" s="23">
        <v>1.407</v>
      </c>
      <c r="F124" s="61">
        <v>1086.8</v>
      </c>
      <c r="G124" s="23">
        <v>0.885</v>
      </c>
      <c r="H124" s="23">
        <v>0.381</v>
      </c>
      <c r="I124" s="1">
        <v>509.8</v>
      </c>
      <c r="J124" s="1">
        <v>423.9</v>
      </c>
      <c r="K124" s="1">
        <v>39462.0</v>
      </c>
      <c r="L124" s="1">
        <v>100.0</v>
      </c>
      <c r="M124" s="23">
        <v>16.5</v>
      </c>
      <c r="N124" s="64">
        <f t="shared" ref="N124:O124" si="121">if(G124&gt;100%,100%,G124)</f>
        <v>0.885</v>
      </c>
      <c r="O124" s="23">
        <f t="shared" si="121"/>
        <v>0.381</v>
      </c>
      <c r="P124" s="35"/>
    </row>
    <row r="125">
      <c r="A125" s="1">
        <v>231.0</v>
      </c>
      <c r="B125" s="1">
        <v>26745.0</v>
      </c>
      <c r="C125" s="23">
        <v>21.023</v>
      </c>
      <c r="D125" s="23">
        <v>20.767</v>
      </c>
      <c r="E125" s="23">
        <v>1.407</v>
      </c>
      <c r="F125" s="61">
        <v>1073.8</v>
      </c>
      <c r="G125" s="23">
        <v>0.885</v>
      </c>
      <c r="H125" s="23">
        <v>0.373</v>
      </c>
      <c r="I125" s="1">
        <v>509.8</v>
      </c>
      <c r="J125" s="1">
        <v>423.9</v>
      </c>
      <c r="K125" s="1">
        <v>36802.0</v>
      </c>
      <c r="L125" s="1">
        <v>100.0</v>
      </c>
      <c r="M125" s="23">
        <v>16.5</v>
      </c>
      <c r="N125" s="64">
        <f t="shared" ref="N125:O125" si="122">if(G125&gt;100%,100%,G125)</f>
        <v>0.885</v>
      </c>
      <c r="O125" s="23">
        <f t="shared" si="122"/>
        <v>0.373</v>
      </c>
      <c r="P125" s="35"/>
    </row>
    <row r="126">
      <c r="A126" s="1">
        <v>233.0</v>
      </c>
      <c r="B126" s="1">
        <v>22879.0</v>
      </c>
      <c r="C126" s="23">
        <v>19.52</v>
      </c>
      <c r="D126" s="23">
        <v>19.099</v>
      </c>
      <c r="E126" s="23">
        <v>1.407</v>
      </c>
      <c r="F126" s="61">
        <v>1048.8</v>
      </c>
      <c r="G126" s="23">
        <v>0.885</v>
      </c>
      <c r="H126" s="23">
        <v>0.373</v>
      </c>
      <c r="I126" s="1">
        <v>509.8</v>
      </c>
      <c r="J126" s="1">
        <v>423.9</v>
      </c>
      <c r="K126" s="1">
        <v>31483.0</v>
      </c>
      <c r="L126" s="1">
        <v>100.0</v>
      </c>
      <c r="M126" s="23">
        <v>16.369</v>
      </c>
      <c r="N126" s="64">
        <f t="shared" ref="N126:O126" si="123">if(G126&gt;100%,100%,G126)</f>
        <v>0.885</v>
      </c>
      <c r="O126" s="23">
        <f t="shared" si="123"/>
        <v>0.373</v>
      </c>
      <c r="P126" s="35"/>
    </row>
    <row r="127">
      <c r="A127" s="1">
        <v>235.0</v>
      </c>
      <c r="B127" s="1">
        <v>16269.0</v>
      </c>
      <c r="C127" s="23">
        <v>17.475</v>
      </c>
      <c r="D127" s="23">
        <v>16.645</v>
      </c>
      <c r="E127" s="23">
        <v>1.407</v>
      </c>
      <c r="F127" s="61">
        <v>1054.8</v>
      </c>
      <c r="G127" s="23">
        <v>0.885</v>
      </c>
      <c r="H127" s="23">
        <v>0.399</v>
      </c>
      <c r="I127" s="1">
        <v>509.8</v>
      </c>
      <c r="J127" s="1">
        <v>423.9</v>
      </c>
      <c r="K127" s="1">
        <v>22387.0</v>
      </c>
      <c r="L127" s="1">
        <v>100.0</v>
      </c>
      <c r="M127" s="23">
        <v>16.369</v>
      </c>
      <c r="N127" s="64">
        <f t="shared" ref="N127:O127" si="124">if(G127&gt;100%,100%,G127)</f>
        <v>0.885</v>
      </c>
      <c r="O127" s="23">
        <f t="shared" si="124"/>
        <v>0.399</v>
      </c>
      <c r="P127" s="35"/>
    </row>
    <row r="128">
      <c r="A128" s="1">
        <v>237.0</v>
      </c>
      <c r="B128" s="1">
        <v>16269.0</v>
      </c>
      <c r="C128" s="23">
        <v>17.723</v>
      </c>
      <c r="D128" s="23">
        <v>16.941</v>
      </c>
      <c r="E128" s="23">
        <v>1.407</v>
      </c>
      <c r="F128" s="61">
        <v>1054.8</v>
      </c>
      <c r="G128" s="23">
        <v>0.885</v>
      </c>
      <c r="H128" s="23">
        <v>0.406</v>
      </c>
      <c r="I128" s="1">
        <v>509.8</v>
      </c>
      <c r="J128" s="1">
        <v>423.9</v>
      </c>
      <c r="K128" s="1">
        <v>22387.0</v>
      </c>
      <c r="L128" s="1">
        <v>100.0</v>
      </c>
      <c r="M128" s="23">
        <v>16.339</v>
      </c>
      <c r="N128" s="64">
        <f t="shared" ref="N128:O128" si="125">if(G128&gt;100%,100%,G128)</f>
        <v>0.885</v>
      </c>
      <c r="O128" s="23">
        <f t="shared" si="125"/>
        <v>0.406</v>
      </c>
      <c r="P128" s="35"/>
    </row>
    <row r="129">
      <c r="A129" s="1">
        <v>239.0</v>
      </c>
      <c r="B129" s="1">
        <v>20946.0</v>
      </c>
      <c r="C129" s="23">
        <v>17.893</v>
      </c>
      <c r="D129" s="23">
        <v>16.941</v>
      </c>
      <c r="E129" s="23">
        <v>1.407</v>
      </c>
      <c r="F129" s="61">
        <v>1054.8</v>
      </c>
      <c r="G129" s="23">
        <v>0.878</v>
      </c>
      <c r="H129" s="23">
        <v>0.406</v>
      </c>
      <c r="I129" s="1">
        <v>509.8</v>
      </c>
      <c r="J129" s="1">
        <v>404.1</v>
      </c>
      <c r="K129" s="1">
        <v>28823.0</v>
      </c>
      <c r="L129" s="1">
        <v>100.0</v>
      </c>
      <c r="M129" s="23">
        <v>16.189</v>
      </c>
      <c r="N129" s="64">
        <f t="shared" ref="N129:O129" si="126">if(G129&gt;100%,100%,G129)</f>
        <v>0.878</v>
      </c>
      <c r="O129" s="23">
        <f t="shared" si="126"/>
        <v>0.406</v>
      </c>
      <c r="P129" s="35"/>
    </row>
    <row r="130">
      <c r="A130" s="1">
        <v>241.0</v>
      </c>
      <c r="B130" s="1">
        <v>20946.0</v>
      </c>
      <c r="C130" s="23">
        <v>18.311</v>
      </c>
      <c r="D130" s="23">
        <v>17.341</v>
      </c>
      <c r="E130" s="23">
        <v>0.987</v>
      </c>
      <c r="F130" s="61">
        <v>1054.8</v>
      </c>
      <c r="G130" s="23">
        <v>0.885</v>
      </c>
      <c r="H130" s="23">
        <v>0.406</v>
      </c>
      <c r="I130" s="1">
        <v>509.8</v>
      </c>
      <c r="J130" s="1">
        <v>423.9</v>
      </c>
      <c r="K130" s="1">
        <v>28823.0</v>
      </c>
      <c r="L130" s="1">
        <v>100.0</v>
      </c>
      <c r="M130" s="23">
        <v>16.189</v>
      </c>
      <c r="N130" s="64">
        <f t="shared" ref="N130:O130" si="127">if(G130&gt;100%,100%,G130)</f>
        <v>0.885</v>
      </c>
      <c r="O130" s="23">
        <f t="shared" si="127"/>
        <v>0.406</v>
      </c>
      <c r="P130" s="35"/>
    </row>
    <row r="131">
      <c r="A131" s="1">
        <v>243.0</v>
      </c>
      <c r="B131" s="1">
        <v>20720.0</v>
      </c>
      <c r="C131" s="23">
        <v>18.288</v>
      </c>
      <c r="D131" s="23">
        <v>16.996</v>
      </c>
      <c r="E131" s="23">
        <v>0.987</v>
      </c>
      <c r="F131" s="61">
        <v>1054.8</v>
      </c>
      <c r="G131" s="23">
        <v>0.885</v>
      </c>
      <c r="H131" s="23">
        <v>0.406</v>
      </c>
      <c r="I131" s="1">
        <v>509.8</v>
      </c>
      <c r="J131" s="1">
        <v>423.9</v>
      </c>
      <c r="K131" s="1">
        <v>28823.0</v>
      </c>
      <c r="L131" s="1">
        <v>100.0</v>
      </c>
      <c r="M131" s="23">
        <v>16.194</v>
      </c>
      <c r="N131" s="64">
        <f t="shared" ref="N131:O131" si="128">if(G131&gt;100%,100%,G131)</f>
        <v>0.885</v>
      </c>
      <c r="O131" s="23">
        <f t="shared" si="128"/>
        <v>0.406</v>
      </c>
      <c r="P131" s="35"/>
    </row>
    <row r="132">
      <c r="A132" s="1">
        <v>245.0</v>
      </c>
      <c r="B132" s="1">
        <v>20720.0</v>
      </c>
      <c r="C132" s="23">
        <v>18.288</v>
      </c>
      <c r="D132" s="23">
        <v>17.104</v>
      </c>
      <c r="E132" s="23">
        <v>0.987</v>
      </c>
      <c r="F132" s="61">
        <v>1054.8</v>
      </c>
      <c r="G132" s="23">
        <v>0.858</v>
      </c>
      <c r="H132" s="23">
        <v>0.406</v>
      </c>
      <c r="I132" s="1">
        <v>509.8</v>
      </c>
      <c r="J132" s="1">
        <v>341.9</v>
      </c>
      <c r="K132" s="1">
        <v>28823.0</v>
      </c>
      <c r="L132" s="1">
        <v>100.0</v>
      </c>
      <c r="M132" s="23">
        <v>16.194</v>
      </c>
      <c r="N132" s="64">
        <f t="shared" ref="N132:O132" si="129">if(G132&gt;100%,100%,G132)</f>
        <v>0.858</v>
      </c>
      <c r="O132" s="23">
        <f t="shared" si="129"/>
        <v>0.406</v>
      </c>
      <c r="P132" s="35"/>
    </row>
    <row r="133">
      <c r="A133" s="1">
        <v>247.0</v>
      </c>
      <c r="B133" s="1">
        <v>20946.0</v>
      </c>
      <c r="C133" s="23">
        <v>17.633</v>
      </c>
      <c r="D133" s="23">
        <v>16.585</v>
      </c>
      <c r="E133" s="23">
        <v>1.407</v>
      </c>
      <c r="F133" s="61">
        <v>1069.8</v>
      </c>
      <c r="G133" s="23">
        <v>0.858</v>
      </c>
      <c r="H133" s="23">
        <v>0.406</v>
      </c>
      <c r="I133" s="1">
        <v>509.8</v>
      </c>
      <c r="J133" s="1">
        <v>341.9</v>
      </c>
      <c r="K133" s="1">
        <v>28823.0</v>
      </c>
      <c r="L133" s="1">
        <v>100.0</v>
      </c>
      <c r="M133" s="23">
        <v>16.192</v>
      </c>
      <c r="N133" s="64">
        <f t="shared" ref="N133:O133" si="130">if(G133&gt;100%,100%,G133)</f>
        <v>0.858</v>
      </c>
      <c r="O133" s="23">
        <f t="shared" si="130"/>
        <v>0.406</v>
      </c>
      <c r="P133" s="35"/>
    </row>
    <row r="134">
      <c r="A134" s="1">
        <v>250.0</v>
      </c>
      <c r="B134" s="1">
        <v>20946.0</v>
      </c>
      <c r="C134" s="23">
        <v>17.43</v>
      </c>
      <c r="D134" s="23">
        <v>17.017</v>
      </c>
      <c r="E134" s="23">
        <v>1.407</v>
      </c>
      <c r="F134" s="61">
        <v>1069.8</v>
      </c>
      <c r="G134" s="23">
        <v>0.858</v>
      </c>
      <c r="H134" s="23">
        <v>0.406</v>
      </c>
      <c r="I134" s="1">
        <v>509.8</v>
      </c>
      <c r="J134" s="1">
        <v>341.9</v>
      </c>
      <c r="K134" s="1">
        <v>28823.0</v>
      </c>
      <c r="L134" s="1">
        <v>100.0</v>
      </c>
      <c r="M134" s="23">
        <v>16.192</v>
      </c>
      <c r="N134" s="64">
        <f t="shared" ref="N134:O134" si="131">if(G134&gt;100%,100%,G134)</f>
        <v>0.858</v>
      </c>
      <c r="O134" s="23">
        <f t="shared" si="131"/>
        <v>0.406</v>
      </c>
    </row>
    <row r="135">
      <c r="A135" s="1">
        <v>252.0</v>
      </c>
      <c r="B135" s="1">
        <v>20946.0</v>
      </c>
      <c r="C135" s="23">
        <v>17.43</v>
      </c>
      <c r="D135" s="23">
        <v>17.012</v>
      </c>
      <c r="E135" s="23">
        <v>1.407</v>
      </c>
      <c r="F135" s="61">
        <v>1069.8</v>
      </c>
      <c r="G135" s="23">
        <v>0.858</v>
      </c>
      <c r="H135" s="23">
        <v>0.406</v>
      </c>
      <c r="I135" s="1">
        <v>509.8</v>
      </c>
      <c r="J135" s="1">
        <v>341.9</v>
      </c>
      <c r="K135" s="1">
        <v>28823.0</v>
      </c>
      <c r="L135" s="1">
        <v>100.0</v>
      </c>
      <c r="M135" s="23">
        <v>16.173</v>
      </c>
      <c r="N135" s="64">
        <f t="shared" ref="N135:O135" si="132">if(G135&gt;100%,100%,G135)</f>
        <v>0.858</v>
      </c>
      <c r="O135" s="23">
        <f t="shared" si="132"/>
        <v>0.406</v>
      </c>
    </row>
    <row r="136">
      <c r="A136" s="1">
        <v>254.0</v>
      </c>
      <c r="B136" s="1">
        <v>20946.0</v>
      </c>
      <c r="C136" s="23">
        <v>17.927</v>
      </c>
      <c r="D136" s="23">
        <v>17.444</v>
      </c>
      <c r="E136" s="23">
        <v>1.407</v>
      </c>
      <c r="F136" s="61">
        <v>1069.8</v>
      </c>
      <c r="G136" s="23">
        <v>0.858</v>
      </c>
      <c r="H136" s="23">
        <v>0.406</v>
      </c>
      <c r="I136" s="1">
        <v>509.8</v>
      </c>
      <c r="J136" s="1">
        <v>341.9</v>
      </c>
      <c r="K136" s="1">
        <v>28823.0</v>
      </c>
      <c r="L136" s="1">
        <v>100.0</v>
      </c>
      <c r="M136" s="23">
        <v>16.323</v>
      </c>
      <c r="N136" s="64">
        <f t="shared" ref="N136:O136" si="133">if(G136&gt;100%,100%,G136)</f>
        <v>0.858</v>
      </c>
      <c r="O136" s="23">
        <f t="shared" si="133"/>
        <v>0.406</v>
      </c>
    </row>
    <row r="137">
      <c r="A137" s="1" t="s">
        <v>494</v>
      </c>
      <c r="B137" s="1"/>
      <c r="C137" s="23"/>
      <c r="D137" s="23"/>
      <c r="E137" s="23"/>
      <c r="F137" s="1"/>
      <c r="G137" s="23"/>
      <c r="H137" s="23"/>
      <c r="I137" s="1"/>
      <c r="J137" s="1"/>
      <c r="K137" s="1"/>
      <c r="L137" s="1"/>
      <c r="M137" s="23"/>
      <c r="N137" s="64" t="str">
        <f t="shared" ref="N137:O137" si="134">if(G137&gt;100%,100%,G137)</f>
        <v/>
      </c>
      <c r="O137" s="23" t="str">
        <f t="shared" si="134"/>
        <v/>
      </c>
    </row>
    <row r="138">
      <c r="A138" s="1">
        <v>256.0</v>
      </c>
      <c r="B138" s="1">
        <v>22879.0</v>
      </c>
      <c r="C138" s="23">
        <v>19.0</v>
      </c>
      <c r="D138" s="23">
        <v>21.407</v>
      </c>
      <c r="E138" s="23">
        <v>1.407</v>
      </c>
      <c r="F138" s="61">
        <v>1082.8</v>
      </c>
      <c r="G138" s="23">
        <v>0.858</v>
      </c>
      <c r="H138" s="23">
        <v>0.406</v>
      </c>
      <c r="I138" s="1">
        <v>509.8</v>
      </c>
      <c r="J138" s="1">
        <v>341.9</v>
      </c>
      <c r="K138" s="1">
        <v>31483.0</v>
      </c>
      <c r="L138" s="1">
        <v>100.0</v>
      </c>
      <c r="M138" s="23">
        <v>16.417</v>
      </c>
      <c r="N138" s="64">
        <f t="shared" ref="N138:O138" si="135">if(G138&gt;100%,100%,G138)</f>
        <v>0.858</v>
      </c>
      <c r="O138" s="23">
        <f t="shared" si="135"/>
        <v>0.406</v>
      </c>
    </row>
    <row r="139">
      <c r="A139" s="1">
        <v>258.0</v>
      </c>
      <c r="B139" s="1">
        <v>22879.0</v>
      </c>
      <c r="C139" s="23">
        <v>19.034</v>
      </c>
      <c r="D139" s="23">
        <v>22.533</v>
      </c>
      <c r="E139" s="23">
        <v>1.407</v>
      </c>
      <c r="F139" s="61">
        <v>1082.8</v>
      </c>
      <c r="G139" s="23">
        <v>0.858</v>
      </c>
      <c r="H139" s="23">
        <v>0.406</v>
      </c>
      <c r="I139" s="1">
        <v>509.8</v>
      </c>
      <c r="J139" s="1">
        <v>341.9</v>
      </c>
      <c r="K139" s="1">
        <v>31483.0</v>
      </c>
      <c r="L139" s="1">
        <v>100.0</v>
      </c>
      <c r="M139" s="23">
        <v>16.417</v>
      </c>
      <c r="N139" s="64">
        <f t="shared" ref="N139:O139" si="136">if(G139&gt;100%,100%,G139)</f>
        <v>0.858</v>
      </c>
      <c r="O139" s="23">
        <f t="shared" si="136"/>
        <v>0.406</v>
      </c>
    </row>
    <row r="140">
      <c r="A140" s="1">
        <v>260.0</v>
      </c>
      <c r="B140" s="1">
        <v>22879.0</v>
      </c>
      <c r="C140" s="23">
        <v>19.057</v>
      </c>
      <c r="D140" s="23">
        <v>22.681</v>
      </c>
      <c r="E140" s="23">
        <v>1.407</v>
      </c>
      <c r="F140" s="61">
        <v>1067.8</v>
      </c>
      <c r="G140" s="23">
        <v>0.858</v>
      </c>
      <c r="H140" s="23">
        <v>0.406</v>
      </c>
      <c r="I140" s="1">
        <v>509.8</v>
      </c>
      <c r="J140" s="1">
        <v>341.9</v>
      </c>
      <c r="K140" s="1">
        <v>31483.0</v>
      </c>
      <c r="L140" s="1">
        <v>100.0</v>
      </c>
      <c r="M140" s="23">
        <v>16.492</v>
      </c>
      <c r="N140" s="64">
        <f t="shared" ref="N140:O140" si="137">if(G140&gt;100%,100%,G140)</f>
        <v>0.858</v>
      </c>
      <c r="O140" s="23">
        <f t="shared" si="137"/>
        <v>0.406</v>
      </c>
    </row>
    <row r="141">
      <c r="A141" s="1">
        <v>262.0</v>
      </c>
      <c r="B141" s="1">
        <v>22879.0</v>
      </c>
      <c r="C141" s="23">
        <v>19.057</v>
      </c>
      <c r="D141" s="23">
        <v>22.681</v>
      </c>
      <c r="E141" s="23">
        <v>1.407</v>
      </c>
      <c r="F141" s="61">
        <v>1067.8</v>
      </c>
      <c r="G141" s="23">
        <v>0.885</v>
      </c>
      <c r="H141" s="23">
        <v>0.406</v>
      </c>
      <c r="I141" s="1">
        <v>509.8</v>
      </c>
      <c r="J141" s="1">
        <v>423.9</v>
      </c>
      <c r="K141" s="1">
        <v>31483.0</v>
      </c>
      <c r="L141" s="1">
        <v>100.0</v>
      </c>
      <c r="M141" s="23">
        <v>16.492</v>
      </c>
      <c r="N141" s="64">
        <f t="shared" ref="N141:O141" si="138">if(G141&gt;100%,100%,G141)</f>
        <v>0.885</v>
      </c>
      <c r="O141" s="23">
        <f t="shared" si="138"/>
        <v>0.406</v>
      </c>
    </row>
    <row r="142">
      <c r="A142" s="1">
        <v>264.0</v>
      </c>
      <c r="B142" s="1">
        <v>22879.0</v>
      </c>
      <c r="C142" s="23">
        <v>19.102</v>
      </c>
      <c r="D142" s="23">
        <v>22.257</v>
      </c>
      <c r="E142" s="23">
        <v>1.407</v>
      </c>
      <c r="F142" s="61">
        <v>1067.8</v>
      </c>
      <c r="G142" s="23">
        <v>0.885</v>
      </c>
      <c r="H142" s="23">
        <v>1.399</v>
      </c>
      <c r="I142" s="1">
        <v>509.8</v>
      </c>
      <c r="J142" s="1">
        <v>423.9</v>
      </c>
      <c r="K142" s="1">
        <v>31483.0</v>
      </c>
      <c r="L142" s="1">
        <v>100.0</v>
      </c>
      <c r="M142" s="23">
        <v>16.505</v>
      </c>
      <c r="N142" s="64">
        <f t="shared" ref="N142:O142" si="139">if(G142&gt;100%,100%,G142)</f>
        <v>0.885</v>
      </c>
      <c r="O142" s="23">
        <f t="shared" si="139"/>
        <v>1</v>
      </c>
    </row>
    <row r="143">
      <c r="A143" s="1">
        <v>266.0</v>
      </c>
      <c r="B143" s="1">
        <v>22879.0</v>
      </c>
      <c r="C143" s="23">
        <v>18.763</v>
      </c>
      <c r="D143" s="23">
        <v>18.61</v>
      </c>
      <c r="E143" s="23">
        <v>1.534</v>
      </c>
      <c r="F143" s="61">
        <v>1067.8</v>
      </c>
      <c r="G143" s="23">
        <v>0.885</v>
      </c>
      <c r="H143" s="23">
        <v>1.399</v>
      </c>
      <c r="I143" s="1">
        <v>509.8</v>
      </c>
      <c r="J143" s="1">
        <v>423.9</v>
      </c>
      <c r="K143" s="1">
        <v>31483.0</v>
      </c>
      <c r="L143" s="1">
        <v>100.0</v>
      </c>
      <c r="M143" s="23">
        <v>16.505</v>
      </c>
      <c r="N143" s="64">
        <f t="shared" ref="N143:O143" si="140">if(G143&gt;100%,100%,G143)</f>
        <v>0.885</v>
      </c>
      <c r="O143" s="23">
        <f t="shared" si="140"/>
        <v>1</v>
      </c>
    </row>
    <row r="144">
      <c r="A144" s="1">
        <v>268.0</v>
      </c>
      <c r="B144" s="1">
        <v>22148.0</v>
      </c>
      <c r="C144" s="23">
        <v>18.255</v>
      </c>
      <c r="D144" s="23">
        <v>19.276</v>
      </c>
      <c r="E144" s="23">
        <v>1.991</v>
      </c>
      <c r="F144" s="61">
        <v>1064.8</v>
      </c>
      <c r="G144" s="23">
        <v>0.885</v>
      </c>
      <c r="H144" s="23">
        <v>1.389</v>
      </c>
      <c r="I144" s="1">
        <v>509.8</v>
      </c>
      <c r="J144" s="1">
        <v>423.9</v>
      </c>
      <c r="K144" s="1">
        <v>31483.0</v>
      </c>
      <c r="L144" s="1">
        <v>100.0</v>
      </c>
      <c r="M144" s="23">
        <v>16.505</v>
      </c>
      <c r="N144" s="64">
        <f t="shared" ref="N144:O144" si="141">if(G144&gt;100%,100%,G144)</f>
        <v>0.885</v>
      </c>
      <c r="O144" s="23">
        <f t="shared" si="141"/>
        <v>1</v>
      </c>
    </row>
    <row r="145">
      <c r="A145" s="1">
        <v>270.0</v>
      </c>
      <c r="B145" s="1">
        <v>20946.0</v>
      </c>
      <c r="C145" s="23">
        <v>18.3</v>
      </c>
      <c r="D145" s="23">
        <v>19.0</v>
      </c>
      <c r="E145" s="23">
        <v>1.991</v>
      </c>
      <c r="F145" s="61">
        <v>1067.8</v>
      </c>
      <c r="G145" s="23">
        <v>0.885</v>
      </c>
      <c r="H145" s="23">
        <v>0.389</v>
      </c>
      <c r="I145" s="1">
        <v>509.8</v>
      </c>
      <c r="J145" s="1">
        <v>423.9</v>
      </c>
      <c r="K145" s="1">
        <v>28823.0</v>
      </c>
      <c r="L145" s="1">
        <v>99.0</v>
      </c>
      <c r="M145" s="23">
        <v>16.535</v>
      </c>
      <c r="N145" s="64">
        <f t="shared" ref="N145:O145" si="142">if(G145&gt;100%,100%,G145)</f>
        <v>0.885</v>
      </c>
      <c r="O145" s="23">
        <f t="shared" si="142"/>
        <v>0.389</v>
      </c>
    </row>
    <row r="146">
      <c r="A146" s="1">
        <v>272.0</v>
      </c>
      <c r="B146" s="1">
        <v>20946.0</v>
      </c>
      <c r="C146" s="23">
        <v>17.791</v>
      </c>
      <c r="D146" s="23">
        <v>18.39</v>
      </c>
      <c r="E146" s="23">
        <v>1.991</v>
      </c>
      <c r="F146" s="61">
        <v>1054.8</v>
      </c>
      <c r="G146" s="23">
        <v>0.885</v>
      </c>
      <c r="H146" s="23">
        <v>0.399</v>
      </c>
      <c r="I146" s="1">
        <v>509.8</v>
      </c>
      <c r="J146" s="1">
        <v>423.9</v>
      </c>
      <c r="K146" s="1">
        <v>28823.0</v>
      </c>
      <c r="L146" s="1">
        <v>100.0</v>
      </c>
      <c r="M146" s="23">
        <v>16.535</v>
      </c>
      <c r="N146" s="64">
        <f t="shared" ref="N146:O146" si="143">if(G146&gt;100%,100%,G146)</f>
        <v>0.885</v>
      </c>
      <c r="O146" s="23">
        <f t="shared" si="143"/>
        <v>0.399</v>
      </c>
    </row>
    <row r="147">
      <c r="A147" s="1">
        <v>274.0</v>
      </c>
      <c r="B147" s="1">
        <v>20946.0</v>
      </c>
      <c r="C147" s="23">
        <v>17.803</v>
      </c>
      <c r="D147" s="23">
        <v>19.455</v>
      </c>
      <c r="E147" s="23">
        <v>1.991</v>
      </c>
      <c r="F147" s="61">
        <v>1069.8</v>
      </c>
      <c r="G147" s="23">
        <v>0.885</v>
      </c>
      <c r="H147" s="23">
        <v>0.399</v>
      </c>
      <c r="I147" s="1">
        <v>509.8</v>
      </c>
      <c r="J147" s="1">
        <v>423.9</v>
      </c>
      <c r="K147" s="1">
        <v>28823.0</v>
      </c>
      <c r="L147" s="1">
        <v>100.0</v>
      </c>
      <c r="M147" s="23">
        <v>16.494</v>
      </c>
      <c r="N147" s="64">
        <f t="shared" ref="N147:O147" si="144">if(G147&gt;100%,100%,G147)</f>
        <v>0.885</v>
      </c>
      <c r="O147" s="23">
        <f t="shared" si="144"/>
        <v>0.399</v>
      </c>
    </row>
    <row r="148">
      <c r="A148" s="1">
        <v>276.0</v>
      </c>
      <c r="B148" s="1">
        <v>20946.0</v>
      </c>
      <c r="C148" s="26">
        <v>17.339</v>
      </c>
      <c r="D148" s="23">
        <v>19.85</v>
      </c>
      <c r="E148" s="23">
        <v>2.1</v>
      </c>
      <c r="F148" s="61">
        <v>1030.5</v>
      </c>
      <c r="G148" s="23">
        <v>0.872</v>
      </c>
      <c r="H148" s="23">
        <v>0.381</v>
      </c>
      <c r="I148" s="1">
        <v>509.8</v>
      </c>
      <c r="J148" s="1">
        <v>384.6</v>
      </c>
      <c r="K148" s="1">
        <v>28823.0</v>
      </c>
      <c r="L148" s="1">
        <v>100.0</v>
      </c>
      <c r="M148" s="23">
        <v>16.494</v>
      </c>
      <c r="N148" s="64">
        <f t="shared" ref="N148:O148" si="145">if(G148&gt;100%,100%,G148)</f>
        <v>0.872</v>
      </c>
      <c r="O148" s="23">
        <f t="shared" si="145"/>
        <v>0.381</v>
      </c>
    </row>
    <row r="149">
      <c r="A149" s="1">
        <v>278.0</v>
      </c>
      <c r="B149" s="1">
        <v>20946.0</v>
      </c>
      <c r="C149" s="23">
        <v>18.175</v>
      </c>
      <c r="D149" s="23">
        <v>19.85</v>
      </c>
      <c r="E149" s="23">
        <v>2.1</v>
      </c>
      <c r="F149" s="61">
        <v>1069.8</v>
      </c>
      <c r="G149" s="23">
        <v>0.885</v>
      </c>
      <c r="H149" s="23">
        <v>0.381</v>
      </c>
      <c r="I149" s="1">
        <v>509.8</v>
      </c>
      <c r="J149" s="1">
        <v>423.9</v>
      </c>
      <c r="K149" s="1">
        <v>28823.0</v>
      </c>
      <c r="L149" s="1">
        <v>100.0</v>
      </c>
      <c r="M149" s="23">
        <v>16.495</v>
      </c>
      <c r="N149" s="64">
        <f t="shared" ref="N149:O149" si="146">if(G149&gt;100%,100%,G149)</f>
        <v>0.885</v>
      </c>
      <c r="O149" s="23">
        <f t="shared" si="146"/>
        <v>0.381</v>
      </c>
    </row>
    <row r="150">
      <c r="A150" s="1">
        <v>280.0</v>
      </c>
      <c r="B150" s="1">
        <v>20946.0</v>
      </c>
      <c r="C150" s="23">
        <v>18.164</v>
      </c>
      <c r="D150" s="23">
        <v>18.732</v>
      </c>
      <c r="E150" s="23">
        <v>2.373</v>
      </c>
      <c r="F150" s="61">
        <v>1069.8</v>
      </c>
      <c r="G150" s="23">
        <v>0.858</v>
      </c>
      <c r="H150" s="23">
        <v>0.381</v>
      </c>
      <c r="I150" s="1">
        <v>509.8</v>
      </c>
      <c r="J150" s="1">
        <v>341.9</v>
      </c>
      <c r="K150" s="1">
        <v>28823.0</v>
      </c>
      <c r="L150" s="1">
        <v>100.0</v>
      </c>
      <c r="M150" s="26">
        <v>16.495</v>
      </c>
      <c r="N150" s="64">
        <f t="shared" ref="N150:O150" si="147">if(G150&gt;100%,100%,G150)</f>
        <v>0.858</v>
      </c>
      <c r="O150" s="23">
        <f t="shared" si="147"/>
        <v>0.381</v>
      </c>
    </row>
    <row r="151">
      <c r="A151" s="1">
        <v>282.0</v>
      </c>
      <c r="B151" s="1">
        <v>20946.0</v>
      </c>
      <c r="C151" s="23">
        <v>18.187</v>
      </c>
      <c r="D151" s="23">
        <v>18.377</v>
      </c>
      <c r="E151" s="23">
        <v>2.242</v>
      </c>
      <c r="F151" s="61">
        <v>1069.8</v>
      </c>
      <c r="G151" s="23">
        <v>0.858</v>
      </c>
      <c r="H151" s="23">
        <v>0.371</v>
      </c>
      <c r="I151" s="1">
        <v>509.8</v>
      </c>
      <c r="J151" s="1">
        <v>341.9</v>
      </c>
      <c r="K151" s="1">
        <v>28823.0</v>
      </c>
      <c r="L151" s="1">
        <v>100.0</v>
      </c>
      <c r="M151" s="26">
        <v>16.425</v>
      </c>
      <c r="N151" s="64">
        <f t="shared" ref="N151:O151" si="148">if(G151&gt;100%,100%,G151)</f>
        <v>0.858</v>
      </c>
      <c r="O151" s="23">
        <f t="shared" si="148"/>
        <v>0.371</v>
      </c>
    </row>
    <row r="152">
      <c r="A152" s="1">
        <v>284.0</v>
      </c>
      <c r="B152" s="1">
        <v>20946.0</v>
      </c>
      <c r="C152" s="26">
        <v>19.893</v>
      </c>
      <c r="D152" s="23">
        <v>20.072</v>
      </c>
      <c r="E152" s="23">
        <v>2.242</v>
      </c>
      <c r="F152" s="61">
        <v>1069.8</v>
      </c>
      <c r="G152" s="23">
        <v>0.858</v>
      </c>
      <c r="H152" s="23">
        <v>0.396</v>
      </c>
      <c r="I152" s="1">
        <v>509.8</v>
      </c>
      <c r="J152" s="1">
        <v>341.9</v>
      </c>
      <c r="K152" s="1">
        <v>28823.0</v>
      </c>
      <c r="L152" s="1">
        <v>100.0</v>
      </c>
      <c r="M152" s="26">
        <v>16.425</v>
      </c>
      <c r="N152" s="64">
        <f t="shared" ref="N152:O152" si="149">if(G152&gt;100%,100%,G152)</f>
        <v>0.858</v>
      </c>
      <c r="O152" s="23">
        <f t="shared" si="149"/>
        <v>0.396</v>
      </c>
    </row>
    <row r="153">
      <c r="A153" s="1">
        <v>286.0</v>
      </c>
      <c r="B153" s="1">
        <v>26745.0</v>
      </c>
      <c r="C153" s="23">
        <v>22.255</v>
      </c>
      <c r="D153" s="23">
        <v>26.792</v>
      </c>
      <c r="E153" s="23">
        <v>1.757</v>
      </c>
      <c r="F153" s="61">
        <v>1095.8</v>
      </c>
      <c r="G153" s="23">
        <v>0.858</v>
      </c>
      <c r="H153" s="23">
        <v>0.396</v>
      </c>
      <c r="I153" s="1">
        <v>509.8</v>
      </c>
      <c r="J153" s="1">
        <v>341.9</v>
      </c>
      <c r="K153" s="1">
        <v>36802.0</v>
      </c>
      <c r="L153" s="1">
        <v>100.0</v>
      </c>
      <c r="M153" s="26">
        <v>16.542</v>
      </c>
      <c r="N153" s="64">
        <f t="shared" ref="N153:O153" si="150">if(G153&gt;100%,100%,G153)</f>
        <v>0.858</v>
      </c>
      <c r="O153" s="23">
        <f t="shared" si="150"/>
        <v>0.396</v>
      </c>
    </row>
    <row r="154">
      <c r="A154" s="1">
        <v>288.0</v>
      </c>
      <c r="B154" s="1">
        <v>28678.0</v>
      </c>
      <c r="C154" s="23">
        <v>23.159</v>
      </c>
      <c r="D154" s="23">
        <v>28.2</v>
      </c>
      <c r="E154" s="23">
        <v>1.757</v>
      </c>
      <c r="F154" s="61">
        <v>1101.8</v>
      </c>
      <c r="G154" s="23">
        <v>0.858</v>
      </c>
      <c r="H154" s="23">
        <v>0.396</v>
      </c>
      <c r="I154" s="1">
        <v>509.8</v>
      </c>
      <c r="J154" s="1">
        <v>341.9</v>
      </c>
      <c r="K154" s="1">
        <v>39462.0</v>
      </c>
      <c r="L154" s="1">
        <v>100.0</v>
      </c>
      <c r="M154" s="26">
        <v>16.542</v>
      </c>
      <c r="N154" s="64">
        <f t="shared" ref="N154:O154" si="151">if(G154&gt;100%,100%,G154)</f>
        <v>0.858</v>
      </c>
      <c r="O154" s="23">
        <f t="shared" si="151"/>
        <v>0.396</v>
      </c>
    </row>
    <row r="155">
      <c r="A155" s="1">
        <v>290.0</v>
      </c>
      <c r="B155" s="1">
        <v>28678.0</v>
      </c>
      <c r="C155" s="23">
        <v>23.114</v>
      </c>
      <c r="D155" s="23">
        <v>28.263</v>
      </c>
      <c r="E155" s="23">
        <v>1.757</v>
      </c>
      <c r="F155" s="61">
        <v>1101.8</v>
      </c>
      <c r="G155" s="23">
        <v>0.858</v>
      </c>
      <c r="H155" s="23">
        <v>0.396</v>
      </c>
      <c r="I155" s="1">
        <v>509.8</v>
      </c>
      <c r="J155" s="1">
        <v>341.9</v>
      </c>
      <c r="K155" s="1">
        <v>39462.0</v>
      </c>
      <c r="L155" s="1">
        <v>100.0</v>
      </c>
      <c r="M155" s="23">
        <v>16.523</v>
      </c>
      <c r="N155" s="64">
        <f t="shared" ref="N155:O155" si="152">if(G155&gt;100%,100%,G155)</f>
        <v>0.858</v>
      </c>
      <c r="O155" s="23">
        <f t="shared" si="152"/>
        <v>0.396</v>
      </c>
    </row>
    <row r="156">
      <c r="A156" s="1">
        <v>292.0</v>
      </c>
      <c r="B156" s="1">
        <v>28678.0</v>
      </c>
      <c r="C156" s="23">
        <v>22.741</v>
      </c>
      <c r="D156" s="23">
        <v>31.849</v>
      </c>
      <c r="E156" s="23">
        <v>1.757</v>
      </c>
      <c r="F156" s="61">
        <v>1101.8</v>
      </c>
      <c r="G156" s="23">
        <v>0.858</v>
      </c>
      <c r="H156" s="23">
        <v>0.396</v>
      </c>
      <c r="I156" s="1">
        <v>509.8</v>
      </c>
      <c r="J156" s="1">
        <v>341.9</v>
      </c>
      <c r="K156" s="1">
        <v>39462.0</v>
      </c>
      <c r="L156" s="1">
        <v>100.0</v>
      </c>
      <c r="M156" s="23">
        <v>16.523</v>
      </c>
      <c r="N156" s="64">
        <f t="shared" ref="N156:O156" si="153">if(G156&gt;100%,100%,G156)</f>
        <v>0.858</v>
      </c>
      <c r="O156" s="23">
        <f t="shared" si="153"/>
        <v>0.396</v>
      </c>
    </row>
    <row r="157">
      <c r="A157" s="1">
        <v>294.0</v>
      </c>
      <c r="B157" s="1">
        <v>28678.0</v>
      </c>
      <c r="C157" s="23">
        <v>21.814</v>
      </c>
      <c r="D157" s="23">
        <v>26.447</v>
      </c>
      <c r="E157" s="23">
        <v>1.757</v>
      </c>
      <c r="F157" s="61">
        <v>1086.8</v>
      </c>
      <c r="G157" s="23">
        <v>0.885</v>
      </c>
      <c r="H157" s="23">
        <v>0.396</v>
      </c>
      <c r="I157" s="1">
        <v>509.8</v>
      </c>
      <c r="J157" s="1">
        <v>423.9</v>
      </c>
      <c r="K157" s="1">
        <v>39462.0</v>
      </c>
      <c r="L157" s="1">
        <v>100.0</v>
      </c>
      <c r="M157" s="23">
        <v>16.506</v>
      </c>
      <c r="N157" s="64">
        <f t="shared" ref="N157:O157" si="154">if(G157&gt;100%,100%,G157)</f>
        <v>0.885</v>
      </c>
      <c r="O157" s="23">
        <f t="shared" si="154"/>
        <v>0.396</v>
      </c>
    </row>
    <row r="158">
      <c r="A158" s="1">
        <v>296.0</v>
      </c>
      <c r="B158" s="1">
        <v>28678.0</v>
      </c>
      <c r="C158" s="23">
        <v>22.345</v>
      </c>
      <c r="D158" s="23">
        <v>26.447</v>
      </c>
      <c r="E158" s="23">
        <v>1.657</v>
      </c>
      <c r="F158" s="61">
        <v>1086.8</v>
      </c>
      <c r="G158" s="23">
        <v>0.904</v>
      </c>
      <c r="H158" s="23">
        <v>0.406</v>
      </c>
      <c r="I158" s="1">
        <v>509.8</v>
      </c>
      <c r="J158" s="1">
        <v>483.1</v>
      </c>
      <c r="K158" s="1">
        <v>39462.0</v>
      </c>
      <c r="L158" s="1">
        <v>100.0</v>
      </c>
      <c r="M158" s="23">
        <v>16.506</v>
      </c>
      <c r="N158" s="64">
        <f t="shared" ref="N158:O158" si="155">if(G158&gt;100%,100%,G158)</f>
        <v>0.904</v>
      </c>
      <c r="O158" s="23">
        <f t="shared" si="155"/>
        <v>0.406</v>
      </c>
    </row>
    <row r="159">
      <c r="A159" s="1">
        <v>298.0</v>
      </c>
      <c r="B159" s="1">
        <v>24001.0</v>
      </c>
      <c r="C159" s="23">
        <v>22.402</v>
      </c>
      <c r="D159" s="23">
        <v>26.475</v>
      </c>
      <c r="E159" s="23">
        <v>1.237</v>
      </c>
      <c r="F159" s="61">
        <v>1086.8</v>
      </c>
      <c r="G159" s="23">
        <v>0.904</v>
      </c>
      <c r="H159" s="23">
        <v>0.406</v>
      </c>
      <c r="I159" s="1">
        <v>618.9</v>
      </c>
      <c r="J159" s="1">
        <v>483.1</v>
      </c>
      <c r="K159" s="1">
        <v>33026.0</v>
      </c>
      <c r="L159" s="1">
        <v>100.0</v>
      </c>
      <c r="M159" s="23">
        <v>16.506</v>
      </c>
      <c r="N159" s="64">
        <f t="shared" ref="N159:O159" si="156">if(G159&gt;100%,100%,G159)</f>
        <v>0.904</v>
      </c>
      <c r="O159" s="23">
        <f t="shared" si="156"/>
        <v>0.406</v>
      </c>
    </row>
    <row r="160">
      <c r="A160" s="1">
        <v>300.0</v>
      </c>
      <c r="B160" s="1">
        <v>24001.0</v>
      </c>
      <c r="C160" s="23">
        <v>20.684</v>
      </c>
      <c r="D160" s="23">
        <v>24.618</v>
      </c>
      <c r="E160" s="23">
        <v>1.237</v>
      </c>
      <c r="F160" s="61">
        <v>1086.8</v>
      </c>
      <c r="G160" s="23">
        <v>0.904</v>
      </c>
      <c r="H160" s="23">
        <v>0.406</v>
      </c>
      <c r="I160" s="1">
        <v>618.9</v>
      </c>
      <c r="J160" s="1">
        <v>483.1</v>
      </c>
      <c r="K160" s="1">
        <v>33026.0</v>
      </c>
      <c r="L160" s="1">
        <v>100.0</v>
      </c>
      <c r="M160" s="23">
        <v>16.526</v>
      </c>
      <c r="N160" s="64">
        <f t="shared" ref="N160:O160" si="157">if(G160&gt;100%,100%,G160)</f>
        <v>0.904</v>
      </c>
      <c r="O160" s="23">
        <f t="shared" si="157"/>
        <v>0.406</v>
      </c>
    </row>
    <row r="161">
      <c r="A161" s="1">
        <v>302.0</v>
      </c>
      <c r="B161" s="1">
        <v>16269.0</v>
      </c>
      <c r="C161" s="23">
        <v>19.588</v>
      </c>
      <c r="D161" s="23">
        <v>19.765</v>
      </c>
      <c r="E161" s="23">
        <v>1.657</v>
      </c>
      <c r="F161" s="61">
        <v>1067.8</v>
      </c>
      <c r="G161" s="23">
        <v>0.904</v>
      </c>
      <c r="H161" s="23">
        <v>0.406</v>
      </c>
      <c r="I161" s="1">
        <v>618.9</v>
      </c>
      <c r="J161" s="1">
        <v>483.1</v>
      </c>
      <c r="K161" s="1">
        <v>22387.0</v>
      </c>
      <c r="L161" s="1">
        <v>100.0</v>
      </c>
      <c r="M161" s="23">
        <v>16.526</v>
      </c>
      <c r="N161" s="64">
        <f t="shared" ref="N161:O161" si="158">if(G161&gt;100%,100%,G161)</f>
        <v>0.904</v>
      </c>
      <c r="O161" s="23">
        <f t="shared" si="158"/>
        <v>0.406</v>
      </c>
    </row>
    <row r="162">
      <c r="A162" s="1">
        <v>304.0</v>
      </c>
      <c r="B162" s="1">
        <v>20946.0</v>
      </c>
      <c r="C162" s="26">
        <v>18.311</v>
      </c>
      <c r="D162" s="23">
        <v>17.407</v>
      </c>
      <c r="E162" s="23">
        <v>1.657</v>
      </c>
      <c r="F162" s="61">
        <v>1054.8</v>
      </c>
      <c r="G162" s="23">
        <v>0.904</v>
      </c>
      <c r="H162" s="23">
        <v>0.399</v>
      </c>
      <c r="I162" s="1">
        <v>618.9</v>
      </c>
      <c r="J162" s="1">
        <v>483.1</v>
      </c>
      <c r="K162" s="1">
        <v>28823.0</v>
      </c>
      <c r="L162" s="1">
        <v>100.0</v>
      </c>
      <c r="M162" s="23">
        <v>16.397</v>
      </c>
      <c r="N162" s="64">
        <f t="shared" ref="N162:O162" si="159">if(G162&gt;100%,100%,G162)</f>
        <v>0.904</v>
      </c>
      <c r="O162" s="23">
        <f t="shared" si="159"/>
        <v>0.399</v>
      </c>
    </row>
    <row r="163">
      <c r="A163" s="1">
        <v>306.0</v>
      </c>
      <c r="B163" s="1">
        <v>20946.0</v>
      </c>
      <c r="C163" s="23">
        <v>18.311</v>
      </c>
      <c r="D163" s="23">
        <v>17.407</v>
      </c>
      <c r="E163" s="23">
        <v>1.657</v>
      </c>
      <c r="F163" s="61">
        <v>1054.8</v>
      </c>
      <c r="G163" s="23">
        <v>0.904</v>
      </c>
      <c r="H163" s="23">
        <v>0.399</v>
      </c>
      <c r="I163" s="1">
        <v>618.9</v>
      </c>
      <c r="J163" s="1">
        <v>483.1</v>
      </c>
      <c r="K163" s="1">
        <v>28823.0</v>
      </c>
      <c r="L163" s="1">
        <v>100.0</v>
      </c>
      <c r="M163" s="23">
        <v>16.397</v>
      </c>
      <c r="N163" s="64">
        <f t="shared" ref="N163:O163" si="160">if(G163&gt;100%,100%,G163)</f>
        <v>0.904</v>
      </c>
      <c r="O163" s="23">
        <f t="shared" si="160"/>
        <v>0.399</v>
      </c>
    </row>
    <row r="164">
      <c r="A164" s="1">
        <v>308.0</v>
      </c>
      <c r="B164" s="1">
        <v>20946.0</v>
      </c>
      <c r="C164" s="23">
        <v>17.972</v>
      </c>
      <c r="D164" s="23">
        <v>17.073</v>
      </c>
      <c r="E164" s="23">
        <v>1.657</v>
      </c>
      <c r="F164" s="61">
        <v>1054.8</v>
      </c>
      <c r="G164" s="23">
        <v>0.904</v>
      </c>
      <c r="H164" s="23">
        <v>0.399</v>
      </c>
      <c r="I164" s="1">
        <v>618.9</v>
      </c>
      <c r="J164" s="1">
        <v>483.1</v>
      </c>
      <c r="K164" s="1">
        <v>28823.0</v>
      </c>
      <c r="L164" s="1">
        <v>100.0</v>
      </c>
      <c r="M164" s="23">
        <v>16.353</v>
      </c>
      <c r="N164" s="64">
        <f t="shared" ref="N164:O164" si="161">if(G164&gt;100%,100%,G164)</f>
        <v>0.904</v>
      </c>
      <c r="O164" s="23">
        <f t="shared" si="161"/>
        <v>0.399</v>
      </c>
    </row>
    <row r="165">
      <c r="A165" s="1">
        <v>310.0</v>
      </c>
      <c r="B165" s="1">
        <v>20946.0</v>
      </c>
      <c r="C165" s="23">
        <v>18.311</v>
      </c>
      <c r="D165" s="23">
        <v>17.127</v>
      </c>
      <c r="E165" s="23">
        <v>1.657</v>
      </c>
      <c r="F165" s="61">
        <v>1054.8</v>
      </c>
      <c r="G165" s="23">
        <v>0.977</v>
      </c>
      <c r="H165" s="23">
        <v>0.429</v>
      </c>
      <c r="I165" s="1">
        <v>618.9</v>
      </c>
      <c r="J165" s="1">
        <v>401.2</v>
      </c>
      <c r="K165" s="1">
        <v>28823.0</v>
      </c>
      <c r="L165" s="1">
        <v>100.0</v>
      </c>
      <c r="M165" s="23">
        <v>16.353</v>
      </c>
      <c r="N165" s="64">
        <f t="shared" ref="N165:O165" si="162">if(G165&gt;100%,100%,G165)</f>
        <v>0.977</v>
      </c>
      <c r="O165" s="23">
        <f t="shared" si="162"/>
        <v>0.429</v>
      </c>
    </row>
    <row r="166">
      <c r="A166" s="1">
        <v>312.0</v>
      </c>
      <c r="B166" s="1">
        <v>20946.0</v>
      </c>
      <c r="C166" s="23">
        <v>18.311</v>
      </c>
      <c r="D166" s="23">
        <v>17.287</v>
      </c>
      <c r="E166" s="23">
        <v>1.657</v>
      </c>
      <c r="F166" s="61">
        <v>1069.8</v>
      </c>
      <c r="G166" s="23">
        <v>0.977</v>
      </c>
      <c r="H166" s="23">
        <v>0.429</v>
      </c>
      <c r="I166" s="1">
        <v>618.9</v>
      </c>
      <c r="J166" s="1">
        <v>401.2</v>
      </c>
      <c r="K166" s="1">
        <v>28823.0</v>
      </c>
      <c r="L166" s="1">
        <v>100.0</v>
      </c>
      <c r="M166" s="23">
        <v>16.341</v>
      </c>
      <c r="N166" s="64">
        <f t="shared" ref="N166:O166" si="163">if(G166&gt;100%,100%,G166)</f>
        <v>0.977</v>
      </c>
      <c r="O166" s="23">
        <f t="shared" si="163"/>
        <v>0.429</v>
      </c>
    </row>
    <row r="167">
      <c r="A167" s="1">
        <v>314.0</v>
      </c>
      <c r="B167" s="1">
        <v>20277.0</v>
      </c>
      <c r="C167" s="23">
        <v>17.769</v>
      </c>
      <c r="D167" s="26">
        <v>17.395</v>
      </c>
      <c r="E167" s="23">
        <v>1.657</v>
      </c>
      <c r="F167" s="61">
        <v>1069.8</v>
      </c>
      <c r="G167" s="23">
        <v>0.977</v>
      </c>
      <c r="H167" s="23">
        <v>0.429</v>
      </c>
      <c r="I167" s="1">
        <v>618.9</v>
      </c>
      <c r="J167" s="1">
        <v>401.2</v>
      </c>
      <c r="K167" s="1">
        <v>28823.0</v>
      </c>
      <c r="L167" s="1">
        <v>100.0</v>
      </c>
      <c r="M167" s="23">
        <v>16.341</v>
      </c>
      <c r="N167" s="64">
        <f t="shared" ref="N167:O167" si="164">if(G167&gt;100%,100%,G167)</f>
        <v>0.977</v>
      </c>
      <c r="O167" s="23">
        <f t="shared" si="164"/>
        <v>0.429</v>
      </c>
    </row>
    <row r="168">
      <c r="A168" s="1" t="s">
        <v>495</v>
      </c>
      <c r="B168" s="1" t="s">
        <v>492</v>
      </c>
      <c r="C168" s="23"/>
      <c r="D168" s="23"/>
      <c r="E168" s="23"/>
      <c r="F168" s="61"/>
      <c r="G168" s="23"/>
      <c r="H168" s="23"/>
      <c r="I168" s="1"/>
      <c r="J168" s="1"/>
      <c r="K168" s="1"/>
      <c r="N168" s="64" t="str">
        <f t="shared" ref="N168:O168" si="165">if(G168&gt;100%,100%,G168)</f>
        <v/>
      </c>
      <c r="O168" s="23" t="str">
        <f t="shared" si="165"/>
        <v/>
      </c>
    </row>
    <row r="169">
      <c r="A169" s="1">
        <v>316.0</v>
      </c>
      <c r="B169" s="1">
        <v>20946.0</v>
      </c>
      <c r="C169" s="23">
        <v>17.43</v>
      </c>
      <c r="D169" s="23">
        <v>17.067</v>
      </c>
      <c r="E169" s="23">
        <v>1.657</v>
      </c>
      <c r="F169" s="61">
        <v>1069.8</v>
      </c>
      <c r="G169" s="23">
        <v>0.977</v>
      </c>
      <c r="H169" s="23">
        <v>0.429</v>
      </c>
      <c r="I169" s="1">
        <v>618.9</v>
      </c>
      <c r="J169" s="1">
        <v>401.2</v>
      </c>
      <c r="K169" s="1">
        <v>28823.0</v>
      </c>
      <c r="L169" s="1">
        <v>100.0</v>
      </c>
      <c r="M169" s="26">
        <v>16.32</v>
      </c>
      <c r="N169" s="64">
        <f t="shared" ref="N169:O169" si="166">if(G169&gt;100%,100%,G169)</f>
        <v>0.977</v>
      </c>
      <c r="O169" s="23">
        <f t="shared" si="166"/>
        <v>0.429</v>
      </c>
    </row>
    <row r="170">
      <c r="A170" s="1">
        <v>318.0</v>
      </c>
      <c r="B170" s="1">
        <v>20946.0</v>
      </c>
      <c r="C170" s="23">
        <v>17.791</v>
      </c>
      <c r="D170" s="23">
        <v>18.471</v>
      </c>
      <c r="E170" s="23">
        <v>1.527</v>
      </c>
      <c r="F170" s="61">
        <v>1069.8</v>
      </c>
      <c r="G170" s="23">
        <v>0.971</v>
      </c>
      <c r="H170" s="23">
        <v>0.426</v>
      </c>
      <c r="I170" s="1">
        <v>618.9</v>
      </c>
      <c r="J170" s="1">
        <v>381.4</v>
      </c>
      <c r="K170" s="1">
        <v>28823.0</v>
      </c>
      <c r="L170" s="1">
        <v>100.0</v>
      </c>
      <c r="M170" s="26">
        <v>16.32</v>
      </c>
      <c r="N170" s="64">
        <f t="shared" ref="N170:O170" si="167">if(G170&gt;100%,100%,G170)</f>
        <v>0.971</v>
      </c>
      <c r="O170" s="23">
        <f t="shared" si="167"/>
        <v>0.426</v>
      </c>
    </row>
    <row r="171">
      <c r="A171" s="1">
        <v>320.0</v>
      </c>
      <c r="B171" s="1">
        <v>20946.0</v>
      </c>
      <c r="C171" s="23">
        <v>18.278</v>
      </c>
      <c r="D171" s="23">
        <v>18.394</v>
      </c>
      <c r="E171" s="23">
        <v>1.527</v>
      </c>
      <c r="F171" s="61">
        <v>1069.8</v>
      </c>
      <c r="G171" s="23">
        <v>0.877</v>
      </c>
      <c r="H171" s="23">
        <v>0.396</v>
      </c>
      <c r="I171" s="1">
        <v>618.9</v>
      </c>
      <c r="J171" s="1">
        <v>401.2</v>
      </c>
      <c r="K171" s="1">
        <v>28823.0</v>
      </c>
      <c r="L171" s="1">
        <v>100.0</v>
      </c>
      <c r="M171" s="23">
        <v>16.467</v>
      </c>
      <c r="N171" s="64">
        <f t="shared" ref="N171:O171" si="168">if(G171&gt;100%,100%,G171)</f>
        <v>0.877</v>
      </c>
      <c r="O171" s="23">
        <f t="shared" si="168"/>
        <v>0.396</v>
      </c>
    </row>
    <row r="172">
      <c r="A172" s="1">
        <v>322.0</v>
      </c>
      <c r="B172" s="1">
        <v>20720.0</v>
      </c>
      <c r="C172" s="26">
        <v>18.278</v>
      </c>
      <c r="D172" s="23">
        <v>18.048</v>
      </c>
      <c r="E172" s="23">
        <v>1.527</v>
      </c>
      <c r="F172" s="61">
        <v>1069.8</v>
      </c>
      <c r="G172" s="23">
        <v>0.877</v>
      </c>
      <c r="H172" s="23">
        <v>0.396</v>
      </c>
      <c r="I172" s="1">
        <v>618.9</v>
      </c>
      <c r="J172" s="1">
        <v>401.2</v>
      </c>
      <c r="K172" s="1">
        <v>28823.0</v>
      </c>
      <c r="L172" s="1">
        <v>100.0</v>
      </c>
      <c r="M172" s="23">
        <v>16.467</v>
      </c>
      <c r="N172" s="64">
        <f t="shared" ref="N172:O172" si="169">if(G172&gt;100%,100%,G172)</f>
        <v>0.877</v>
      </c>
      <c r="O172" s="23">
        <f t="shared" si="169"/>
        <v>0.396</v>
      </c>
    </row>
    <row r="173">
      <c r="A173" s="1">
        <v>324.0</v>
      </c>
      <c r="B173" s="1">
        <v>20720.0</v>
      </c>
      <c r="C173" s="26">
        <v>18.64</v>
      </c>
      <c r="D173" s="23">
        <v>18.532</v>
      </c>
      <c r="E173" s="23">
        <v>1.527</v>
      </c>
      <c r="F173" s="61">
        <v>1054.8</v>
      </c>
      <c r="G173" s="23">
        <v>0.877</v>
      </c>
      <c r="H173" s="23">
        <v>1.371</v>
      </c>
      <c r="I173" s="1">
        <v>618.9</v>
      </c>
      <c r="J173" s="1">
        <v>401.2</v>
      </c>
      <c r="K173" s="1">
        <v>28823.0</v>
      </c>
      <c r="L173" s="1">
        <v>100.0</v>
      </c>
      <c r="M173" s="23">
        <v>16.454</v>
      </c>
      <c r="N173" s="64">
        <f t="shared" ref="N173:O173" si="170">if(G173&gt;100%,100%,G173)</f>
        <v>0.877</v>
      </c>
      <c r="O173" s="23">
        <f t="shared" si="170"/>
        <v>1</v>
      </c>
    </row>
    <row r="174">
      <c r="A174" s="1">
        <v>326.0</v>
      </c>
      <c r="B174" s="1">
        <v>22632.0</v>
      </c>
      <c r="C174" s="23">
        <v>18.504</v>
      </c>
      <c r="D174" s="23">
        <v>19.478</v>
      </c>
      <c r="E174" s="23">
        <v>1.527</v>
      </c>
      <c r="F174" s="61">
        <v>1067.8</v>
      </c>
      <c r="G174" s="23">
        <v>0.904</v>
      </c>
      <c r="H174" s="23">
        <v>1.364</v>
      </c>
      <c r="I174" s="1">
        <v>618.9</v>
      </c>
      <c r="J174" s="1">
        <v>483.1</v>
      </c>
      <c r="K174" s="1">
        <v>31483.0</v>
      </c>
      <c r="L174" s="1">
        <v>100.0</v>
      </c>
      <c r="M174" s="23">
        <v>16.454</v>
      </c>
      <c r="N174" s="64">
        <f t="shared" ref="N174:O174" si="171">if(G174&gt;100%,100%,G174)</f>
        <v>0.904</v>
      </c>
      <c r="O174" s="23">
        <f t="shared" si="171"/>
        <v>1</v>
      </c>
    </row>
    <row r="175">
      <c r="A175" s="1">
        <v>329.0</v>
      </c>
      <c r="B175" s="1">
        <v>22632.0</v>
      </c>
      <c r="C175" s="23">
        <v>18.212</v>
      </c>
      <c r="D175" s="26">
        <v>19.195</v>
      </c>
      <c r="E175" s="23">
        <v>1.107</v>
      </c>
      <c r="F175" s="61">
        <v>1067.8</v>
      </c>
      <c r="G175" s="23">
        <v>0.904</v>
      </c>
      <c r="H175" s="23">
        <v>1.374</v>
      </c>
      <c r="I175" s="1">
        <v>618.9</v>
      </c>
      <c r="J175" s="1">
        <v>483.1</v>
      </c>
      <c r="K175" s="1">
        <v>31483.0</v>
      </c>
      <c r="L175" s="1">
        <v>100.0</v>
      </c>
      <c r="M175" s="23">
        <v>16.454</v>
      </c>
      <c r="N175" s="64">
        <f t="shared" ref="N175:O175" si="172">if(G175&gt;100%,100%,G175)</f>
        <v>0.904</v>
      </c>
      <c r="O175" s="23">
        <f t="shared" si="172"/>
        <v>1</v>
      </c>
    </row>
    <row r="176">
      <c r="A176" s="1">
        <v>331.0</v>
      </c>
      <c r="B176" s="1">
        <v>22879.0</v>
      </c>
      <c r="C176" s="23">
        <v>17.714</v>
      </c>
      <c r="D176" s="26">
        <v>18.336</v>
      </c>
      <c r="E176" s="23">
        <v>1.107</v>
      </c>
      <c r="F176" s="61">
        <v>1067.8</v>
      </c>
      <c r="G176" s="23">
        <v>0.904</v>
      </c>
      <c r="H176" s="23">
        <v>0.399</v>
      </c>
      <c r="I176" s="1">
        <v>618.9</v>
      </c>
      <c r="J176" s="1">
        <v>483.1</v>
      </c>
      <c r="K176" s="1">
        <v>31483.0</v>
      </c>
      <c r="L176" s="1">
        <v>100.0</v>
      </c>
      <c r="M176" s="23">
        <v>16.555</v>
      </c>
      <c r="N176" s="64">
        <f t="shared" ref="N176:O176" si="173">if(G176&gt;100%,100%,G176)</f>
        <v>0.904</v>
      </c>
      <c r="O176" s="23">
        <f t="shared" si="173"/>
        <v>0.399</v>
      </c>
    </row>
    <row r="177">
      <c r="A177" s="1">
        <v>333.0</v>
      </c>
      <c r="B177" s="1">
        <v>22879.0</v>
      </c>
      <c r="C177" s="23">
        <v>18.8</v>
      </c>
      <c r="D177" s="26">
        <v>19.353</v>
      </c>
      <c r="E177" s="23">
        <v>1.107</v>
      </c>
      <c r="F177" s="61">
        <v>1067.8</v>
      </c>
      <c r="G177" s="23">
        <v>0.904</v>
      </c>
      <c r="H177" s="23">
        <v>0.399</v>
      </c>
      <c r="I177" s="1">
        <v>618.9</v>
      </c>
      <c r="J177" s="1">
        <v>483.1</v>
      </c>
      <c r="K177" s="1">
        <v>31483.0</v>
      </c>
      <c r="L177" s="1">
        <v>100.0</v>
      </c>
      <c r="M177" s="23">
        <v>16.555</v>
      </c>
      <c r="N177" s="64">
        <f t="shared" ref="N177:O177" si="174">if(G177&gt;100%,100%,G177)</f>
        <v>0.904</v>
      </c>
      <c r="O177" s="23">
        <f t="shared" si="174"/>
        <v>0.399</v>
      </c>
    </row>
    <row r="178">
      <c r="A178" s="1">
        <v>335.0</v>
      </c>
      <c r="B178" s="1">
        <v>22879.0</v>
      </c>
      <c r="C178" s="23">
        <v>18.236</v>
      </c>
      <c r="D178" s="26">
        <v>18.78</v>
      </c>
      <c r="E178" s="23">
        <v>1.407</v>
      </c>
      <c r="F178" s="61">
        <v>1082.8</v>
      </c>
      <c r="G178" s="23">
        <v>0.904</v>
      </c>
      <c r="H178" s="23">
        <v>0.399</v>
      </c>
      <c r="I178" s="1">
        <v>618.9</v>
      </c>
      <c r="J178" s="1">
        <v>483.1</v>
      </c>
      <c r="K178" s="1">
        <v>31483.0</v>
      </c>
      <c r="L178" s="1">
        <v>100.0</v>
      </c>
      <c r="M178" s="23">
        <v>16.519</v>
      </c>
      <c r="N178" s="64">
        <f t="shared" ref="N178:O178" si="175">if(G178&gt;100%,100%,G178)</f>
        <v>0.904</v>
      </c>
      <c r="O178" s="23">
        <f t="shared" si="175"/>
        <v>0.399</v>
      </c>
    </row>
    <row r="179">
      <c r="A179" s="1">
        <v>337.0</v>
      </c>
      <c r="B179" s="1">
        <v>22879.0</v>
      </c>
      <c r="C179" s="23">
        <v>18.542</v>
      </c>
      <c r="D179" s="26">
        <v>18.328</v>
      </c>
      <c r="E179" s="23">
        <v>1.407</v>
      </c>
      <c r="F179" s="61">
        <v>1082.8</v>
      </c>
      <c r="G179" s="23">
        <v>0.904</v>
      </c>
      <c r="H179" s="23">
        <v>0.406</v>
      </c>
      <c r="I179" s="1">
        <v>618.9</v>
      </c>
      <c r="J179" s="1">
        <v>483.1</v>
      </c>
      <c r="K179" s="1">
        <v>31483.0</v>
      </c>
      <c r="L179" s="1">
        <v>100.0</v>
      </c>
      <c r="M179" s="23">
        <v>16.519</v>
      </c>
      <c r="N179" s="64">
        <f t="shared" ref="N179:O179" si="176">if(G179&gt;100%,100%,G179)</f>
        <v>0.904</v>
      </c>
      <c r="O179" s="23">
        <f t="shared" si="176"/>
        <v>0.406</v>
      </c>
    </row>
    <row r="180">
      <c r="A180" s="1">
        <v>339.0</v>
      </c>
      <c r="B180" s="1">
        <v>22879.0</v>
      </c>
      <c r="C180" s="23">
        <v>18.53</v>
      </c>
      <c r="D180" s="26">
        <v>18.363</v>
      </c>
      <c r="E180" s="23">
        <v>1.407</v>
      </c>
      <c r="F180" s="61">
        <v>1082.8</v>
      </c>
      <c r="G180" s="23">
        <v>0.904</v>
      </c>
      <c r="H180" s="23">
        <v>0.396</v>
      </c>
      <c r="I180" s="1">
        <v>618.9</v>
      </c>
      <c r="J180" s="1">
        <v>483.1</v>
      </c>
      <c r="K180" s="1">
        <v>31483.0</v>
      </c>
      <c r="L180" s="1">
        <v>100.0</v>
      </c>
      <c r="M180" s="23">
        <v>16.428</v>
      </c>
      <c r="N180" s="64">
        <f t="shared" ref="N180:O180" si="177">if(G180&gt;100%,100%,G180)</f>
        <v>0.904</v>
      </c>
      <c r="O180" s="23">
        <f t="shared" si="177"/>
        <v>0.396</v>
      </c>
    </row>
    <row r="181">
      <c r="A181" s="1">
        <v>341.0</v>
      </c>
      <c r="B181" s="1">
        <v>20946.0</v>
      </c>
      <c r="C181" s="23">
        <v>18.349</v>
      </c>
      <c r="D181" s="26">
        <v>18.205</v>
      </c>
      <c r="E181" s="23">
        <v>1.407</v>
      </c>
      <c r="F181" s="61">
        <v>1069.8</v>
      </c>
      <c r="G181" s="23">
        <v>0.904</v>
      </c>
      <c r="H181" s="23">
        <v>0.396</v>
      </c>
      <c r="I181" s="1">
        <v>618.9</v>
      </c>
      <c r="J181" s="1">
        <v>483.1</v>
      </c>
      <c r="K181" s="1">
        <v>28823.0</v>
      </c>
      <c r="L181" s="1">
        <v>100.0</v>
      </c>
      <c r="M181" s="23">
        <v>16.278</v>
      </c>
      <c r="N181" s="64">
        <f t="shared" ref="N181:O181" si="178">if(G181&gt;100%,100%,G181)</f>
        <v>0.904</v>
      </c>
      <c r="O181" s="23">
        <f t="shared" si="178"/>
        <v>0.396</v>
      </c>
    </row>
    <row r="182">
      <c r="A182" s="1">
        <v>343.0</v>
      </c>
      <c r="B182" s="1">
        <v>20946.0</v>
      </c>
      <c r="C182" s="23">
        <v>18.022</v>
      </c>
      <c r="D182" s="23">
        <v>17.854</v>
      </c>
      <c r="E182" s="23">
        <v>1.407</v>
      </c>
      <c r="F182" s="61">
        <v>1069.8</v>
      </c>
      <c r="G182" s="23">
        <v>0.877</v>
      </c>
      <c r="H182" s="23">
        <v>0.396</v>
      </c>
      <c r="I182" s="1">
        <v>618.9</v>
      </c>
      <c r="J182" s="1">
        <v>401.2</v>
      </c>
      <c r="K182" s="1">
        <v>28823.0</v>
      </c>
      <c r="L182" s="1">
        <v>100.0</v>
      </c>
      <c r="M182" s="23">
        <v>16.222</v>
      </c>
      <c r="N182" s="64">
        <f t="shared" ref="N182:O182" si="179">if(G182&gt;100%,100%,G182)</f>
        <v>0.877</v>
      </c>
      <c r="O182" s="23">
        <f t="shared" si="179"/>
        <v>0.396</v>
      </c>
    </row>
    <row r="183">
      <c r="A183" s="1">
        <v>345.0</v>
      </c>
      <c r="B183" s="1">
        <v>20946.0</v>
      </c>
      <c r="C183" s="23">
        <v>18.01</v>
      </c>
      <c r="D183" s="23">
        <v>17.854</v>
      </c>
      <c r="E183" s="23">
        <v>1.407</v>
      </c>
      <c r="F183" s="61">
        <v>1069.8</v>
      </c>
      <c r="G183" s="23">
        <v>0.877</v>
      </c>
      <c r="H183" s="23">
        <v>0.396</v>
      </c>
      <c r="I183" s="1">
        <v>618.9</v>
      </c>
      <c r="J183" s="1">
        <v>401.2</v>
      </c>
      <c r="K183" s="1">
        <v>28823.0</v>
      </c>
      <c r="L183" s="1">
        <v>100.0</v>
      </c>
      <c r="M183" s="23">
        <v>16.222</v>
      </c>
      <c r="N183" s="64">
        <f t="shared" ref="N183:O183" si="180">if(G183&gt;100%,100%,G183)</f>
        <v>0.877</v>
      </c>
      <c r="O183" s="23">
        <f t="shared" si="180"/>
        <v>0.396</v>
      </c>
    </row>
    <row r="184">
      <c r="A184" s="1">
        <v>347.0</v>
      </c>
      <c r="B184" s="1">
        <v>20946.0</v>
      </c>
      <c r="C184" s="23">
        <v>17.999</v>
      </c>
      <c r="D184" s="23">
        <v>20.96</v>
      </c>
      <c r="E184" s="23">
        <v>1.861</v>
      </c>
      <c r="F184" s="61">
        <v>1054.8</v>
      </c>
      <c r="G184" s="23">
        <v>0.877</v>
      </c>
      <c r="H184" s="23">
        <v>0.396</v>
      </c>
      <c r="I184" s="1">
        <v>618.9</v>
      </c>
      <c r="J184" s="1">
        <v>401.2</v>
      </c>
      <c r="K184" s="1">
        <v>28823.0</v>
      </c>
      <c r="L184" s="1">
        <v>100.0</v>
      </c>
      <c r="M184" s="23">
        <v>16.227</v>
      </c>
      <c r="N184" s="64">
        <f t="shared" ref="N184:O184" si="181">if(G184&gt;100%,100%,G184)</f>
        <v>0.877</v>
      </c>
      <c r="O184" s="23">
        <f t="shared" si="181"/>
        <v>0.396</v>
      </c>
    </row>
    <row r="185">
      <c r="A185" s="1">
        <v>349.0</v>
      </c>
      <c r="B185" s="1">
        <v>20946.0</v>
      </c>
      <c r="C185" s="23">
        <v>17.412</v>
      </c>
      <c r="D185" s="23">
        <v>20.573</v>
      </c>
      <c r="E185" s="23">
        <v>1.861</v>
      </c>
      <c r="F185" s="61">
        <v>1054.8</v>
      </c>
      <c r="G185" s="23">
        <v>0.877</v>
      </c>
      <c r="H185" s="23">
        <v>0.396</v>
      </c>
      <c r="I185" s="1">
        <v>509.8</v>
      </c>
      <c r="J185" s="1">
        <v>401.2</v>
      </c>
      <c r="K185" s="1">
        <v>28823.0</v>
      </c>
      <c r="L185" s="1">
        <v>100.0</v>
      </c>
      <c r="M185" s="23">
        <v>16.227</v>
      </c>
      <c r="N185" s="64">
        <f t="shared" ref="N185:O185" si="182">if(G185&gt;100%,100%,G185)</f>
        <v>0.877</v>
      </c>
      <c r="O185" s="23">
        <f t="shared" si="182"/>
        <v>0.396</v>
      </c>
    </row>
    <row r="186">
      <c r="A186" s="1">
        <v>351.0</v>
      </c>
      <c r="B186" s="1">
        <v>22879.0</v>
      </c>
      <c r="C186" s="23">
        <v>19.095</v>
      </c>
      <c r="D186" s="23">
        <v>22.661</v>
      </c>
      <c r="E186" s="23">
        <v>1.861</v>
      </c>
      <c r="F186" s="61">
        <v>1054.8</v>
      </c>
      <c r="G186" s="23">
        <v>0.877</v>
      </c>
      <c r="H186" s="23">
        <v>0.396</v>
      </c>
      <c r="I186" s="1">
        <v>509.8</v>
      </c>
      <c r="J186" s="1">
        <v>401.2</v>
      </c>
      <c r="K186" s="1">
        <v>31483.0</v>
      </c>
      <c r="L186" s="1">
        <v>100.0</v>
      </c>
      <c r="M186" s="23">
        <v>16.326</v>
      </c>
      <c r="N186" s="64">
        <f t="shared" ref="N186:O186" si="183">if(G186&gt;100%,100%,G186)</f>
        <v>0.877</v>
      </c>
      <c r="O186" s="23">
        <f t="shared" si="183"/>
        <v>0.396</v>
      </c>
    </row>
    <row r="187">
      <c r="A187" s="1">
        <v>353.0</v>
      </c>
      <c r="B187" s="1">
        <v>28678.0</v>
      </c>
      <c r="C187" s="23">
        <v>22.395</v>
      </c>
      <c r="D187" s="23">
        <v>32.293</v>
      </c>
      <c r="E187" s="23">
        <v>1.861</v>
      </c>
      <c r="F187" s="61">
        <v>1105.8</v>
      </c>
      <c r="G187" s="23">
        <v>0.877</v>
      </c>
      <c r="H187" s="23">
        <v>0.396</v>
      </c>
      <c r="I187" s="1">
        <v>509.8</v>
      </c>
      <c r="J187" s="1">
        <v>401.2</v>
      </c>
      <c r="K187" s="1">
        <v>39462.0</v>
      </c>
      <c r="L187" s="1">
        <v>100.0</v>
      </c>
      <c r="M187" s="23">
        <v>16.326</v>
      </c>
      <c r="N187" s="64">
        <f t="shared" ref="N187:O187" si="184">if(G187&gt;100%,100%,G187)</f>
        <v>0.877</v>
      </c>
      <c r="O187" s="23">
        <f t="shared" si="184"/>
        <v>0.396</v>
      </c>
    </row>
    <row r="188">
      <c r="A188" s="1">
        <v>355.0</v>
      </c>
      <c r="B188" s="1">
        <v>28678.0</v>
      </c>
      <c r="C188" s="23">
        <v>22.753</v>
      </c>
      <c r="D188" s="23">
        <v>32.071</v>
      </c>
      <c r="E188" s="23">
        <v>1.861</v>
      </c>
      <c r="F188" s="61">
        <v>1086.8</v>
      </c>
      <c r="G188" s="23">
        <v>0.877</v>
      </c>
      <c r="H188" s="23">
        <v>0.396</v>
      </c>
      <c r="I188" s="1">
        <v>509.8</v>
      </c>
      <c r="J188" s="1">
        <v>401.2</v>
      </c>
      <c r="K188" s="1">
        <v>39462.0</v>
      </c>
      <c r="L188" s="1">
        <v>100.0</v>
      </c>
      <c r="M188" s="23">
        <v>16.476</v>
      </c>
      <c r="N188" s="64">
        <f t="shared" ref="N188:O188" si="185">if(G188&gt;100%,100%,G188)</f>
        <v>0.877</v>
      </c>
      <c r="O188" s="23">
        <f t="shared" si="185"/>
        <v>0.396</v>
      </c>
    </row>
    <row r="189">
      <c r="A189" s="1">
        <v>357.0</v>
      </c>
      <c r="B189" s="1">
        <v>28678.0</v>
      </c>
      <c r="C189" s="26">
        <v>22.719</v>
      </c>
      <c r="D189" s="23">
        <v>28.196</v>
      </c>
      <c r="E189" s="23">
        <v>1.861</v>
      </c>
      <c r="F189" s="61">
        <v>1086.8</v>
      </c>
      <c r="G189" s="23">
        <v>0.858</v>
      </c>
      <c r="H189" s="23">
        <v>0.406</v>
      </c>
      <c r="I189" s="1">
        <v>509.8</v>
      </c>
      <c r="J189" s="1">
        <v>341.9</v>
      </c>
      <c r="K189" s="1">
        <v>39462.0</v>
      </c>
      <c r="L189" s="1">
        <v>100.0</v>
      </c>
      <c r="M189" s="23">
        <v>16.527</v>
      </c>
      <c r="N189" s="64">
        <f t="shared" ref="N189:O189" si="186">if(G189&gt;100%,100%,G189)</f>
        <v>0.858</v>
      </c>
      <c r="O189" s="23">
        <f t="shared" si="186"/>
        <v>0.406</v>
      </c>
    </row>
    <row r="190">
      <c r="A190" s="1">
        <v>359.0</v>
      </c>
      <c r="B190" s="1">
        <v>28678.0</v>
      </c>
      <c r="C190" s="26">
        <v>22.697</v>
      </c>
      <c r="D190" s="23">
        <v>29.369</v>
      </c>
      <c r="E190" s="23">
        <v>1.861</v>
      </c>
      <c r="F190" s="61">
        <v>1101.8</v>
      </c>
      <c r="G190" s="23">
        <v>0.885</v>
      </c>
      <c r="H190" s="23">
        <v>0.406</v>
      </c>
      <c r="I190" s="1">
        <v>509.8</v>
      </c>
      <c r="J190" s="1">
        <v>423.9</v>
      </c>
      <c r="K190" s="1">
        <v>39462.0</v>
      </c>
      <c r="L190" s="1">
        <v>100.0</v>
      </c>
      <c r="M190" s="23">
        <v>16.527</v>
      </c>
      <c r="N190" s="64">
        <f t="shared" ref="N190:O190" si="187">if(G190&gt;100%,100%,G190)</f>
        <v>0.885</v>
      </c>
      <c r="O190" s="23">
        <f t="shared" si="187"/>
        <v>0.406</v>
      </c>
    </row>
    <row r="191">
      <c r="A191" s="1">
        <v>361.0</v>
      </c>
      <c r="B191" s="1">
        <v>23234.0</v>
      </c>
      <c r="C191" s="26">
        <v>22.563</v>
      </c>
      <c r="D191" s="23">
        <v>28.97</v>
      </c>
      <c r="E191" s="23">
        <v>1.861</v>
      </c>
      <c r="F191" s="61">
        <v>1101.8</v>
      </c>
      <c r="G191" s="23">
        <v>0.885</v>
      </c>
      <c r="H191" s="23">
        <v>0.406</v>
      </c>
      <c r="I191" s="1">
        <v>509.8</v>
      </c>
      <c r="J191" s="1">
        <v>423.9</v>
      </c>
      <c r="K191" s="1">
        <v>33026.0</v>
      </c>
      <c r="L191" s="1">
        <v>100.0</v>
      </c>
      <c r="M191" s="26">
        <v>16.58</v>
      </c>
      <c r="N191" s="64">
        <f t="shared" ref="N191:O191" si="188">if(G191&gt;100%,100%,G191)</f>
        <v>0.885</v>
      </c>
      <c r="O191" s="23">
        <f t="shared" si="188"/>
        <v>0.406</v>
      </c>
    </row>
    <row r="192">
      <c r="A192" s="1">
        <v>363.0</v>
      </c>
      <c r="B192" s="1">
        <v>23234.0</v>
      </c>
      <c r="C192" s="23">
        <v>22.078</v>
      </c>
      <c r="D192" s="23">
        <v>23.406</v>
      </c>
      <c r="E192" s="23">
        <v>1.861</v>
      </c>
      <c r="F192" s="61">
        <v>1098.8</v>
      </c>
      <c r="G192" s="23">
        <v>0.885</v>
      </c>
      <c r="H192" s="23">
        <v>0.406</v>
      </c>
      <c r="I192" s="1">
        <v>509.8</v>
      </c>
      <c r="J192" s="1">
        <v>423.9</v>
      </c>
      <c r="K192" s="1">
        <v>33026.0</v>
      </c>
      <c r="L192" s="1">
        <v>100.0</v>
      </c>
      <c r="M192" s="26">
        <v>16.58</v>
      </c>
      <c r="N192" s="64">
        <f t="shared" ref="N192:O192" si="189">if(G192&gt;100%,100%,G192)</f>
        <v>0.885</v>
      </c>
      <c r="O192" s="23">
        <f t="shared" si="189"/>
        <v>0.406</v>
      </c>
    </row>
    <row r="193">
      <c r="A193" s="1">
        <v>365.0</v>
      </c>
      <c r="B193" s="1">
        <v>24001.0</v>
      </c>
      <c r="C193" s="23">
        <v>20.475</v>
      </c>
      <c r="D193" s="23">
        <v>21.823</v>
      </c>
      <c r="E193" s="23">
        <v>1.991</v>
      </c>
      <c r="F193" s="61">
        <v>1101.8</v>
      </c>
      <c r="G193" s="23">
        <v>0.885</v>
      </c>
      <c r="H193" s="23">
        <v>0.406</v>
      </c>
      <c r="I193" s="1">
        <v>509.8</v>
      </c>
      <c r="J193" s="1">
        <v>423.9</v>
      </c>
      <c r="K193" s="1">
        <v>33026.0</v>
      </c>
      <c r="L193" s="1">
        <v>100.0</v>
      </c>
      <c r="M193" s="23">
        <v>16.575</v>
      </c>
      <c r="N193" s="64">
        <f t="shared" ref="N193:O193" si="190">if(G193&gt;100%,100%,G193)</f>
        <v>0.885</v>
      </c>
      <c r="O193" s="23">
        <f t="shared" si="190"/>
        <v>0.406</v>
      </c>
    </row>
    <row r="194">
      <c r="A194" s="1">
        <v>367.0</v>
      </c>
      <c r="B194" s="1">
        <v>20946.0</v>
      </c>
      <c r="C194" s="23">
        <v>20.115</v>
      </c>
      <c r="D194" s="23">
        <v>20.674</v>
      </c>
      <c r="E194" s="23">
        <v>1.627</v>
      </c>
      <c r="F194" s="61">
        <v>1082.8</v>
      </c>
      <c r="G194" s="23">
        <v>0.885</v>
      </c>
      <c r="H194" s="23">
        <v>0.399</v>
      </c>
      <c r="I194" s="1">
        <v>509.8</v>
      </c>
      <c r="J194" s="1">
        <v>423.9</v>
      </c>
      <c r="K194" s="1">
        <v>28823.0</v>
      </c>
      <c r="L194" s="1">
        <v>100.0</v>
      </c>
      <c r="M194" s="23">
        <v>16.575</v>
      </c>
      <c r="N194" s="64">
        <f t="shared" ref="N194:O194" si="191">if(G194&gt;100%,100%,G194)</f>
        <v>0.885</v>
      </c>
      <c r="O194" s="23">
        <f t="shared" si="191"/>
        <v>0.399</v>
      </c>
    </row>
    <row r="195">
      <c r="A195" s="1">
        <v>369.0</v>
      </c>
      <c r="B195" s="1">
        <v>20946.0</v>
      </c>
      <c r="C195" s="23">
        <v>18.512</v>
      </c>
      <c r="D195" s="23">
        <v>19.836</v>
      </c>
      <c r="E195" s="23">
        <v>1.627</v>
      </c>
      <c r="F195" s="61">
        <v>1030.5</v>
      </c>
      <c r="G195" s="23">
        <v>0.872</v>
      </c>
      <c r="H195" s="23">
        <v>0.406</v>
      </c>
      <c r="I195" s="1">
        <v>509.8</v>
      </c>
      <c r="J195" s="1">
        <v>384.6</v>
      </c>
      <c r="K195" s="1">
        <v>28823.0</v>
      </c>
      <c r="L195" s="1">
        <v>100.0</v>
      </c>
      <c r="M195" s="23">
        <v>16.396</v>
      </c>
      <c r="N195" s="64">
        <f t="shared" ref="N195:O195" si="192">if(G195&gt;100%,100%,G195)</f>
        <v>0.872</v>
      </c>
      <c r="O195" s="23">
        <f t="shared" si="192"/>
        <v>0.406</v>
      </c>
    </row>
    <row r="196">
      <c r="A196" s="1">
        <v>371.0</v>
      </c>
      <c r="B196" s="1">
        <v>20946.0</v>
      </c>
      <c r="C196" s="26">
        <v>19.935</v>
      </c>
      <c r="D196" s="23">
        <v>18.972</v>
      </c>
      <c r="E196" s="23">
        <v>1.877</v>
      </c>
      <c r="F196" s="61">
        <v>1054.8</v>
      </c>
      <c r="G196" s="23">
        <v>0.885</v>
      </c>
      <c r="H196" s="23">
        <v>0.381</v>
      </c>
      <c r="I196" s="1">
        <v>509.8</v>
      </c>
      <c r="J196" s="1">
        <v>423.9</v>
      </c>
      <c r="K196" s="1">
        <v>28823.0</v>
      </c>
      <c r="L196" s="1">
        <v>100.0</v>
      </c>
      <c r="M196" s="23">
        <v>16.396</v>
      </c>
      <c r="N196" s="64">
        <f t="shared" ref="N196:O196" si="193">if(G196&gt;100%,100%,G196)</f>
        <v>0.885</v>
      </c>
      <c r="O196" s="23">
        <f t="shared" si="193"/>
        <v>0.381</v>
      </c>
    </row>
    <row r="197">
      <c r="A197" s="1">
        <v>373.0</v>
      </c>
      <c r="B197" s="1">
        <v>20946.0</v>
      </c>
      <c r="C197" s="26">
        <v>17.901</v>
      </c>
      <c r="D197" s="23">
        <v>17.013</v>
      </c>
      <c r="E197" s="23">
        <v>1.877</v>
      </c>
      <c r="F197" s="61">
        <v>1054.8</v>
      </c>
      <c r="G197" s="23">
        <v>0.885</v>
      </c>
      <c r="H197" s="23">
        <v>0.381</v>
      </c>
      <c r="I197" s="1">
        <v>509.8</v>
      </c>
      <c r="J197" s="1">
        <v>423.9</v>
      </c>
      <c r="K197" s="1">
        <v>28823.0</v>
      </c>
      <c r="L197" s="1">
        <v>100.0</v>
      </c>
      <c r="M197" s="23">
        <v>16.324</v>
      </c>
      <c r="N197" s="64">
        <f t="shared" ref="N197:O197" si="194">if(G197&gt;100%,100%,G197)</f>
        <v>0.885</v>
      </c>
      <c r="O197" s="23">
        <f t="shared" si="194"/>
        <v>0.381</v>
      </c>
    </row>
    <row r="198">
      <c r="A198" s="1">
        <v>375.0</v>
      </c>
      <c r="B198" s="1">
        <v>20946.0</v>
      </c>
      <c r="C198" s="26">
        <v>18.24</v>
      </c>
      <c r="D198" s="23">
        <v>17.121</v>
      </c>
      <c r="E198" s="23">
        <v>1.877</v>
      </c>
      <c r="F198" s="61">
        <v>1054.8</v>
      </c>
      <c r="G198" s="23">
        <v>0.885</v>
      </c>
      <c r="H198" s="23">
        <v>0.381</v>
      </c>
      <c r="I198" s="1">
        <v>509.8</v>
      </c>
      <c r="J198" s="1">
        <v>423.9</v>
      </c>
      <c r="K198" s="1">
        <v>28823.0</v>
      </c>
      <c r="L198" s="1">
        <v>100.0</v>
      </c>
      <c r="M198" s="23">
        <v>16.324</v>
      </c>
      <c r="N198" s="64">
        <f t="shared" ref="N198:O198" si="195">if(G198&gt;100%,100%,G198)</f>
        <v>0.885</v>
      </c>
      <c r="O198" s="23">
        <f t="shared" si="195"/>
        <v>0.381</v>
      </c>
    </row>
    <row r="199">
      <c r="A199" s="1">
        <v>377.0</v>
      </c>
      <c r="B199" s="1">
        <v>20946.0</v>
      </c>
      <c r="C199" s="26">
        <v>17.925</v>
      </c>
      <c r="D199" s="23">
        <v>16.909</v>
      </c>
      <c r="E199" s="23">
        <v>1.877</v>
      </c>
      <c r="F199" s="61">
        <v>1054.8</v>
      </c>
      <c r="G199" s="23">
        <v>0.858</v>
      </c>
      <c r="H199" s="23">
        <v>0.406</v>
      </c>
      <c r="I199" s="1">
        <v>509.8</v>
      </c>
      <c r="J199" s="1">
        <v>341.9</v>
      </c>
      <c r="K199" s="1">
        <v>28823.0</v>
      </c>
      <c r="L199" s="1">
        <v>100.0</v>
      </c>
      <c r="M199" s="23">
        <v>16.342</v>
      </c>
      <c r="N199" s="64">
        <f t="shared" ref="N199:O199" si="196">if(G199&gt;100%,100%,G199)</f>
        <v>0.858</v>
      </c>
      <c r="O199" s="23">
        <f t="shared" si="196"/>
        <v>0.406</v>
      </c>
    </row>
    <row r="200">
      <c r="A200" s="1">
        <v>379.0</v>
      </c>
      <c r="B200" s="1">
        <v>20946.0</v>
      </c>
      <c r="C200" s="26">
        <v>17.925</v>
      </c>
      <c r="D200" s="23">
        <v>16.963</v>
      </c>
      <c r="E200" s="23">
        <v>1.877</v>
      </c>
      <c r="F200" s="61">
        <v>1069.8</v>
      </c>
      <c r="G200" s="23">
        <v>0.858</v>
      </c>
      <c r="H200" s="23">
        <v>0.396</v>
      </c>
      <c r="I200" s="1">
        <v>509.8</v>
      </c>
      <c r="J200" s="1">
        <v>341.9</v>
      </c>
      <c r="K200" s="1">
        <v>28823.0</v>
      </c>
      <c r="L200" s="1">
        <v>100.0</v>
      </c>
      <c r="M200" s="23">
        <v>16.342</v>
      </c>
      <c r="N200" s="64">
        <f t="shared" ref="N200:O200" si="197">if(G200&gt;100%,100%,G200)</f>
        <v>0.858</v>
      </c>
      <c r="O200" s="23">
        <f t="shared" si="197"/>
        <v>0.396</v>
      </c>
    </row>
    <row r="201">
      <c r="A201" s="1">
        <v>381.0</v>
      </c>
      <c r="B201" s="1">
        <v>20946.0</v>
      </c>
      <c r="C201" s="26">
        <v>18.275</v>
      </c>
      <c r="D201" s="23">
        <v>18.425</v>
      </c>
      <c r="E201" s="23">
        <v>1.757</v>
      </c>
      <c r="F201" s="61">
        <v>1069.8</v>
      </c>
      <c r="G201" s="23">
        <v>0.858</v>
      </c>
      <c r="H201" s="23">
        <v>0.396</v>
      </c>
      <c r="I201" s="1">
        <v>509.8</v>
      </c>
      <c r="J201" s="1">
        <v>341.9</v>
      </c>
      <c r="K201" s="1">
        <v>28823.0</v>
      </c>
      <c r="L201" s="1">
        <v>100.0</v>
      </c>
      <c r="M201" s="23">
        <v>16.413</v>
      </c>
      <c r="N201" s="64">
        <f t="shared" ref="N201:O201" si="198">if(G201&gt;100%,100%,G201)</f>
        <v>0.858</v>
      </c>
      <c r="O201" s="23">
        <f t="shared" si="198"/>
        <v>0.396</v>
      </c>
    </row>
    <row r="202">
      <c r="A202" s="1">
        <v>383.0</v>
      </c>
      <c r="B202" s="1">
        <v>20946.0</v>
      </c>
      <c r="C202" s="23">
        <v>18.297</v>
      </c>
      <c r="D202" s="23">
        <v>18.425</v>
      </c>
      <c r="E202" s="23">
        <v>1.757</v>
      </c>
      <c r="F202" s="61">
        <v>1069.8</v>
      </c>
      <c r="G202" s="23">
        <v>0.858</v>
      </c>
      <c r="H202" s="23">
        <v>0.396</v>
      </c>
      <c r="I202" s="1">
        <v>509.8</v>
      </c>
      <c r="J202" s="1">
        <v>341.9</v>
      </c>
      <c r="K202" s="1">
        <v>28823.0</v>
      </c>
      <c r="L202" s="1">
        <v>100.0</v>
      </c>
      <c r="M202" s="23">
        <v>16.413</v>
      </c>
      <c r="N202" s="64">
        <f t="shared" ref="N202:O202" si="199">if(G202&gt;100%,100%,G202)</f>
        <v>0.858</v>
      </c>
      <c r="O202" s="23">
        <f t="shared" si="199"/>
        <v>0.396</v>
      </c>
    </row>
    <row r="203">
      <c r="A203" s="1">
        <v>385.0</v>
      </c>
      <c r="B203" s="1">
        <v>20946.0</v>
      </c>
      <c r="C203" s="26">
        <v>18.309</v>
      </c>
      <c r="D203" s="26">
        <v>18.425</v>
      </c>
      <c r="E203" s="23">
        <v>1.757</v>
      </c>
      <c r="F203" s="61">
        <v>1069.8</v>
      </c>
      <c r="G203" s="23">
        <v>0.858</v>
      </c>
      <c r="H203" s="23">
        <v>0.396</v>
      </c>
      <c r="I203" s="1">
        <v>509.8</v>
      </c>
      <c r="J203" s="1">
        <v>341.9</v>
      </c>
      <c r="K203" s="1">
        <v>28823.0</v>
      </c>
      <c r="L203" s="1">
        <v>100.0</v>
      </c>
      <c r="M203" s="23">
        <v>16.413</v>
      </c>
      <c r="N203" s="64">
        <f t="shared" ref="N203:O203" si="200">if(G203&gt;100%,100%,G203)</f>
        <v>0.858</v>
      </c>
      <c r="O203" s="23">
        <f t="shared" si="200"/>
        <v>0.396</v>
      </c>
    </row>
    <row r="204">
      <c r="A204" s="1">
        <v>387.0</v>
      </c>
      <c r="B204" s="1">
        <v>20946.0</v>
      </c>
      <c r="C204" s="26">
        <v>18.93</v>
      </c>
      <c r="D204" s="23">
        <v>18.641</v>
      </c>
      <c r="E204" s="23">
        <v>1.657</v>
      </c>
      <c r="F204" s="61">
        <v>1069.8</v>
      </c>
      <c r="G204" s="23">
        <v>0.858</v>
      </c>
      <c r="H204" s="23">
        <v>1.407</v>
      </c>
      <c r="I204" s="1">
        <v>509.8</v>
      </c>
      <c r="J204" s="1">
        <v>341.9</v>
      </c>
      <c r="K204" s="1">
        <v>28823.0</v>
      </c>
      <c r="L204" s="1">
        <v>100.0</v>
      </c>
      <c r="M204" s="23">
        <v>16.413</v>
      </c>
      <c r="N204" s="64">
        <f t="shared" ref="N204:O204" si="201">if(G204&gt;100%,100%,G204)</f>
        <v>0.858</v>
      </c>
      <c r="O204" s="23">
        <f t="shared" si="201"/>
        <v>1</v>
      </c>
    </row>
    <row r="205">
      <c r="A205" s="1">
        <v>389.0</v>
      </c>
      <c r="B205" s="1">
        <v>22879.0</v>
      </c>
      <c r="C205" s="23">
        <v>19.033</v>
      </c>
      <c r="D205" s="23">
        <v>19.865</v>
      </c>
      <c r="E205" s="23">
        <v>1.657</v>
      </c>
      <c r="F205" s="61">
        <v>1082.8</v>
      </c>
      <c r="G205" s="23">
        <v>0.858</v>
      </c>
      <c r="H205" s="23">
        <v>1.407</v>
      </c>
      <c r="I205" s="1">
        <v>509.8</v>
      </c>
      <c r="J205" s="1">
        <v>341.9</v>
      </c>
      <c r="K205" s="1">
        <v>31483.0</v>
      </c>
      <c r="L205" s="1">
        <v>100.0</v>
      </c>
      <c r="M205" s="23">
        <v>16.413</v>
      </c>
      <c r="N205" s="64">
        <f t="shared" ref="N205:O205" si="202">if(G205&gt;100%,100%,G205)</f>
        <v>0.858</v>
      </c>
      <c r="O205" s="23">
        <f t="shared" si="202"/>
        <v>1</v>
      </c>
    </row>
    <row r="206">
      <c r="A206" s="1">
        <v>391.0</v>
      </c>
      <c r="B206" s="1">
        <v>22879.0</v>
      </c>
      <c r="C206" s="23">
        <v>19.056</v>
      </c>
      <c r="D206" s="23">
        <v>23.517</v>
      </c>
      <c r="E206" s="23">
        <v>1.657</v>
      </c>
      <c r="F206" s="61">
        <v>1067.8</v>
      </c>
      <c r="G206" s="23">
        <v>0.885</v>
      </c>
      <c r="H206" s="23">
        <v>0.406</v>
      </c>
      <c r="I206" s="1">
        <v>509.8</v>
      </c>
      <c r="J206" s="1">
        <v>423.9</v>
      </c>
      <c r="K206" s="1">
        <v>31483.0</v>
      </c>
      <c r="L206" s="1">
        <v>100.0</v>
      </c>
      <c r="M206" s="23">
        <v>16.593</v>
      </c>
      <c r="N206" s="64">
        <f t="shared" ref="N206:O206" si="203">if(G206&gt;100%,100%,G206)</f>
        <v>0.885</v>
      </c>
      <c r="O206" s="23">
        <f t="shared" si="203"/>
        <v>0.406</v>
      </c>
    </row>
    <row r="207">
      <c r="A207" s="1">
        <v>393.0</v>
      </c>
      <c r="B207" s="1">
        <v>22879.0</v>
      </c>
      <c r="C207" s="23">
        <v>19.091</v>
      </c>
      <c r="D207" s="23">
        <v>23.716</v>
      </c>
      <c r="E207" s="23">
        <v>1.657</v>
      </c>
      <c r="F207" s="61">
        <v>1067.8</v>
      </c>
      <c r="G207" s="23">
        <v>0.885</v>
      </c>
      <c r="H207" s="23">
        <v>0.406</v>
      </c>
      <c r="I207" s="1">
        <v>509.8</v>
      </c>
      <c r="J207" s="1">
        <v>423.9</v>
      </c>
      <c r="K207" s="1">
        <v>31483.0</v>
      </c>
      <c r="L207" s="1">
        <v>100.0</v>
      </c>
      <c r="M207" s="23">
        <v>16.593</v>
      </c>
      <c r="N207" s="64">
        <f t="shared" ref="N207:O207" si="204">if(G207&gt;100%,100%,G207)</f>
        <v>0.885</v>
      </c>
      <c r="O207" s="23">
        <f t="shared" si="204"/>
        <v>0.406</v>
      </c>
    </row>
    <row r="208">
      <c r="A208" s="1">
        <v>395.0</v>
      </c>
      <c r="B208" s="1">
        <v>22879.0</v>
      </c>
      <c r="C208" s="26">
        <v>18.56</v>
      </c>
      <c r="D208" s="23">
        <v>24.78</v>
      </c>
      <c r="E208" s="23">
        <v>1.657</v>
      </c>
      <c r="F208" s="61">
        <v>1067.8</v>
      </c>
      <c r="G208" s="23">
        <v>0.878</v>
      </c>
      <c r="H208" s="23">
        <v>0.406</v>
      </c>
      <c r="I208" s="1">
        <v>509.8</v>
      </c>
      <c r="J208" s="1">
        <v>404.1</v>
      </c>
      <c r="K208" s="1">
        <v>31483.0</v>
      </c>
      <c r="L208" s="1">
        <v>100.0</v>
      </c>
      <c r="M208" s="23">
        <v>16.589</v>
      </c>
      <c r="N208" s="64">
        <f t="shared" ref="N208:O208" si="205">if(G208&gt;100%,100%,G208)</f>
        <v>0.878</v>
      </c>
      <c r="O208" s="23">
        <f t="shared" si="205"/>
        <v>0.406</v>
      </c>
    </row>
    <row r="209">
      <c r="A209" s="1">
        <v>397.0</v>
      </c>
      <c r="B209" s="1">
        <v>22879.0</v>
      </c>
      <c r="C209" s="26">
        <v>17.749</v>
      </c>
      <c r="D209" s="23">
        <v>24.78</v>
      </c>
      <c r="E209" s="23">
        <v>1.657</v>
      </c>
      <c r="F209" s="61">
        <v>1043.5</v>
      </c>
      <c r="G209" s="23">
        <v>0.865</v>
      </c>
      <c r="H209" s="23">
        <v>0.396</v>
      </c>
      <c r="I209" s="1">
        <v>509.8</v>
      </c>
      <c r="J209" s="1">
        <v>364.8</v>
      </c>
      <c r="K209" s="1">
        <v>31483.0</v>
      </c>
      <c r="L209" s="1">
        <v>100.0</v>
      </c>
      <c r="M209" s="23">
        <v>16.589</v>
      </c>
      <c r="N209" s="64">
        <f t="shared" ref="N209:O209" si="206">if(G209&gt;100%,100%,G209)</f>
        <v>0.865</v>
      </c>
      <c r="O209" s="23">
        <f t="shared" si="206"/>
        <v>0.396</v>
      </c>
    </row>
    <row r="210">
      <c r="A210" s="1">
        <v>399.0</v>
      </c>
      <c r="B210" s="1">
        <v>22879.0</v>
      </c>
      <c r="C210" s="23">
        <v>17.414</v>
      </c>
      <c r="D210" s="23">
        <v>24.409</v>
      </c>
      <c r="E210" s="23">
        <v>1.657</v>
      </c>
      <c r="F210" s="61">
        <v>1043.5</v>
      </c>
      <c r="G210" s="23">
        <v>0.872</v>
      </c>
      <c r="H210" s="23">
        <v>1.397</v>
      </c>
      <c r="I210" s="1">
        <v>509.8</v>
      </c>
      <c r="J210" s="1">
        <v>384.6</v>
      </c>
      <c r="K210" s="1">
        <v>31483.0</v>
      </c>
      <c r="L210" s="1">
        <v>100.0</v>
      </c>
      <c r="M210" s="23">
        <v>16.697</v>
      </c>
      <c r="N210" s="64">
        <f t="shared" ref="N210:O210" si="207">if(G210&gt;100%,100%,G210)</f>
        <v>0.872</v>
      </c>
      <c r="O210" s="23">
        <f t="shared" si="207"/>
        <v>1</v>
      </c>
    </row>
    <row r="211">
      <c r="A211" s="1">
        <v>401.0</v>
      </c>
      <c r="B211" s="1">
        <v>22879.0</v>
      </c>
      <c r="C211" s="23">
        <v>17.954</v>
      </c>
      <c r="D211" s="23">
        <v>20.438</v>
      </c>
      <c r="E211" s="23">
        <v>1.657</v>
      </c>
      <c r="F211" s="61">
        <v>1043.5</v>
      </c>
      <c r="G211" s="23">
        <v>0.872</v>
      </c>
      <c r="H211" s="23">
        <v>1.407</v>
      </c>
      <c r="I211" s="1">
        <v>509.8</v>
      </c>
      <c r="J211" s="1">
        <v>384.6</v>
      </c>
      <c r="K211" s="1">
        <v>31483.0</v>
      </c>
      <c r="L211" s="1">
        <v>100.0</v>
      </c>
      <c r="M211" s="23">
        <v>16.697</v>
      </c>
      <c r="N211" s="64">
        <f t="shared" ref="N211:O211" si="208">if(G211&gt;100%,100%,G211)</f>
        <v>0.872</v>
      </c>
      <c r="O211" s="23">
        <f t="shared" si="208"/>
        <v>1</v>
      </c>
    </row>
    <row r="212">
      <c r="A212" s="1">
        <v>403.0</v>
      </c>
      <c r="B212" s="1">
        <v>22879.0</v>
      </c>
      <c r="C212" s="23">
        <v>17.512</v>
      </c>
      <c r="D212" s="23">
        <v>20.01</v>
      </c>
      <c r="E212" s="23">
        <v>1.657</v>
      </c>
      <c r="F212" s="61">
        <v>1043.5</v>
      </c>
      <c r="G212" s="23">
        <v>0.872</v>
      </c>
      <c r="H212" s="23">
        <v>0.406</v>
      </c>
      <c r="I212" s="1">
        <v>509.8</v>
      </c>
      <c r="J212" s="1">
        <v>384.6</v>
      </c>
      <c r="K212" s="1">
        <v>31483.0</v>
      </c>
      <c r="L212" s="1">
        <v>100.0</v>
      </c>
      <c r="M212" s="26">
        <v>16.55</v>
      </c>
      <c r="N212" s="64">
        <f t="shared" ref="N212:O212" si="209">if(G212&gt;100%,100%,G212)</f>
        <v>0.872</v>
      </c>
      <c r="O212" s="23">
        <f t="shared" si="209"/>
        <v>0.406</v>
      </c>
    </row>
    <row r="213">
      <c r="A213" s="1">
        <v>405.0</v>
      </c>
      <c r="B213" s="1">
        <v>20946.0</v>
      </c>
      <c r="C213" s="23">
        <v>18.142</v>
      </c>
      <c r="D213" s="23">
        <v>18.631</v>
      </c>
      <c r="E213" s="23">
        <v>1.657</v>
      </c>
      <c r="F213" s="61">
        <v>1069.8</v>
      </c>
      <c r="G213" s="23">
        <v>0.885</v>
      </c>
      <c r="H213" s="23">
        <v>0.406</v>
      </c>
      <c r="I213" s="1">
        <v>509.8</v>
      </c>
      <c r="J213" s="1">
        <v>423.9</v>
      </c>
      <c r="K213" s="1">
        <v>28823.0</v>
      </c>
      <c r="L213" s="1">
        <v>99.0</v>
      </c>
      <c r="M213" s="26">
        <v>16.55</v>
      </c>
      <c r="N213" s="64">
        <f t="shared" ref="N213:O213" si="210">if(G213&gt;100%,100%,G213)</f>
        <v>0.885</v>
      </c>
      <c r="O213" s="23">
        <f t="shared" si="210"/>
        <v>0.406</v>
      </c>
    </row>
    <row r="214">
      <c r="A214" s="1">
        <v>407.0</v>
      </c>
      <c r="B214" s="1">
        <v>20720.0</v>
      </c>
      <c r="C214" s="26">
        <v>17.769</v>
      </c>
      <c r="D214" s="23">
        <v>17.432</v>
      </c>
      <c r="E214" s="23">
        <v>1.657</v>
      </c>
      <c r="F214" s="61">
        <v>1069.8</v>
      </c>
      <c r="G214" s="23">
        <v>0.885</v>
      </c>
      <c r="H214" s="23">
        <v>0.406</v>
      </c>
      <c r="I214" s="1">
        <v>509.8</v>
      </c>
      <c r="J214" s="1">
        <v>423.9</v>
      </c>
      <c r="K214" s="1">
        <v>28823.0</v>
      </c>
      <c r="L214" s="1">
        <v>100.0</v>
      </c>
      <c r="M214" s="23">
        <v>16.347</v>
      </c>
      <c r="N214" s="64">
        <f t="shared" ref="N214:O214" si="211">if(G214&gt;100%,100%,G214)</f>
        <v>0.885</v>
      </c>
      <c r="O214" s="23">
        <f t="shared" si="211"/>
        <v>0.406</v>
      </c>
    </row>
    <row r="215">
      <c r="A215" s="1">
        <v>409.0</v>
      </c>
      <c r="B215" s="1">
        <v>20277.0</v>
      </c>
      <c r="C215" s="26">
        <v>17.949</v>
      </c>
      <c r="D215" s="23">
        <v>17.703</v>
      </c>
      <c r="E215" s="23">
        <v>1.657</v>
      </c>
      <c r="F215" s="61">
        <v>1066.8</v>
      </c>
      <c r="G215" s="23">
        <v>0.858</v>
      </c>
      <c r="H215" s="23">
        <v>0.406</v>
      </c>
      <c r="I215" s="1">
        <v>509.8</v>
      </c>
      <c r="J215" s="1">
        <v>341.9</v>
      </c>
      <c r="K215" s="1">
        <v>28823.0</v>
      </c>
      <c r="L215" s="1">
        <v>100.0</v>
      </c>
      <c r="M215" s="23">
        <v>16.347</v>
      </c>
      <c r="N215" s="64">
        <f t="shared" ref="N215:O215" si="212">if(G215&gt;100%,100%,G215)</f>
        <v>0.858</v>
      </c>
      <c r="O215" s="23">
        <f t="shared" si="212"/>
        <v>0.406</v>
      </c>
    </row>
    <row r="216">
      <c r="A216" s="1">
        <v>411.0</v>
      </c>
      <c r="B216" s="1">
        <v>20946.0</v>
      </c>
      <c r="C216" s="23">
        <v>17.701</v>
      </c>
      <c r="D216" s="23">
        <v>18.042</v>
      </c>
      <c r="E216" s="23">
        <v>1.407</v>
      </c>
      <c r="F216" s="61">
        <v>1066.8</v>
      </c>
      <c r="G216" s="23">
        <v>0.858</v>
      </c>
      <c r="H216" s="23">
        <v>0.396</v>
      </c>
      <c r="I216" s="1">
        <v>509.8</v>
      </c>
      <c r="J216" s="1">
        <v>341.9</v>
      </c>
      <c r="K216" s="1">
        <v>28823.0</v>
      </c>
      <c r="L216" s="1">
        <v>100.0</v>
      </c>
      <c r="M216" s="23">
        <v>16.347</v>
      </c>
      <c r="N216" s="64">
        <f t="shared" ref="N216:O216" si="213">if(G216&gt;100%,100%,G216)</f>
        <v>0.858</v>
      </c>
      <c r="O216" s="23">
        <f t="shared" si="213"/>
        <v>0.396</v>
      </c>
    </row>
    <row r="217">
      <c r="A217" s="1">
        <v>413.0</v>
      </c>
      <c r="B217" s="1">
        <v>20946.0</v>
      </c>
      <c r="C217" s="26">
        <v>17.565</v>
      </c>
      <c r="D217" s="23">
        <v>17.803</v>
      </c>
      <c r="E217" s="23">
        <v>1.407</v>
      </c>
      <c r="F217" s="61">
        <v>1054.8</v>
      </c>
      <c r="G217" s="23">
        <v>0.858</v>
      </c>
      <c r="H217" s="23">
        <v>0.396</v>
      </c>
      <c r="I217" s="1">
        <v>509.8</v>
      </c>
      <c r="J217" s="1">
        <v>341.9</v>
      </c>
      <c r="K217" s="1">
        <v>28823.0</v>
      </c>
      <c r="L217" s="1">
        <v>100.0</v>
      </c>
      <c r="M217" s="23">
        <v>16.384</v>
      </c>
      <c r="N217" s="64">
        <f t="shared" ref="N217:O217" si="214">if(G217&gt;100%,100%,G217)</f>
        <v>0.858</v>
      </c>
      <c r="O217" s="23">
        <f t="shared" si="214"/>
        <v>0.396</v>
      </c>
    </row>
    <row r="218">
      <c r="A218" s="1">
        <v>415.0</v>
      </c>
      <c r="B218" s="1">
        <v>20946.0</v>
      </c>
      <c r="C218" s="26">
        <v>17.543</v>
      </c>
      <c r="D218" s="23">
        <v>17.577</v>
      </c>
      <c r="E218" s="23">
        <v>1.407</v>
      </c>
      <c r="F218" s="61">
        <v>1054.8</v>
      </c>
      <c r="G218" s="23">
        <v>0.858</v>
      </c>
      <c r="H218" s="23">
        <v>0.381</v>
      </c>
      <c r="I218" s="1">
        <v>509.8</v>
      </c>
      <c r="J218" s="1">
        <v>341.9</v>
      </c>
      <c r="K218" s="1">
        <v>28823.0</v>
      </c>
      <c r="L218" s="1">
        <v>100.0</v>
      </c>
      <c r="M218" s="23">
        <v>16.384</v>
      </c>
      <c r="N218" s="64">
        <f t="shared" ref="N218:O218" si="215">if(G218&gt;100%,100%,G218)</f>
        <v>0.858</v>
      </c>
      <c r="O218" s="23">
        <f t="shared" si="215"/>
        <v>0.381</v>
      </c>
    </row>
    <row r="219">
      <c r="A219" s="1">
        <v>417.0</v>
      </c>
      <c r="B219" s="1">
        <v>20946.0</v>
      </c>
      <c r="C219" s="23">
        <v>18.051</v>
      </c>
      <c r="D219" s="26">
        <v>17.742</v>
      </c>
      <c r="E219" s="23">
        <v>1.407</v>
      </c>
      <c r="F219" s="61">
        <v>1054.8</v>
      </c>
      <c r="G219" s="23">
        <v>0.858</v>
      </c>
      <c r="H219" s="23">
        <v>0.381</v>
      </c>
      <c r="I219" s="1">
        <v>509.8</v>
      </c>
      <c r="J219" s="1">
        <v>341.9</v>
      </c>
      <c r="K219" s="1">
        <v>28823.0</v>
      </c>
      <c r="L219" s="1">
        <v>100.0</v>
      </c>
      <c r="M219" s="23">
        <v>16.367</v>
      </c>
      <c r="N219" s="64">
        <f t="shared" ref="N219:O219" si="216">if(G219&gt;100%,100%,G219)</f>
        <v>0.858</v>
      </c>
      <c r="O219" s="23">
        <f t="shared" si="216"/>
        <v>0.381</v>
      </c>
    </row>
    <row r="220">
      <c r="A220" s="1">
        <v>419.0</v>
      </c>
      <c r="B220" s="1">
        <v>20946.0</v>
      </c>
      <c r="C220" s="23">
        <v>17.701</v>
      </c>
      <c r="D220" s="23">
        <v>17.459</v>
      </c>
      <c r="E220" s="23">
        <v>1.407</v>
      </c>
      <c r="F220" s="61">
        <v>1069.8</v>
      </c>
      <c r="G220" s="23">
        <v>0.858</v>
      </c>
      <c r="H220" s="23">
        <v>0.381</v>
      </c>
      <c r="I220" s="1">
        <v>509.8</v>
      </c>
      <c r="J220" s="1">
        <v>341.9</v>
      </c>
      <c r="K220" s="1">
        <v>28823.0</v>
      </c>
      <c r="L220" s="1">
        <v>100.0</v>
      </c>
      <c r="M220" s="23">
        <v>16.367</v>
      </c>
      <c r="N220" s="64">
        <f t="shared" ref="N220:O220" si="217">if(G220&gt;100%,100%,G220)</f>
        <v>0.858</v>
      </c>
      <c r="O220" s="23">
        <f t="shared" si="217"/>
        <v>0.381</v>
      </c>
    </row>
    <row r="221">
      <c r="A221" s="1">
        <v>422.0</v>
      </c>
      <c r="B221" s="1">
        <v>20946.0</v>
      </c>
      <c r="C221" s="23">
        <v>18.006</v>
      </c>
      <c r="D221" s="23">
        <v>17.794</v>
      </c>
      <c r="E221" s="23">
        <v>1.407</v>
      </c>
      <c r="F221" s="61">
        <v>1069.8</v>
      </c>
      <c r="G221" s="23">
        <v>0.858</v>
      </c>
      <c r="H221" s="23">
        <v>0.381</v>
      </c>
      <c r="I221" s="1">
        <v>509.8</v>
      </c>
      <c r="J221" s="1">
        <v>341.9</v>
      </c>
      <c r="K221" s="1">
        <v>28823.0</v>
      </c>
      <c r="L221" s="1">
        <v>100.0</v>
      </c>
      <c r="M221" s="23">
        <v>16.345</v>
      </c>
      <c r="N221" s="64">
        <f t="shared" ref="N221:O221" si="218">if(G221&gt;100%,100%,G221)</f>
        <v>0.858</v>
      </c>
      <c r="O221" s="23">
        <f t="shared" si="218"/>
        <v>0.381</v>
      </c>
    </row>
    <row r="222">
      <c r="A222" s="1" t="s">
        <v>496</v>
      </c>
      <c r="B222" s="1" t="s">
        <v>492</v>
      </c>
      <c r="C222" s="23"/>
      <c r="D222" s="23"/>
      <c r="E222" s="23"/>
      <c r="F222" s="1"/>
      <c r="G222" s="23"/>
      <c r="H222" s="23"/>
      <c r="I222" s="1"/>
      <c r="J222" s="1"/>
      <c r="K222" s="1"/>
      <c r="N222" s="64" t="str">
        <f t="shared" ref="N222:O222" si="219">if(G222&gt;100%,100%,G222)</f>
        <v/>
      </c>
      <c r="O222" s="23" t="str">
        <f t="shared" si="219"/>
        <v/>
      </c>
    </row>
    <row r="223">
      <c r="A223" s="1">
        <v>424.0</v>
      </c>
      <c r="B223" s="1">
        <v>20946.0</v>
      </c>
      <c r="C223" s="23">
        <v>17.995</v>
      </c>
      <c r="D223" s="23">
        <v>17.794</v>
      </c>
      <c r="E223" s="23">
        <v>1.407</v>
      </c>
      <c r="F223" s="61">
        <v>1069.8</v>
      </c>
      <c r="G223" s="23">
        <v>0.885</v>
      </c>
      <c r="H223" s="23">
        <v>0.406</v>
      </c>
      <c r="I223" s="1">
        <v>509.8</v>
      </c>
      <c r="J223" s="1">
        <v>423.9</v>
      </c>
      <c r="K223" s="1">
        <v>28823.0</v>
      </c>
      <c r="L223" s="1">
        <v>100.0</v>
      </c>
      <c r="M223" s="23">
        <v>16.345</v>
      </c>
      <c r="N223" s="64">
        <f t="shared" ref="N223:O223" si="220">if(G223&gt;100%,100%,G223)</f>
        <v>0.885</v>
      </c>
      <c r="O223" s="23">
        <f t="shared" si="220"/>
        <v>0.406</v>
      </c>
    </row>
    <row r="224">
      <c r="A224" s="1">
        <v>426.0</v>
      </c>
      <c r="B224" s="1">
        <v>18202.0</v>
      </c>
      <c r="C224" s="23">
        <v>20.955</v>
      </c>
      <c r="D224" s="23">
        <v>21.086</v>
      </c>
      <c r="E224" s="26">
        <v>1.407</v>
      </c>
      <c r="F224" s="61">
        <v>1082.8</v>
      </c>
      <c r="G224" s="23">
        <v>0.885</v>
      </c>
      <c r="H224" s="23">
        <v>0.406</v>
      </c>
      <c r="I224" s="1">
        <v>509.8</v>
      </c>
      <c r="J224" s="1">
        <v>423.9</v>
      </c>
      <c r="K224" s="1">
        <v>25046.0</v>
      </c>
      <c r="L224" s="1">
        <v>100.0</v>
      </c>
      <c r="M224" s="23">
        <v>16.366</v>
      </c>
      <c r="N224" s="64">
        <f t="shared" ref="N224:O224" si="221">if(G224&gt;100%,100%,G224)</f>
        <v>0.885</v>
      </c>
      <c r="O224" s="23">
        <f t="shared" si="221"/>
        <v>0.406</v>
      </c>
    </row>
    <row r="225">
      <c r="A225" s="1">
        <v>428.0</v>
      </c>
      <c r="B225" s="1">
        <v>24001.0</v>
      </c>
      <c r="C225" s="23">
        <v>21.859</v>
      </c>
      <c r="D225" s="23">
        <v>27.724</v>
      </c>
      <c r="E225" s="23">
        <v>1.527</v>
      </c>
      <c r="F225" s="61">
        <v>1088.8</v>
      </c>
      <c r="G225" s="23">
        <v>0.885</v>
      </c>
      <c r="H225" s="23">
        <v>0.399</v>
      </c>
      <c r="I225" s="1">
        <v>509.8</v>
      </c>
      <c r="J225" s="1">
        <v>423.9</v>
      </c>
      <c r="K225" s="1">
        <v>33026.0</v>
      </c>
      <c r="L225" s="1">
        <v>100.0</v>
      </c>
      <c r="M225" s="23">
        <v>16.216</v>
      </c>
      <c r="N225" s="64">
        <f t="shared" ref="N225:O225" si="222">if(G225&gt;100%,100%,G225)</f>
        <v>0.885</v>
      </c>
      <c r="O225" s="23">
        <f t="shared" si="222"/>
        <v>0.399</v>
      </c>
    </row>
    <row r="226">
      <c r="A226" s="1">
        <v>430.0</v>
      </c>
      <c r="B226" s="1">
        <v>28678.0</v>
      </c>
      <c r="C226" s="23">
        <v>22.628</v>
      </c>
      <c r="D226" s="23">
        <v>31.914</v>
      </c>
      <c r="E226" s="23">
        <v>1.527</v>
      </c>
      <c r="F226" s="61">
        <v>1101.8</v>
      </c>
      <c r="G226" s="23">
        <v>0.885</v>
      </c>
      <c r="H226" s="23">
        <v>0.389</v>
      </c>
      <c r="I226" s="1">
        <v>509.8</v>
      </c>
      <c r="J226" s="1">
        <v>423.9</v>
      </c>
      <c r="K226" s="1">
        <v>39462.0</v>
      </c>
      <c r="L226" s="1">
        <v>100.0</v>
      </c>
      <c r="M226" s="26">
        <v>16.35</v>
      </c>
      <c r="N226" s="64">
        <f t="shared" ref="N226:O226" si="223">if(G226&gt;100%,100%,G226)</f>
        <v>0.885</v>
      </c>
      <c r="O226" s="23">
        <f t="shared" si="223"/>
        <v>0.389</v>
      </c>
    </row>
    <row r="227">
      <c r="A227" s="1">
        <v>432.0</v>
      </c>
      <c r="B227" s="1">
        <v>28678.0</v>
      </c>
      <c r="C227" s="26">
        <v>22.289</v>
      </c>
      <c r="D227" s="23">
        <v>31.608</v>
      </c>
      <c r="E227" s="23">
        <v>1.534</v>
      </c>
      <c r="F227" s="61">
        <v>1086.8</v>
      </c>
      <c r="G227" s="23">
        <v>0.885</v>
      </c>
      <c r="H227" s="23">
        <v>0.389</v>
      </c>
      <c r="I227" s="1">
        <v>509.8</v>
      </c>
      <c r="J227" s="1">
        <v>423.9</v>
      </c>
      <c r="K227" s="1">
        <v>39462.0</v>
      </c>
      <c r="L227" s="1">
        <v>100.0</v>
      </c>
      <c r="M227" s="26">
        <v>16.5</v>
      </c>
      <c r="N227" s="64">
        <f t="shared" ref="N227:O227" si="224">if(G227&gt;100%,100%,G227)</f>
        <v>0.885</v>
      </c>
      <c r="O227" s="23">
        <f t="shared" si="224"/>
        <v>0.389</v>
      </c>
    </row>
    <row r="228">
      <c r="A228" s="1">
        <v>434.0</v>
      </c>
      <c r="B228" s="1">
        <v>28678.0</v>
      </c>
      <c r="C228" s="23">
        <v>22.289</v>
      </c>
      <c r="D228" s="23">
        <v>31.603</v>
      </c>
      <c r="E228" s="23">
        <v>1.534</v>
      </c>
      <c r="F228" s="61">
        <v>1086.8</v>
      </c>
      <c r="G228" s="23">
        <v>0.885</v>
      </c>
      <c r="H228" s="23">
        <v>0.389</v>
      </c>
      <c r="I228" s="1">
        <v>509.8</v>
      </c>
      <c r="J228" s="1">
        <v>423.9</v>
      </c>
      <c r="K228" s="1">
        <v>39462.0</v>
      </c>
      <c r="L228" s="1">
        <v>100.0</v>
      </c>
      <c r="M228" s="23">
        <v>16.486</v>
      </c>
      <c r="N228" s="64">
        <f t="shared" ref="N228:O228" si="225">if(G228&gt;100%,100%,G228)</f>
        <v>0.885</v>
      </c>
      <c r="O228" s="23">
        <f t="shared" si="225"/>
        <v>0.389</v>
      </c>
    </row>
    <row r="229">
      <c r="A229" s="1">
        <v>436.0</v>
      </c>
      <c r="B229" s="1">
        <v>28678.0</v>
      </c>
      <c r="C229" s="23">
        <v>22.289</v>
      </c>
      <c r="D229" s="23">
        <v>26.481</v>
      </c>
      <c r="E229" s="23">
        <v>1.534</v>
      </c>
      <c r="F229" s="61">
        <v>1086.8</v>
      </c>
      <c r="G229" s="23">
        <v>0.885</v>
      </c>
      <c r="H229" s="23">
        <v>0.406</v>
      </c>
      <c r="I229" s="1">
        <v>509.8</v>
      </c>
      <c r="J229" s="1">
        <v>423.9</v>
      </c>
      <c r="K229" s="1">
        <v>39462.0</v>
      </c>
      <c r="L229" s="1">
        <v>100.0</v>
      </c>
      <c r="M229" s="23">
        <v>16.486</v>
      </c>
      <c r="N229" s="64">
        <f t="shared" ref="N229:O229" si="226">if(G229&gt;100%,100%,G229)</f>
        <v>0.885</v>
      </c>
      <c r="O229" s="23">
        <f t="shared" si="226"/>
        <v>0.406</v>
      </c>
    </row>
    <row r="230">
      <c r="A230" s="1">
        <v>438.0</v>
      </c>
      <c r="B230" s="1">
        <v>28678.0</v>
      </c>
      <c r="C230" s="23">
        <v>22.628</v>
      </c>
      <c r="D230" s="23">
        <v>25.847</v>
      </c>
      <c r="E230" s="23">
        <v>1.534</v>
      </c>
      <c r="F230" s="61">
        <v>1086.8</v>
      </c>
      <c r="G230" s="23">
        <v>0.885</v>
      </c>
      <c r="H230" s="23">
        <v>0.406</v>
      </c>
      <c r="I230" s="1">
        <v>509.8</v>
      </c>
      <c r="J230" s="1">
        <v>423.9</v>
      </c>
      <c r="K230" s="1">
        <v>39462.0</v>
      </c>
      <c r="L230" s="1">
        <v>100.0</v>
      </c>
      <c r="M230" s="23">
        <v>16.512</v>
      </c>
      <c r="N230" s="64">
        <f t="shared" ref="N230:O230" si="227">if(G230&gt;100%,100%,G230)</f>
        <v>0.885</v>
      </c>
      <c r="O230" s="23">
        <f t="shared" si="227"/>
        <v>0.406</v>
      </c>
    </row>
    <row r="231">
      <c r="A231" s="1">
        <v>440.0</v>
      </c>
      <c r="B231" s="1">
        <v>26745.0</v>
      </c>
      <c r="C231" s="23">
        <v>21.882</v>
      </c>
      <c r="D231" s="23">
        <v>21.092</v>
      </c>
      <c r="E231" s="23">
        <v>1.991</v>
      </c>
      <c r="F231" s="61">
        <v>1086.8</v>
      </c>
      <c r="G231" s="23">
        <v>0.885</v>
      </c>
      <c r="H231" s="23">
        <v>0.406</v>
      </c>
      <c r="I231" s="1">
        <v>509.8</v>
      </c>
      <c r="J231" s="1">
        <v>423.9</v>
      </c>
      <c r="K231" s="1">
        <v>36802.0</v>
      </c>
      <c r="L231" s="1">
        <v>100.0</v>
      </c>
      <c r="M231" s="23">
        <v>16.512</v>
      </c>
      <c r="N231" s="64">
        <f t="shared" ref="N231:O231" si="228">if(G231&gt;100%,100%,G231)</f>
        <v>0.885</v>
      </c>
      <c r="O231" s="23">
        <f t="shared" si="228"/>
        <v>0.406</v>
      </c>
    </row>
    <row r="232">
      <c r="A232" s="1">
        <v>442.0</v>
      </c>
      <c r="B232" s="1">
        <v>22879.0</v>
      </c>
      <c r="C232" s="23">
        <v>20.017</v>
      </c>
      <c r="D232" s="26">
        <v>18.929</v>
      </c>
      <c r="E232" s="23">
        <v>1.991</v>
      </c>
      <c r="F232" s="61">
        <v>1075.8</v>
      </c>
      <c r="G232" s="23">
        <v>0.858</v>
      </c>
      <c r="H232" s="23">
        <v>0.406</v>
      </c>
      <c r="I232" s="1">
        <v>509.8</v>
      </c>
      <c r="J232" s="1">
        <v>341.9</v>
      </c>
      <c r="K232" s="1">
        <v>31483.0</v>
      </c>
      <c r="L232" s="1">
        <v>100.0</v>
      </c>
      <c r="M232" s="23">
        <v>16.347</v>
      </c>
      <c r="N232" s="64">
        <f t="shared" ref="N232:O232" si="229">if(G232&gt;100%,100%,G232)</f>
        <v>0.858</v>
      </c>
      <c r="O232" s="23">
        <f t="shared" si="229"/>
        <v>0.406</v>
      </c>
    </row>
    <row r="233">
      <c r="A233" s="1">
        <v>444.0</v>
      </c>
      <c r="B233" s="1">
        <v>20946.0</v>
      </c>
      <c r="C233" s="23">
        <v>19.69</v>
      </c>
      <c r="D233" s="23">
        <v>18.638</v>
      </c>
      <c r="E233" s="23">
        <v>1.861</v>
      </c>
      <c r="F233" s="61">
        <v>1069.8</v>
      </c>
      <c r="G233" s="23">
        <v>0.858</v>
      </c>
      <c r="H233" s="23">
        <v>0.396</v>
      </c>
      <c r="I233" s="1">
        <v>509.8</v>
      </c>
      <c r="J233" s="1">
        <v>341.9</v>
      </c>
      <c r="K233" s="1">
        <v>28823.0</v>
      </c>
      <c r="L233" s="1">
        <v>100.0</v>
      </c>
      <c r="M233" s="23">
        <v>16.347</v>
      </c>
      <c r="N233" s="64">
        <f t="shared" ref="N233:O233" si="230">if(G233&gt;100%,100%,G233)</f>
        <v>0.858</v>
      </c>
      <c r="O233" s="23">
        <f t="shared" si="230"/>
        <v>0.396</v>
      </c>
    </row>
    <row r="234">
      <c r="A234" s="1">
        <v>446.0</v>
      </c>
      <c r="B234" s="1">
        <v>20946.0</v>
      </c>
      <c r="C234" s="23">
        <v>18.006</v>
      </c>
      <c r="D234" s="23">
        <v>17.018</v>
      </c>
      <c r="E234" s="23">
        <v>1.861</v>
      </c>
      <c r="F234" s="61">
        <v>1069.8</v>
      </c>
      <c r="G234" s="23">
        <v>0.858</v>
      </c>
      <c r="H234" s="23">
        <v>0.396</v>
      </c>
      <c r="I234" s="1">
        <v>509.8</v>
      </c>
      <c r="J234" s="1">
        <v>341.9</v>
      </c>
      <c r="K234" s="1">
        <v>28823.0</v>
      </c>
      <c r="L234" s="1">
        <v>100.0</v>
      </c>
      <c r="M234" s="23">
        <v>16.197</v>
      </c>
      <c r="N234" s="64">
        <f t="shared" ref="N234:O234" si="231">if(G234&gt;100%,100%,G234)</f>
        <v>0.858</v>
      </c>
      <c r="O234" s="23">
        <f t="shared" si="231"/>
        <v>0.396</v>
      </c>
    </row>
    <row r="235">
      <c r="A235" s="1">
        <v>448.0</v>
      </c>
      <c r="B235" s="1">
        <v>20946.0</v>
      </c>
      <c r="C235" s="23">
        <v>18.006</v>
      </c>
      <c r="D235" s="23">
        <v>17.014</v>
      </c>
      <c r="E235" s="23">
        <v>1.861</v>
      </c>
      <c r="F235" s="61">
        <v>1069.8</v>
      </c>
      <c r="G235" s="23">
        <v>0.877</v>
      </c>
      <c r="H235" s="23">
        <v>0.396</v>
      </c>
      <c r="I235" s="1">
        <v>509.8</v>
      </c>
      <c r="J235" s="1">
        <v>401.2</v>
      </c>
      <c r="K235" s="1">
        <v>28823.0</v>
      </c>
      <c r="L235" s="1">
        <v>100.0</v>
      </c>
      <c r="M235" s="23">
        <v>16.179</v>
      </c>
      <c r="N235" s="64">
        <f t="shared" ref="N235:O235" si="232">if(G235&gt;100%,100%,G235)</f>
        <v>0.877</v>
      </c>
      <c r="O235" s="23">
        <f t="shared" si="232"/>
        <v>0.396</v>
      </c>
    </row>
    <row r="236">
      <c r="A236" s="1">
        <v>450.0</v>
      </c>
      <c r="B236" s="1">
        <v>20946.0</v>
      </c>
      <c r="C236" s="23">
        <v>18.051</v>
      </c>
      <c r="D236" s="23">
        <v>17.069</v>
      </c>
      <c r="E236" s="23">
        <v>1.861</v>
      </c>
      <c r="F236" s="61">
        <v>1069.8</v>
      </c>
      <c r="G236" s="23">
        <v>0.877</v>
      </c>
      <c r="H236" s="23">
        <v>0.406</v>
      </c>
      <c r="I236" s="1">
        <v>618.9</v>
      </c>
      <c r="J236" s="1">
        <v>401.2</v>
      </c>
      <c r="K236" s="1">
        <v>28823.0</v>
      </c>
      <c r="L236" s="1">
        <v>100.0</v>
      </c>
      <c r="M236" s="23">
        <v>16.179</v>
      </c>
      <c r="N236" s="64">
        <f t="shared" ref="N236:O236" si="233">if(G236&gt;100%,100%,G236)</f>
        <v>0.877</v>
      </c>
      <c r="O236" s="23">
        <f t="shared" si="233"/>
        <v>0.406</v>
      </c>
    </row>
    <row r="237">
      <c r="A237" s="1">
        <v>452.0</v>
      </c>
      <c r="B237" s="1">
        <v>20946.0</v>
      </c>
      <c r="C237" s="23">
        <v>18.062</v>
      </c>
      <c r="D237" s="23">
        <v>16.743</v>
      </c>
      <c r="E237" s="23">
        <v>1.407</v>
      </c>
      <c r="F237" s="61">
        <v>1069.8</v>
      </c>
      <c r="G237" s="23">
        <v>0.877</v>
      </c>
      <c r="H237" s="23">
        <v>0.406</v>
      </c>
      <c r="I237" s="1">
        <v>618.9</v>
      </c>
      <c r="J237" s="1">
        <v>401.2</v>
      </c>
      <c r="K237" s="1">
        <v>28823.0</v>
      </c>
      <c r="L237" s="1">
        <v>100.0</v>
      </c>
      <c r="M237" s="23">
        <v>16.172</v>
      </c>
      <c r="N237" s="64">
        <f t="shared" ref="N237:O237" si="234">if(G237&gt;100%,100%,G237)</f>
        <v>0.877</v>
      </c>
      <c r="O237" s="23">
        <f t="shared" si="234"/>
        <v>0.406</v>
      </c>
    </row>
    <row r="238">
      <c r="A238" s="1">
        <v>454.0</v>
      </c>
      <c r="B238" s="1">
        <v>20946.0</v>
      </c>
      <c r="C238" s="23">
        <v>17.609</v>
      </c>
      <c r="D238" s="23">
        <v>17.175</v>
      </c>
      <c r="E238" s="23">
        <v>1.407</v>
      </c>
      <c r="F238" s="61">
        <v>1015.5</v>
      </c>
      <c r="G238" s="23">
        <v>0.864</v>
      </c>
      <c r="H238" s="23">
        <v>0.406</v>
      </c>
      <c r="I238" s="1">
        <v>618.9</v>
      </c>
      <c r="J238" s="1">
        <v>361.9</v>
      </c>
      <c r="K238" s="1">
        <v>28823.0</v>
      </c>
      <c r="L238" s="1">
        <v>100.0</v>
      </c>
      <c r="M238" s="23">
        <v>16.172</v>
      </c>
      <c r="N238" s="64">
        <f t="shared" ref="N238:O238" si="235">if(G238&gt;100%,100%,G238)</f>
        <v>0.864</v>
      </c>
      <c r="O238" s="23">
        <f t="shared" si="235"/>
        <v>0.406</v>
      </c>
    </row>
    <row r="239">
      <c r="A239" s="1">
        <v>456.0</v>
      </c>
      <c r="B239" s="1">
        <v>20946.0</v>
      </c>
      <c r="C239" s="23">
        <v>17.62</v>
      </c>
      <c r="D239" s="23">
        <v>17.233</v>
      </c>
      <c r="E239" s="23">
        <v>0.987</v>
      </c>
      <c r="F239" s="61">
        <v>1015.5</v>
      </c>
      <c r="G239" s="23">
        <v>0.864</v>
      </c>
      <c r="H239" s="23">
        <v>0.406</v>
      </c>
      <c r="I239" s="1">
        <v>618.9</v>
      </c>
      <c r="J239" s="1">
        <v>361.9</v>
      </c>
      <c r="K239" s="1">
        <v>28823.0</v>
      </c>
      <c r="L239" s="1">
        <v>100.0</v>
      </c>
      <c r="M239" s="23">
        <v>16.342</v>
      </c>
      <c r="N239" s="64">
        <f t="shared" ref="N239:O239" si="236">if(G239&gt;100%,100%,G239)</f>
        <v>0.864</v>
      </c>
      <c r="O239" s="23">
        <f t="shared" si="236"/>
        <v>0.406</v>
      </c>
    </row>
    <row r="240">
      <c r="A240" s="1">
        <v>458.0</v>
      </c>
      <c r="B240" s="1">
        <v>20277.0</v>
      </c>
      <c r="C240" s="23">
        <v>16.95</v>
      </c>
      <c r="D240" s="23">
        <v>17.87</v>
      </c>
      <c r="E240" s="23">
        <v>1.507</v>
      </c>
      <c r="F240" s="61">
        <v>1027.5</v>
      </c>
      <c r="G240" s="23">
        <v>0.891</v>
      </c>
      <c r="H240" s="23">
        <v>0.406</v>
      </c>
      <c r="I240" s="1">
        <v>618.9</v>
      </c>
      <c r="J240" s="1">
        <v>443.9</v>
      </c>
      <c r="K240" s="1">
        <v>28823.0</v>
      </c>
      <c r="L240" s="1">
        <v>100.0</v>
      </c>
      <c r="M240" s="23">
        <v>16.342</v>
      </c>
      <c r="N240" s="64">
        <f t="shared" ref="N240:O240" si="237">if(G240&gt;100%,100%,G240)</f>
        <v>0.891</v>
      </c>
      <c r="O240" s="23">
        <f t="shared" si="237"/>
        <v>0.406</v>
      </c>
    </row>
    <row r="241">
      <c r="A241" s="1">
        <v>460.0</v>
      </c>
      <c r="B241" s="1">
        <v>20946.0</v>
      </c>
      <c r="C241" s="23">
        <v>18.368</v>
      </c>
      <c r="D241" s="23">
        <v>18.582</v>
      </c>
      <c r="E241" s="23">
        <v>1.507</v>
      </c>
      <c r="F241" s="61">
        <v>1066.8</v>
      </c>
      <c r="G241" s="23">
        <v>0.904</v>
      </c>
      <c r="H241" s="23">
        <v>1.407</v>
      </c>
      <c r="I241" s="1">
        <v>618.9</v>
      </c>
      <c r="J241" s="1">
        <v>483.1</v>
      </c>
      <c r="K241" s="1">
        <v>28823.0</v>
      </c>
      <c r="L241" s="1">
        <v>100.0</v>
      </c>
      <c r="M241" s="23">
        <v>16.492</v>
      </c>
      <c r="N241" s="64">
        <f t="shared" ref="N241:O241" si="238">if(G241&gt;100%,100%,G241)</f>
        <v>0.904</v>
      </c>
      <c r="O241" s="23">
        <f t="shared" si="238"/>
        <v>1</v>
      </c>
    </row>
    <row r="242">
      <c r="A242" s="1">
        <v>462.0</v>
      </c>
      <c r="B242" s="1">
        <v>22879.0</v>
      </c>
      <c r="C242" s="23">
        <v>18.526</v>
      </c>
      <c r="D242" s="23">
        <v>19.0</v>
      </c>
      <c r="E242" s="23">
        <v>1.507</v>
      </c>
      <c r="F242" s="61">
        <v>1082.8</v>
      </c>
      <c r="G242" s="23">
        <v>0.904</v>
      </c>
      <c r="H242" s="23">
        <v>1.407</v>
      </c>
      <c r="I242" s="1">
        <v>618.9</v>
      </c>
      <c r="J242" s="1">
        <v>483.1</v>
      </c>
      <c r="K242" s="1">
        <v>31483.0</v>
      </c>
      <c r="L242" s="1">
        <v>100.0</v>
      </c>
      <c r="M242" s="23">
        <v>16.492</v>
      </c>
      <c r="N242" s="64">
        <f t="shared" ref="N242:O242" si="239">if(G242&gt;100%,100%,G242)</f>
        <v>0.904</v>
      </c>
      <c r="O242" s="23">
        <f t="shared" si="239"/>
        <v>1</v>
      </c>
    </row>
    <row r="243">
      <c r="A243" s="1">
        <v>464.0</v>
      </c>
      <c r="B243" s="1">
        <v>22879.0</v>
      </c>
      <c r="C243" s="23">
        <v>18.56</v>
      </c>
      <c r="D243" s="23">
        <v>22.321</v>
      </c>
      <c r="E243" s="23">
        <v>1.757</v>
      </c>
      <c r="F243" s="61">
        <v>1082.8</v>
      </c>
      <c r="G243" s="23">
        <v>0.904</v>
      </c>
      <c r="H243" s="23">
        <v>0.381</v>
      </c>
      <c r="I243" s="1">
        <v>618.9</v>
      </c>
      <c r="J243" s="1">
        <v>483.1</v>
      </c>
      <c r="K243" s="1">
        <v>31483.0</v>
      </c>
      <c r="L243" s="1">
        <v>100.0</v>
      </c>
      <c r="M243" s="23">
        <v>16.539</v>
      </c>
      <c r="N243" s="64">
        <f t="shared" ref="N243:O243" si="240">if(G243&gt;100%,100%,G243)</f>
        <v>0.904</v>
      </c>
      <c r="O243" s="23">
        <f t="shared" si="240"/>
        <v>0.381</v>
      </c>
    </row>
    <row r="244">
      <c r="A244" s="1">
        <v>466.0</v>
      </c>
      <c r="B244" s="1">
        <v>22879.0</v>
      </c>
      <c r="C244" s="23">
        <v>18.526</v>
      </c>
      <c r="D244" s="23">
        <v>21.988</v>
      </c>
      <c r="E244" s="23">
        <v>1.757</v>
      </c>
      <c r="F244" s="61">
        <v>1082.8</v>
      </c>
      <c r="G244" s="23">
        <v>0.904</v>
      </c>
      <c r="H244" s="23">
        <v>0.371</v>
      </c>
      <c r="I244" s="1">
        <v>618.9</v>
      </c>
      <c r="J244" s="1">
        <v>483.1</v>
      </c>
      <c r="K244" s="1">
        <v>31483.0</v>
      </c>
      <c r="L244" s="1">
        <v>100.0</v>
      </c>
      <c r="M244" s="23">
        <v>16.539</v>
      </c>
      <c r="N244" s="64">
        <f t="shared" ref="N244:O244" si="241">if(G244&gt;100%,100%,G244)</f>
        <v>0.904</v>
      </c>
      <c r="O244" s="23">
        <f t="shared" si="241"/>
        <v>0.371</v>
      </c>
    </row>
    <row r="245">
      <c r="A245" s="1">
        <v>468.0</v>
      </c>
      <c r="B245" s="1">
        <v>22879.0</v>
      </c>
      <c r="C245" s="23">
        <v>18.74</v>
      </c>
      <c r="D245" s="23">
        <v>21.79</v>
      </c>
      <c r="E245" s="23">
        <v>1.757</v>
      </c>
      <c r="F245" s="61">
        <v>1082.8</v>
      </c>
      <c r="G245" s="23">
        <v>0.904</v>
      </c>
      <c r="H245" s="23">
        <v>0.371</v>
      </c>
      <c r="I245" s="1">
        <v>618.9</v>
      </c>
      <c r="J245" s="1">
        <v>483.1</v>
      </c>
      <c r="K245" s="1">
        <v>31483.0</v>
      </c>
      <c r="L245" s="1">
        <v>100.0</v>
      </c>
      <c r="M245" s="23">
        <v>16.547</v>
      </c>
      <c r="N245" s="64">
        <f t="shared" ref="N245:O245" si="242">if(G245&gt;100%,100%,G245)</f>
        <v>0.904</v>
      </c>
      <c r="O245" s="23">
        <f t="shared" si="242"/>
        <v>0.371</v>
      </c>
    </row>
    <row r="246">
      <c r="A246" s="1">
        <v>470.0</v>
      </c>
      <c r="B246" s="1">
        <v>22879.0</v>
      </c>
      <c r="C246" s="26">
        <v>18.74</v>
      </c>
      <c r="D246" s="23">
        <v>21.923</v>
      </c>
      <c r="E246" s="23">
        <v>1.757</v>
      </c>
      <c r="F246" s="61">
        <v>1082.8</v>
      </c>
      <c r="G246" s="23">
        <v>0.904</v>
      </c>
      <c r="H246" s="23">
        <v>0.371</v>
      </c>
      <c r="I246" s="1">
        <v>618.9</v>
      </c>
      <c r="J246" s="1">
        <v>483.1</v>
      </c>
      <c r="K246" s="1">
        <v>31483.0</v>
      </c>
      <c r="L246" s="1">
        <v>100.0</v>
      </c>
      <c r="M246" s="23">
        <v>16.547</v>
      </c>
      <c r="N246" s="64">
        <f t="shared" ref="N246:O246" si="243">if(G246&gt;100%,100%,G246)</f>
        <v>0.904</v>
      </c>
      <c r="O246" s="23">
        <f t="shared" si="243"/>
        <v>0.371</v>
      </c>
    </row>
    <row r="247">
      <c r="A247" s="1">
        <v>472.0</v>
      </c>
      <c r="B247" s="1">
        <v>22879.0</v>
      </c>
      <c r="C247" s="26">
        <v>19.215</v>
      </c>
      <c r="D247" s="23">
        <v>22.455</v>
      </c>
      <c r="E247" s="23">
        <v>1.757</v>
      </c>
      <c r="F247" s="61">
        <v>1082.8</v>
      </c>
      <c r="G247" s="23">
        <v>0.904</v>
      </c>
      <c r="H247" s="23">
        <v>0.371</v>
      </c>
      <c r="I247" s="1">
        <v>618.9</v>
      </c>
      <c r="J247" s="1">
        <v>483.1</v>
      </c>
      <c r="K247" s="1">
        <v>31483.0</v>
      </c>
      <c r="L247" s="1">
        <v>100.0</v>
      </c>
      <c r="M247" s="23">
        <v>16.547</v>
      </c>
      <c r="N247" s="64">
        <f t="shared" ref="N247:O247" si="244">if(G247&gt;100%,100%,G247)</f>
        <v>0.904</v>
      </c>
      <c r="O247" s="23">
        <f t="shared" si="244"/>
        <v>0.371</v>
      </c>
    </row>
    <row r="248">
      <c r="A248" s="1">
        <v>474.0</v>
      </c>
      <c r="B248" s="1">
        <v>22879.0</v>
      </c>
      <c r="C248" s="26">
        <v>19.215</v>
      </c>
      <c r="D248" s="23">
        <v>19.097</v>
      </c>
      <c r="E248" s="23">
        <v>1.757</v>
      </c>
      <c r="F248" s="61">
        <v>1082.8</v>
      </c>
      <c r="G248" s="23">
        <v>0.871</v>
      </c>
      <c r="H248" s="23">
        <v>0.406</v>
      </c>
      <c r="I248" s="1">
        <v>618.9</v>
      </c>
      <c r="J248" s="1">
        <v>381.4</v>
      </c>
      <c r="K248" s="1">
        <v>31483.0</v>
      </c>
      <c r="L248" s="1">
        <v>100.0</v>
      </c>
      <c r="M248" s="23">
        <v>16.422</v>
      </c>
      <c r="N248" s="64">
        <f t="shared" ref="N248:O248" si="245">if(G248&gt;100%,100%,G248)</f>
        <v>0.871</v>
      </c>
      <c r="O248" s="23">
        <f t="shared" si="245"/>
        <v>0.406</v>
      </c>
    </row>
    <row r="249">
      <c r="A249" s="1">
        <v>476.0</v>
      </c>
      <c r="B249" s="1">
        <v>20946.0</v>
      </c>
      <c r="C249" s="26">
        <v>18.108</v>
      </c>
      <c r="D249" s="23">
        <v>17.865</v>
      </c>
      <c r="E249" s="23">
        <v>1.877</v>
      </c>
      <c r="F249" s="61">
        <v>1069.8</v>
      </c>
      <c r="G249" s="23">
        <v>0.877</v>
      </c>
      <c r="H249" s="23">
        <v>0.406</v>
      </c>
      <c r="I249" s="1">
        <v>618.9</v>
      </c>
      <c r="J249" s="1">
        <v>401.2</v>
      </c>
      <c r="K249" s="1">
        <v>28823.0</v>
      </c>
      <c r="L249" s="1">
        <v>100.0</v>
      </c>
      <c r="M249" s="23">
        <v>16.272</v>
      </c>
      <c r="N249" s="64">
        <f t="shared" ref="N249:O249" si="246">if(G249&gt;100%,100%,G249)</f>
        <v>0.877</v>
      </c>
      <c r="O249" s="23">
        <f t="shared" si="246"/>
        <v>0.406</v>
      </c>
    </row>
    <row r="250">
      <c r="A250" s="1">
        <v>478.0</v>
      </c>
      <c r="B250" s="1">
        <v>20946.0</v>
      </c>
      <c r="C250" s="26">
        <v>18.108</v>
      </c>
      <c r="D250" s="23">
        <v>17.627</v>
      </c>
      <c r="E250" s="23">
        <v>1.777</v>
      </c>
      <c r="F250" s="61">
        <v>1069.8</v>
      </c>
      <c r="G250" s="23">
        <v>0.877</v>
      </c>
      <c r="H250" s="23">
        <v>0.406</v>
      </c>
      <c r="I250" s="1">
        <v>618.9</v>
      </c>
      <c r="J250" s="1">
        <v>401.2</v>
      </c>
      <c r="K250" s="1">
        <v>28823.0</v>
      </c>
      <c r="L250" s="1">
        <v>100.0</v>
      </c>
      <c r="M250" s="23">
        <v>16.368</v>
      </c>
      <c r="N250" s="64">
        <f t="shared" ref="N250:O250" si="247">if(G250&gt;100%,100%,G250)</f>
        <v>0.877</v>
      </c>
      <c r="O250" s="23">
        <f t="shared" si="247"/>
        <v>0.406</v>
      </c>
    </row>
    <row r="251">
      <c r="A251" s="1">
        <v>480.0</v>
      </c>
      <c r="B251" s="1">
        <v>20946.0</v>
      </c>
      <c r="C251" s="26">
        <v>18.085</v>
      </c>
      <c r="D251" s="23">
        <v>17.683</v>
      </c>
      <c r="E251" s="23">
        <v>1.777</v>
      </c>
      <c r="F251" s="61">
        <v>1069.8</v>
      </c>
      <c r="G251" s="23">
        <v>0.877</v>
      </c>
      <c r="H251" s="23">
        <v>0.406</v>
      </c>
      <c r="I251" s="1">
        <v>618.9</v>
      </c>
      <c r="J251" s="1">
        <v>401.2</v>
      </c>
      <c r="K251" s="1">
        <v>28823.0</v>
      </c>
      <c r="L251" s="1">
        <v>100.0</v>
      </c>
      <c r="M251" s="23">
        <v>16.368</v>
      </c>
      <c r="N251" s="64">
        <f t="shared" ref="N251:O251" si="248">if(G251&gt;100%,100%,G251)</f>
        <v>0.877</v>
      </c>
      <c r="O251" s="23">
        <f t="shared" si="248"/>
        <v>0.406</v>
      </c>
    </row>
    <row r="252">
      <c r="A252" s="1">
        <v>482.0</v>
      </c>
      <c r="B252" s="1">
        <v>20946.0</v>
      </c>
      <c r="C252" s="26">
        <v>17.192</v>
      </c>
      <c r="D252" s="23">
        <v>17.402</v>
      </c>
      <c r="E252" s="23">
        <v>1.357</v>
      </c>
      <c r="F252" s="61">
        <v>1054.8</v>
      </c>
      <c r="G252" s="23">
        <v>0.877</v>
      </c>
      <c r="H252" s="23">
        <v>0.406</v>
      </c>
      <c r="I252" s="1">
        <v>618.9</v>
      </c>
      <c r="J252" s="1">
        <v>401.2</v>
      </c>
      <c r="K252" s="1">
        <v>28823.0</v>
      </c>
      <c r="L252" s="1">
        <v>100.0</v>
      </c>
      <c r="M252" s="23">
        <v>16.373</v>
      </c>
      <c r="N252" s="64">
        <f t="shared" ref="N252:O252" si="249">if(G252&gt;100%,100%,G252)</f>
        <v>0.877</v>
      </c>
      <c r="O252" s="23">
        <f t="shared" si="249"/>
        <v>0.406</v>
      </c>
    </row>
    <row r="253">
      <c r="A253" s="1">
        <v>484.0</v>
      </c>
      <c r="B253" s="1">
        <v>20720.0</v>
      </c>
      <c r="C253" s="26">
        <v>18.029</v>
      </c>
      <c r="D253" s="23">
        <v>17.831</v>
      </c>
      <c r="E253" s="23">
        <v>1.357</v>
      </c>
      <c r="F253" s="61">
        <v>1054.8</v>
      </c>
      <c r="G253" s="23">
        <v>0.877</v>
      </c>
      <c r="H253" s="23">
        <v>0.396</v>
      </c>
      <c r="I253" s="1">
        <v>618.9</v>
      </c>
      <c r="J253" s="1">
        <v>401.2</v>
      </c>
      <c r="K253" s="1">
        <v>28823.0</v>
      </c>
      <c r="L253" s="1">
        <v>100.0</v>
      </c>
      <c r="M253" s="23">
        <v>16.373</v>
      </c>
      <c r="N253" s="64">
        <f t="shared" ref="N253:O253" si="250">if(G253&gt;100%,100%,G253)</f>
        <v>0.877</v>
      </c>
      <c r="O253" s="23">
        <f t="shared" si="250"/>
        <v>0.396</v>
      </c>
    </row>
    <row r="254">
      <c r="A254" s="1">
        <v>486.0</v>
      </c>
      <c r="B254" s="1">
        <v>20720.0</v>
      </c>
      <c r="C254" s="26">
        <v>18.334</v>
      </c>
      <c r="D254" s="23">
        <v>18.17</v>
      </c>
      <c r="E254" s="23">
        <v>1.357</v>
      </c>
      <c r="F254" s="61">
        <v>1054.8</v>
      </c>
      <c r="G254" s="23">
        <v>0.877</v>
      </c>
      <c r="H254" s="23">
        <v>0.406</v>
      </c>
      <c r="I254" s="1">
        <v>618.9</v>
      </c>
      <c r="J254" s="1">
        <v>401.2</v>
      </c>
      <c r="K254" s="1">
        <v>28823.0</v>
      </c>
      <c r="L254" s="1">
        <v>100.0</v>
      </c>
      <c r="M254" s="23">
        <v>16.372</v>
      </c>
      <c r="N254" s="64">
        <f t="shared" ref="N254:O254" si="251">if(G254&gt;100%,100%,G254)</f>
        <v>0.877</v>
      </c>
      <c r="O254" s="23">
        <f t="shared" si="251"/>
        <v>0.406</v>
      </c>
    </row>
    <row r="255">
      <c r="A255" s="1">
        <v>489.0</v>
      </c>
      <c r="B255" s="1">
        <v>16269.0</v>
      </c>
      <c r="C255" s="26">
        <v>17.735</v>
      </c>
      <c r="D255" s="23">
        <v>17.775</v>
      </c>
      <c r="E255" s="23">
        <v>1.357</v>
      </c>
      <c r="F255" s="61">
        <v>1054.8</v>
      </c>
      <c r="G255" s="23">
        <v>0.877</v>
      </c>
      <c r="H255" s="23">
        <v>0.406</v>
      </c>
      <c r="I255" s="1">
        <v>618.9</v>
      </c>
      <c r="J255" s="1">
        <v>401.2</v>
      </c>
      <c r="K255" s="1">
        <v>22387.0</v>
      </c>
      <c r="L255" s="1">
        <v>100.0</v>
      </c>
      <c r="M255" s="23">
        <v>16.372</v>
      </c>
      <c r="N255" s="64">
        <f t="shared" ref="N255:O255" si="252">if(G255&gt;100%,100%,G255)</f>
        <v>0.877</v>
      </c>
      <c r="O255" s="23">
        <f t="shared" si="252"/>
        <v>0.406</v>
      </c>
    </row>
    <row r="256">
      <c r="A256" s="1">
        <v>491.0</v>
      </c>
      <c r="B256" s="1">
        <v>18202.0</v>
      </c>
      <c r="C256" s="26">
        <v>21.113</v>
      </c>
      <c r="D256" s="23">
        <v>20.853</v>
      </c>
      <c r="E256" s="23">
        <v>1.237</v>
      </c>
      <c r="F256" s="61">
        <v>1054.8</v>
      </c>
      <c r="G256" s="23">
        <v>0.877</v>
      </c>
      <c r="H256" s="23">
        <v>0.406</v>
      </c>
      <c r="I256" s="1">
        <v>618.9</v>
      </c>
      <c r="J256" s="1">
        <v>401.2</v>
      </c>
      <c r="K256" s="1">
        <v>25046.0</v>
      </c>
      <c r="L256" s="1">
        <v>100.0</v>
      </c>
      <c r="M256" s="23">
        <v>16.493</v>
      </c>
      <c r="N256" s="64">
        <f t="shared" ref="N256:O256" si="253">if(G256&gt;100%,100%,G256)</f>
        <v>0.877</v>
      </c>
      <c r="O256" s="23">
        <f t="shared" si="253"/>
        <v>0.406</v>
      </c>
    </row>
    <row r="257">
      <c r="A257" s="1">
        <v>493.0</v>
      </c>
      <c r="B257" s="1">
        <v>22068.0</v>
      </c>
      <c r="C257" s="26">
        <v>22.198</v>
      </c>
      <c r="D257" s="23">
        <v>27.316</v>
      </c>
      <c r="E257" s="23">
        <v>1.237</v>
      </c>
      <c r="F257" s="61">
        <v>1107.8</v>
      </c>
      <c r="G257" s="23">
        <v>0.904</v>
      </c>
      <c r="H257" s="23">
        <v>0.406</v>
      </c>
      <c r="I257" s="1">
        <v>618.9</v>
      </c>
      <c r="J257" s="1">
        <v>483.1</v>
      </c>
      <c r="K257" s="1">
        <v>30366.0</v>
      </c>
      <c r="L257" s="1">
        <v>100.0</v>
      </c>
      <c r="M257" s="23">
        <v>16.493</v>
      </c>
      <c r="N257" s="64">
        <f t="shared" ref="N257:O257" si="254">if(G257&gt;100%,100%,G257)</f>
        <v>0.904</v>
      </c>
      <c r="O257" s="23">
        <f t="shared" si="254"/>
        <v>0.406</v>
      </c>
    </row>
    <row r="258">
      <c r="A258" s="1">
        <v>495.0</v>
      </c>
      <c r="B258" s="1">
        <v>26745.0</v>
      </c>
      <c r="C258" s="23">
        <v>22.786</v>
      </c>
      <c r="D258" s="23">
        <v>27.709</v>
      </c>
      <c r="E258" s="23">
        <v>1.237</v>
      </c>
      <c r="F258" s="61">
        <v>1088.8</v>
      </c>
      <c r="G258" s="23">
        <v>0.904</v>
      </c>
      <c r="H258" s="23">
        <v>0.406</v>
      </c>
      <c r="I258" s="1">
        <v>618.9</v>
      </c>
      <c r="J258" s="1">
        <v>483.1</v>
      </c>
      <c r="K258" s="1">
        <v>36802.0</v>
      </c>
      <c r="L258" s="1">
        <v>100.0</v>
      </c>
      <c r="M258" s="23">
        <v>16.516</v>
      </c>
      <c r="N258" s="64">
        <f t="shared" ref="N258:O258" si="255">if(G258&gt;100%,100%,G258)</f>
        <v>0.904</v>
      </c>
      <c r="O258" s="23">
        <f t="shared" si="255"/>
        <v>0.406</v>
      </c>
    </row>
    <row r="259">
      <c r="A259" s="1">
        <v>497.0</v>
      </c>
      <c r="B259" s="1">
        <v>26745.0</v>
      </c>
      <c r="C259" s="23">
        <v>22.786</v>
      </c>
      <c r="D259" s="23">
        <v>27.847</v>
      </c>
      <c r="E259" s="23">
        <v>1.237</v>
      </c>
      <c r="F259" s="61">
        <v>1088.8</v>
      </c>
      <c r="G259" s="23">
        <v>0.904</v>
      </c>
      <c r="H259" s="23">
        <v>0.406</v>
      </c>
      <c r="I259" s="1">
        <v>618.9</v>
      </c>
      <c r="J259" s="1">
        <v>483.1</v>
      </c>
      <c r="K259" s="1">
        <v>36802.0</v>
      </c>
      <c r="L259" s="1">
        <v>100.0</v>
      </c>
      <c r="M259" s="23">
        <v>16.516</v>
      </c>
      <c r="N259" s="64">
        <f t="shared" ref="N259:O259" si="256">if(G259&gt;100%,100%,G259)</f>
        <v>0.904</v>
      </c>
      <c r="O259" s="23">
        <f t="shared" si="256"/>
        <v>0.406</v>
      </c>
    </row>
    <row r="260">
      <c r="A260" s="1">
        <v>499.0</v>
      </c>
      <c r="B260" s="1">
        <v>28678.0</v>
      </c>
      <c r="C260" s="23">
        <v>22.967</v>
      </c>
      <c r="D260" s="23">
        <v>27.291</v>
      </c>
      <c r="E260" s="23">
        <v>1.237</v>
      </c>
      <c r="F260" s="61">
        <v>1101.8</v>
      </c>
      <c r="G260" s="23">
        <v>0.904</v>
      </c>
      <c r="H260" s="23">
        <v>0.406</v>
      </c>
      <c r="I260" s="1">
        <v>618.9</v>
      </c>
      <c r="J260" s="1">
        <v>483.1</v>
      </c>
      <c r="K260" s="1">
        <v>39462.0</v>
      </c>
      <c r="L260" s="1">
        <v>100.0</v>
      </c>
      <c r="M260" s="23">
        <v>16.477</v>
      </c>
      <c r="N260" s="64">
        <f t="shared" ref="N260:O260" si="257">if(G260&gt;100%,100%,G260)</f>
        <v>0.904</v>
      </c>
      <c r="O260" s="23">
        <f t="shared" si="257"/>
        <v>0.406</v>
      </c>
    </row>
    <row r="261">
      <c r="A261" s="1">
        <v>501.0</v>
      </c>
      <c r="B261" s="1">
        <v>28678.0</v>
      </c>
      <c r="C261" s="23">
        <v>22.967</v>
      </c>
      <c r="D261" s="23">
        <v>22.165</v>
      </c>
      <c r="E261" s="23">
        <v>1.237</v>
      </c>
      <c r="F261" s="61">
        <v>1101.8</v>
      </c>
      <c r="G261" s="23">
        <v>0.904</v>
      </c>
      <c r="H261" s="23">
        <v>0.406</v>
      </c>
      <c r="I261" s="1">
        <v>509.8</v>
      </c>
      <c r="J261" s="1">
        <v>483.1</v>
      </c>
      <c r="K261" s="1">
        <v>39462.0</v>
      </c>
      <c r="L261" s="1">
        <v>100.0</v>
      </c>
      <c r="M261" s="23">
        <v>16.477</v>
      </c>
      <c r="N261" s="64">
        <f t="shared" ref="N261:O261" si="258">if(G261&gt;100%,100%,G261)</f>
        <v>0.904</v>
      </c>
      <c r="O261" s="23">
        <f t="shared" si="258"/>
        <v>0.406</v>
      </c>
    </row>
    <row r="262">
      <c r="A262" s="1">
        <v>503.0</v>
      </c>
      <c r="B262" s="1">
        <v>28678.0</v>
      </c>
      <c r="C262" s="23">
        <v>22.628</v>
      </c>
      <c r="D262" s="23">
        <v>21.841</v>
      </c>
      <c r="E262" s="23">
        <v>1.657</v>
      </c>
      <c r="F262" s="61">
        <v>1101.8</v>
      </c>
      <c r="G262" s="23">
        <v>0.904</v>
      </c>
      <c r="H262" s="23">
        <v>0.396</v>
      </c>
      <c r="I262" s="1">
        <v>509.8</v>
      </c>
      <c r="J262" s="1">
        <v>483.1</v>
      </c>
      <c r="K262" s="1">
        <v>39462.0</v>
      </c>
      <c r="L262" s="1">
        <v>100.0</v>
      </c>
      <c r="M262" s="23">
        <v>16.327</v>
      </c>
      <c r="N262" s="64">
        <f t="shared" ref="N262:O262" si="259">if(G262&gt;100%,100%,G262)</f>
        <v>0.904</v>
      </c>
      <c r="O262" s="23">
        <f t="shared" si="259"/>
        <v>0.396</v>
      </c>
    </row>
    <row r="263">
      <c r="A263" s="1">
        <v>505.0</v>
      </c>
      <c r="B263" s="1">
        <v>27761.0</v>
      </c>
      <c r="C263" s="23">
        <v>21.498</v>
      </c>
      <c r="D263" s="23">
        <v>21.803</v>
      </c>
      <c r="E263" s="23">
        <v>1.407</v>
      </c>
      <c r="F263" s="61">
        <v>1101.8</v>
      </c>
      <c r="G263" s="23">
        <v>0.904</v>
      </c>
      <c r="H263" s="23">
        <v>0.396</v>
      </c>
      <c r="I263" s="1">
        <v>509.8</v>
      </c>
      <c r="J263" s="1">
        <v>483.1</v>
      </c>
      <c r="K263" s="1">
        <v>39462.0</v>
      </c>
      <c r="L263" s="1">
        <v>100.0</v>
      </c>
      <c r="M263" s="23">
        <v>16.299</v>
      </c>
      <c r="N263" s="64">
        <f t="shared" ref="N263:O263" si="260">if(G263&gt;100%,100%,G263)</f>
        <v>0.904</v>
      </c>
      <c r="O263" s="23">
        <f t="shared" si="260"/>
        <v>0.396</v>
      </c>
    </row>
    <row r="264">
      <c r="A264" s="1">
        <v>507.0</v>
      </c>
      <c r="B264" s="1">
        <v>22148.0</v>
      </c>
      <c r="C264" s="23">
        <v>20.345</v>
      </c>
      <c r="D264" s="23">
        <v>21.231</v>
      </c>
      <c r="E264" s="23">
        <v>1.407</v>
      </c>
      <c r="F264" s="61">
        <v>1060.8</v>
      </c>
      <c r="G264" s="23">
        <v>0.904</v>
      </c>
      <c r="H264" s="23">
        <v>0.396</v>
      </c>
      <c r="I264" s="1">
        <v>509.8</v>
      </c>
      <c r="J264" s="1">
        <v>483.1</v>
      </c>
      <c r="K264" s="1">
        <v>31483.0</v>
      </c>
      <c r="L264" s="1">
        <v>100.0</v>
      </c>
      <c r="M264" s="23">
        <v>16.299</v>
      </c>
      <c r="N264" s="64">
        <f t="shared" ref="N264:O264" si="261">if(G264&gt;100%,100%,G264)</f>
        <v>0.904</v>
      </c>
      <c r="O264" s="23">
        <f t="shared" si="261"/>
        <v>0.396</v>
      </c>
    </row>
    <row r="265">
      <c r="A265" s="1">
        <v>509.0</v>
      </c>
      <c r="B265" s="1">
        <v>22879.0</v>
      </c>
      <c r="C265" s="23">
        <v>19.859</v>
      </c>
      <c r="D265" s="23">
        <v>20.824</v>
      </c>
      <c r="E265" s="23">
        <v>1.407</v>
      </c>
      <c r="F265" s="61">
        <v>1082.8</v>
      </c>
      <c r="G265" s="23">
        <v>0.885</v>
      </c>
      <c r="H265" s="23">
        <v>0.396</v>
      </c>
      <c r="I265" s="1">
        <v>509.8</v>
      </c>
      <c r="J265" s="1">
        <v>423.9</v>
      </c>
      <c r="K265" s="1">
        <v>31483.0</v>
      </c>
      <c r="L265" s="1">
        <v>100.0</v>
      </c>
      <c r="M265" s="23">
        <v>16.316</v>
      </c>
      <c r="N265" s="64">
        <f t="shared" ref="N265:O265" si="262">if(G265&gt;100%,100%,G265)</f>
        <v>0.885</v>
      </c>
      <c r="O265" s="23">
        <f t="shared" si="262"/>
        <v>0.396</v>
      </c>
    </row>
    <row r="266">
      <c r="A266" s="1">
        <v>511.0</v>
      </c>
      <c r="B266" s="1">
        <v>22879.0</v>
      </c>
      <c r="C266" s="26">
        <v>17.069</v>
      </c>
      <c r="D266" s="23">
        <v>22.329</v>
      </c>
      <c r="E266" s="23">
        <v>1.407</v>
      </c>
      <c r="F266" s="61">
        <v>1043.5</v>
      </c>
      <c r="G266" s="23">
        <v>0.845</v>
      </c>
      <c r="H266" s="23">
        <v>0.396</v>
      </c>
      <c r="I266" s="1">
        <v>509.8</v>
      </c>
      <c r="J266" s="1">
        <v>302.7</v>
      </c>
      <c r="K266" s="1">
        <v>31483.0</v>
      </c>
      <c r="L266" s="1">
        <v>100.0</v>
      </c>
      <c r="M266" s="23">
        <v>16.466</v>
      </c>
      <c r="N266" s="64">
        <f t="shared" ref="N266:O266" si="263">if(G266&gt;100%,100%,G266)</f>
        <v>0.845</v>
      </c>
      <c r="O266" s="23">
        <f t="shared" si="263"/>
        <v>0.396</v>
      </c>
    </row>
    <row r="267">
      <c r="A267" s="1">
        <v>513.0</v>
      </c>
      <c r="B267" s="1">
        <v>22879.0</v>
      </c>
      <c r="C267" s="26">
        <v>17.425</v>
      </c>
      <c r="D267" s="23">
        <v>22.747</v>
      </c>
      <c r="E267" s="23">
        <v>1.861</v>
      </c>
      <c r="F267" s="61">
        <v>1043.5</v>
      </c>
      <c r="G267" s="23">
        <v>0.845</v>
      </c>
      <c r="H267" s="23">
        <v>0.406</v>
      </c>
      <c r="I267" s="1">
        <v>509.8</v>
      </c>
      <c r="J267" s="1">
        <v>302.7</v>
      </c>
      <c r="K267" s="1">
        <v>31483.0</v>
      </c>
      <c r="L267" s="1">
        <v>100.0</v>
      </c>
      <c r="M267" s="23">
        <v>16.451</v>
      </c>
      <c r="N267" s="64">
        <f t="shared" ref="N267:O267" si="264">if(G267&gt;100%,100%,G267)</f>
        <v>0.845</v>
      </c>
      <c r="O267" s="23">
        <f t="shared" si="264"/>
        <v>0.406</v>
      </c>
    </row>
    <row r="268">
      <c r="A268" s="1">
        <v>515.0</v>
      </c>
      <c r="B268" s="1">
        <v>20946.0</v>
      </c>
      <c r="C268" s="26">
        <v>18.062</v>
      </c>
      <c r="D268" s="23">
        <v>22.376</v>
      </c>
      <c r="E268" s="23">
        <v>1.861</v>
      </c>
      <c r="F268" s="61">
        <v>1069.8</v>
      </c>
      <c r="G268" s="23">
        <v>0.858</v>
      </c>
      <c r="H268" s="23">
        <v>0.381</v>
      </c>
      <c r="I268" s="1">
        <v>509.8</v>
      </c>
      <c r="J268" s="1">
        <v>341.9</v>
      </c>
      <c r="K268" s="1">
        <v>28823.0</v>
      </c>
      <c r="L268" s="1">
        <v>100.0</v>
      </c>
      <c r="M268" s="23">
        <v>16.451</v>
      </c>
      <c r="N268" s="64">
        <f t="shared" ref="N268:O268" si="265">if(G268&gt;100%,100%,G268)</f>
        <v>0.858</v>
      </c>
      <c r="O268" s="23">
        <f t="shared" si="265"/>
        <v>0.381</v>
      </c>
    </row>
    <row r="269">
      <c r="A269" s="1">
        <v>517.0</v>
      </c>
      <c r="B269" s="1">
        <v>20946.0</v>
      </c>
      <c r="C269" s="26">
        <v>18.413</v>
      </c>
      <c r="D269" s="23">
        <v>22.444</v>
      </c>
      <c r="E269" s="23">
        <v>1.861</v>
      </c>
      <c r="F269" s="61">
        <v>1054.8</v>
      </c>
      <c r="G269" s="23">
        <v>0.858</v>
      </c>
      <c r="H269" s="23">
        <v>0.381</v>
      </c>
      <c r="I269" s="1">
        <v>509.8</v>
      </c>
      <c r="J269" s="1">
        <v>341.9</v>
      </c>
      <c r="K269" s="1">
        <v>28823.0</v>
      </c>
      <c r="L269" s="1">
        <v>100.0</v>
      </c>
      <c r="M269" s="23">
        <v>16.465</v>
      </c>
      <c r="N269" s="64">
        <f t="shared" ref="N269:O269" si="266">if(G269&gt;100%,100%,G269)</f>
        <v>0.858</v>
      </c>
      <c r="O269" s="23">
        <f t="shared" si="266"/>
        <v>0.381</v>
      </c>
    </row>
    <row r="270">
      <c r="A270" s="1">
        <v>519.0</v>
      </c>
      <c r="B270" s="1">
        <v>20946.0</v>
      </c>
      <c r="C270" s="23">
        <v>18.424</v>
      </c>
      <c r="D270" s="23">
        <v>21.612</v>
      </c>
      <c r="E270" s="23">
        <v>1.403</v>
      </c>
      <c r="F270" s="61">
        <v>1069.8</v>
      </c>
      <c r="G270" s="23">
        <v>0.958</v>
      </c>
      <c r="H270" s="23">
        <v>0.411</v>
      </c>
      <c r="I270" s="1">
        <v>509.8</v>
      </c>
      <c r="J270" s="1">
        <v>341.9</v>
      </c>
      <c r="K270" s="1">
        <v>28823.0</v>
      </c>
      <c r="L270" s="1">
        <v>99.0</v>
      </c>
      <c r="M270" s="23">
        <v>16.465</v>
      </c>
      <c r="N270" s="64">
        <f t="shared" ref="N270:O270" si="267">if(G270&gt;100%,100%,G270)</f>
        <v>0.958</v>
      </c>
      <c r="O270" s="23">
        <f t="shared" si="267"/>
        <v>0.411</v>
      </c>
    </row>
    <row r="271">
      <c r="A271" s="1">
        <v>521.0</v>
      </c>
      <c r="B271" s="1">
        <v>20946.0</v>
      </c>
      <c r="C271" s="23">
        <v>18.447</v>
      </c>
      <c r="D271" s="23">
        <v>19.163</v>
      </c>
      <c r="E271" s="23">
        <v>1.403</v>
      </c>
      <c r="F271" s="61">
        <v>1069.8</v>
      </c>
      <c r="G271" s="23">
        <v>0.958</v>
      </c>
      <c r="H271" s="23">
        <v>1.437</v>
      </c>
      <c r="I271" s="1">
        <v>509.8</v>
      </c>
      <c r="J271" s="1">
        <v>341.9</v>
      </c>
      <c r="K271" s="1">
        <v>28823.0</v>
      </c>
      <c r="L271" s="1">
        <v>100.0</v>
      </c>
      <c r="M271" s="23">
        <v>16.457</v>
      </c>
      <c r="N271" s="64">
        <f t="shared" ref="N271:O271" si="268">if(G271&gt;100%,100%,G271)</f>
        <v>0.958</v>
      </c>
      <c r="O271" s="23">
        <f t="shared" si="268"/>
        <v>1</v>
      </c>
    </row>
    <row r="272">
      <c r="A272" s="1" t="s">
        <v>497</v>
      </c>
      <c r="B272" s="1" t="s">
        <v>492</v>
      </c>
      <c r="C272" s="23"/>
      <c r="D272" s="23"/>
      <c r="E272" s="23"/>
      <c r="F272" s="1"/>
      <c r="G272" s="23"/>
      <c r="H272" s="23"/>
      <c r="I272" s="1"/>
      <c r="J272" s="1"/>
      <c r="K272" s="1"/>
      <c r="N272" s="64" t="str">
        <f t="shared" ref="N272:O272" si="269">if(G272&gt;100%,100%,G272)</f>
        <v/>
      </c>
      <c r="O272" s="23" t="str">
        <f t="shared" si="269"/>
        <v/>
      </c>
    </row>
    <row r="273">
      <c r="A273" s="1">
        <v>523.0</v>
      </c>
      <c r="B273" s="1">
        <v>20946.0</v>
      </c>
      <c r="C273" s="23">
        <v>18.142</v>
      </c>
      <c r="D273" s="23">
        <v>18.881</v>
      </c>
      <c r="E273" s="23">
        <v>1.861</v>
      </c>
      <c r="F273" s="61">
        <v>1069.8</v>
      </c>
      <c r="G273" s="23">
        <v>0.958</v>
      </c>
      <c r="H273" s="23">
        <v>1.437</v>
      </c>
      <c r="I273" s="1">
        <v>509.8</v>
      </c>
      <c r="J273" s="1">
        <v>341.9</v>
      </c>
      <c r="K273" s="1">
        <v>28823.0</v>
      </c>
      <c r="L273" s="1">
        <v>100.0</v>
      </c>
      <c r="M273" s="23">
        <v>16.457</v>
      </c>
      <c r="N273" s="64">
        <f t="shared" ref="N273:O273" si="270">if(G273&gt;100%,100%,G273)</f>
        <v>0.958</v>
      </c>
      <c r="O273" s="23">
        <f t="shared" si="270"/>
        <v>1</v>
      </c>
    </row>
    <row r="274">
      <c r="A274" s="1">
        <v>525.0</v>
      </c>
      <c r="B274" s="1">
        <v>20946.0</v>
      </c>
      <c r="C274" s="23">
        <v>18.142</v>
      </c>
      <c r="D274" s="23">
        <v>18.958</v>
      </c>
      <c r="E274" s="23">
        <v>1.861</v>
      </c>
      <c r="F274" s="61">
        <v>1069.8</v>
      </c>
      <c r="G274" s="23">
        <v>0.985</v>
      </c>
      <c r="H274" s="23">
        <v>1.437</v>
      </c>
      <c r="I274" s="1">
        <v>509.8</v>
      </c>
      <c r="J274" s="1">
        <v>423.9</v>
      </c>
      <c r="K274" s="1">
        <v>28823.0</v>
      </c>
      <c r="L274" s="1">
        <v>99.0</v>
      </c>
      <c r="M274" s="23">
        <v>16.546</v>
      </c>
      <c r="N274" s="64">
        <f t="shared" ref="N274:O274" si="271">if(G274&gt;100%,100%,G274)</f>
        <v>0.985</v>
      </c>
      <c r="O274" s="23">
        <f t="shared" si="271"/>
        <v>1</v>
      </c>
    </row>
    <row r="275">
      <c r="A275" s="1">
        <v>527.0</v>
      </c>
      <c r="B275" s="1">
        <v>20946.0</v>
      </c>
      <c r="C275" s="23">
        <v>19.034</v>
      </c>
      <c r="D275" s="23">
        <v>19.41</v>
      </c>
      <c r="E275" s="23">
        <v>1.861</v>
      </c>
      <c r="F275" s="61">
        <v>1069.8</v>
      </c>
      <c r="G275" s="23">
        <v>0.985</v>
      </c>
      <c r="H275" s="23">
        <v>0.436</v>
      </c>
      <c r="I275" s="1">
        <v>509.8</v>
      </c>
      <c r="J275" s="1">
        <v>423.9</v>
      </c>
      <c r="K275" s="1">
        <v>28823.0</v>
      </c>
      <c r="L275" s="1">
        <v>100.0</v>
      </c>
      <c r="M275" s="23">
        <v>16.546</v>
      </c>
      <c r="N275" s="64">
        <f t="shared" ref="N275:O275" si="272">if(G275&gt;100%,100%,G275)</f>
        <v>0.985</v>
      </c>
      <c r="O275" s="23">
        <f t="shared" si="272"/>
        <v>0.436</v>
      </c>
    </row>
    <row r="276">
      <c r="A276" s="1">
        <v>529.0</v>
      </c>
      <c r="B276" s="1">
        <v>22879.0</v>
      </c>
      <c r="C276" s="23">
        <v>19.204</v>
      </c>
      <c r="D276" s="23">
        <v>18.613</v>
      </c>
      <c r="E276" s="23">
        <v>1.861</v>
      </c>
      <c r="F276" s="61">
        <v>1082.8</v>
      </c>
      <c r="G276" s="23">
        <v>0.885</v>
      </c>
      <c r="H276" s="23">
        <v>0.406</v>
      </c>
      <c r="I276" s="1">
        <v>509.8</v>
      </c>
      <c r="J276" s="1">
        <v>423.9</v>
      </c>
      <c r="K276" s="1">
        <v>31483.0</v>
      </c>
      <c r="L276" s="1">
        <v>100.0</v>
      </c>
      <c r="M276" s="23">
        <v>16.522</v>
      </c>
      <c r="N276" s="64">
        <f t="shared" ref="N276:O276" si="273">if(G276&gt;100%,100%,G276)</f>
        <v>0.885</v>
      </c>
      <c r="O276" s="23">
        <f t="shared" si="273"/>
        <v>0.406</v>
      </c>
    </row>
    <row r="277">
      <c r="A277" s="1">
        <v>531.0</v>
      </c>
      <c r="B277" s="1">
        <v>22879.0</v>
      </c>
      <c r="C277" s="23">
        <v>19.192</v>
      </c>
      <c r="D277" s="23">
        <v>18.387</v>
      </c>
      <c r="E277" s="23">
        <v>1.861</v>
      </c>
      <c r="F277" s="61">
        <v>1067.8</v>
      </c>
      <c r="G277" s="23">
        <v>0.885</v>
      </c>
      <c r="H277" s="23">
        <v>0.406</v>
      </c>
      <c r="I277" s="1">
        <v>509.8</v>
      </c>
      <c r="J277" s="1">
        <v>423.9</v>
      </c>
      <c r="K277" s="1">
        <v>31483.0</v>
      </c>
      <c r="L277" s="1">
        <v>100.0</v>
      </c>
      <c r="M277" s="23">
        <v>16.522</v>
      </c>
      <c r="N277" s="64">
        <f t="shared" ref="N277:O277" si="274">if(G277&gt;100%,100%,G277)</f>
        <v>0.885</v>
      </c>
      <c r="O277" s="23">
        <f t="shared" si="274"/>
        <v>0.406</v>
      </c>
    </row>
    <row r="278">
      <c r="A278" s="1">
        <v>533.0</v>
      </c>
      <c r="B278" s="1">
        <v>22879.0</v>
      </c>
      <c r="C278" s="23">
        <v>18.343</v>
      </c>
      <c r="D278" s="23">
        <v>18.5</v>
      </c>
      <c r="E278" s="23">
        <v>1.527</v>
      </c>
      <c r="F278" s="61">
        <v>1028.5</v>
      </c>
      <c r="G278" s="23">
        <v>0.872</v>
      </c>
      <c r="H278" s="23">
        <v>0.406</v>
      </c>
      <c r="I278" s="1">
        <v>509.8</v>
      </c>
      <c r="J278" s="1">
        <v>384.6</v>
      </c>
      <c r="K278" s="1">
        <v>31483.0</v>
      </c>
      <c r="L278" s="1">
        <v>100.0</v>
      </c>
      <c r="M278" s="23">
        <v>16.522</v>
      </c>
      <c r="N278" s="64">
        <f t="shared" ref="N278:O278" si="275">if(G278&gt;100%,100%,G278)</f>
        <v>0.872</v>
      </c>
      <c r="O278" s="23">
        <f t="shared" si="275"/>
        <v>0.406</v>
      </c>
    </row>
    <row r="279">
      <c r="A279" s="1">
        <v>535.0</v>
      </c>
      <c r="B279" s="1">
        <v>22879.0</v>
      </c>
      <c r="C279" s="23">
        <v>18.041</v>
      </c>
      <c r="D279" s="26">
        <v>18.256</v>
      </c>
      <c r="E279" s="23">
        <v>1.527</v>
      </c>
      <c r="F279" s="61">
        <v>1028.5</v>
      </c>
      <c r="G279" s="23">
        <v>0.872</v>
      </c>
      <c r="H279" s="23">
        <v>0.406</v>
      </c>
      <c r="I279" s="1">
        <v>509.8</v>
      </c>
      <c r="J279" s="1">
        <v>384.6</v>
      </c>
      <c r="K279" s="1">
        <v>31483.0</v>
      </c>
      <c r="L279" s="1">
        <v>100.0</v>
      </c>
      <c r="M279" s="23">
        <v>16.441</v>
      </c>
      <c r="N279" s="64">
        <f t="shared" ref="N279:O279" si="276">if(G279&gt;100%,100%,G279)</f>
        <v>0.872</v>
      </c>
      <c r="O279" s="23">
        <f t="shared" si="276"/>
        <v>0.406</v>
      </c>
    </row>
    <row r="280">
      <c r="A280" s="1">
        <v>537.0</v>
      </c>
      <c r="B280" s="1">
        <v>22879.0</v>
      </c>
      <c r="C280" s="23">
        <v>18.684</v>
      </c>
      <c r="D280" s="23">
        <v>18.256</v>
      </c>
      <c r="E280" s="26">
        <v>1.527</v>
      </c>
      <c r="F280" s="61">
        <v>1067.8</v>
      </c>
      <c r="G280" s="23">
        <v>0.885</v>
      </c>
      <c r="H280" s="23">
        <v>0.406</v>
      </c>
      <c r="I280" s="1">
        <v>509.8</v>
      </c>
      <c r="J280" s="1">
        <v>423.9</v>
      </c>
      <c r="K280" s="1">
        <v>31483.0</v>
      </c>
      <c r="L280" s="1">
        <v>100.0</v>
      </c>
      <c r="M280" s="23">
        <v>16.441</v>
      </c>
      <c r="N280" s="64">
        <f t="shared" ref="N280:O280" si="277">if(G280&gt;100%,100%,G280)</f>
        <v>0.885</v>
      </c>
      <c r="O280" s="23">
        <f t="shared" si="277"/>
        <v>0.406</v>
      </c>
    </row>
    <row r="281">
      <c r="A281" s="1">
        <v>539.0</v>
      </c>
      <c r="B281" s="1">
        <v>22879.0</v>
      </c>
      <c r="C281" s="23">
        <v>18.379</v>
      </c>
      <c r="D281" s="23">
        <v>18.252</v>
      </c>
      <c r="E281" s="26">
        <v>1.527</v>
      </c>
      <c r="F281" s="61">
        <v>1067.8</v>
      </c>
      <c r="G281" s="23">
        <v>0.885</v>
      </c>
      <c r="H281" s="23">
        <v>0.406</v>
      </c>
      <c r="I281" s="1">
        <v>509.8</v>
      </c>
      <c r="J281" s="1">
        <v>423.9</v>
      </c>
      <c r="K281" s="1">
        <v>31483.0</v>
      </c>
      <c r="L281" s="1">
        <v>100.0</v>
      </c>
      <c r="M281" s="23">
        <v>16.424</v>
      </c>
      <c r="N281" s="64">
        <f t="shared" ref="N281:O281" si="278">if(G281&gt;100%,100%,G281)</f>
        <v>0.885</v>
      </c>
      <c r="O281" s="23">
        <f t="shared" si="278"/>
        <v>0.406</v>
      </c>
    </row>
    <row r="282">
      <c r="A282" s="1">
        <v>541.0</v>
      </c>
      <c r="B282" s="1">
        <v>22879.0</v>
      </c>
      <c r="C282" s="23">
        <v>18.469</v>
      </c>
      <c r="D282" s="23">
        <v>18.365</v>
      </c>
      <c r="E282" s="23">
        <v>1.527</v>
      </c>
      <c r="F282" s="61">
        <v>1067.8</v>
      </c>
      <c r="G282" s="23">
        <v>0.885</v>
      </c>
      <c r="H282" s="23">
        <v>0.399</v>
      </c>
      <c r="I282" s="1">
        <v>509.8</v>
      </c>
      <c r="J282" s="1">
        <v>423.9</v>
      </c>
      <c r="K282" s="1">
        <v>31483.0</v>
      </c>
      <c r="L282" s="1">
        <v>100.0</v>
      </c>
      <c r="M282" s="23">
        <v>16.424</v>
      </c>
      <c r="N282" s="64">
        <f t="shared" ref="N282:O282" si="279">if(G282&gt;100%,100%,G282)</f>
        <v>0.885</v>
      </c>
      <c r="O282" s="23">
        <f t="shared" si="279"/>
        <v>0.399</v>
      </c>
    </row>
    <row r="283">
      <c r="A283" s="1">
        <v>543.0</v>
      </c>
      <c r="B283" s="1">
        <v>20946.0</v>
      </c>
      <c r="C283" s="23">
        <v>18.051</v>
      </c>
      <c r="D283" s="23">
        <v>17.574</v>
      </c>
      <c r="E283" s="23">
        <v>1.527</v>
      </c>
      <c r="F283" s="61">
        <v>1054.8</v>
      </c>
      <c r="G283" s="23">
        <v>0.858</v>
      </c>
      <c r="H283" s="23">
        <v>0.406</v>
      </c>
      <c r="I283" s="1">
        <v>509.8</v>
      </c>
      <c r="J283" s="1">
        <v>341.9</v>
      </c>
      <c r="K283" s="1">
        <v>28823.0</v>
      </c>
      <c r="L283" s="1">
        <v>100.0</v>
      </c>
      <c r="M283" s="23">
        <v>16.377</v>
      </c>
      <c r="N283" s="64">
        <f t="shared" ref="N283:O283" si="280">if(G283&gt;100%,100%,G283)</f>
        <v>0.858</v>
      </c>
      <c r="O283" s="23">
        <f t="shared" si="280"/>
        <v>0.406</v>
      </c>
    </row>
    <row r="284">
      <c r="A284" s="1">
        <v>545.0</v>
      </c>
      <c r="B284" s="1">
        <v>20946.0</v>
      </c>
      <c r="C284" s="23">
        <v>18.029</v>
      </c>
      <c r="D284" s="23">
        <v>17.687</v>
      </c>
      <c r="E284" s="26">
        <v>1.527</v>
      </c>
      <c r="F284" s="61">
        <v>1069.8</v>
      </c>
      <c r="G284" s="23">
        <v>0.958</v>
      </c>
      <c r="H284" s="23">
        <v>0.436</v>
      </c>
      <c r="I284" s="1">
        <v>509.8</v>
      </c>
      <c r="J284" s="1">
        <v>341.9</v>
      </c>
      <c r="K284" s="1">
        <v>28823.0</v>
      </c>
      <c r="L284" s="1">
        <v>100.0</v>
      </c>
      <c r="M284" s="23">
        <v>16.377</v>
      </c>
      <c r="N284" s="64">
        <f t="shared" ref="N284:O284" si="281">if(G284&gt;100%,100%,G284)</f>
        <v>0.958</v>
      </c>
      <c r="O284" s="23">
        <f t="shared" si="281"/>
        <v>0.436</v>
      </c>
    </row>
    <row r="285">
      <c r="A285" s="1">
        <v>547.0</v>
      </c>
      <c r="B285" s="1">
        <v>20946.0</v>
      </c>
      <c r="C285" s="23">
        <v>18.017</v>
      </c>
      <c r="D285" s="23">
        <v>17.798</v>
      </c>
      <c r="E285" s="26">
        <v>1.527</v>
      </c>
      <c r="F285" s="61">
        <v>1069.8</v>
      </c>
      <c r="G285" s="23">
        <v>0.958</v>
      </c>
      <c r="H285" s="23">
        <v>0.436</v>
      </c>
      <c r="I285" s="1">
        <v>509.8</v>
      </c>
      <c r="J285" s="1">
        <v>341.9</v>
      </c>
      <c r="K285" s="1">
        <v>28823.0</v>
      </c>
      <c r="L285" s="1">
        <v>100.0</v>
      </c>
      <c r="M285" s="23">
        <v>16.366</v>
      </c>
      <c r="N285" s="64">
        <f t="shared" ref="N285:O285" si="282">if(G285&gt;100%,100%,G285)</f>
        <v>0.958</v>
      </c>
      <c r="O285" s="23">
        <f t="shared" si="282"/>
        <v>0.436</v>
      </c>
    </row>
    <row r="286">
      <c r="A286" s="1">
        <v>549.0</v>
      </c>
      <c r="B286" s="1">
        <v>20946.0</v>
      </c>
      <c r="C286" s="23">
        <v>18.006</v>
      </c>
      <c r="D286" s="23">
        <v>17.798</v>
      </c>
      <c r="E286" s="26">
        <v>1.407</v>
      </c>
      <c r="F286" s="61">
        <v>1069.8</v>
      </c>
      <c r="G286" s="23">
        <v>0.958</v>
      </c>
      <c r="H286" s="23">
        <v>0.436</v>
      </c>
      <c r="I286" s="1">
        <v>509.8</v>
      </c>
      <c r="J286" s="1">
        <v>341.9</v>
      </c>
      <c r="K286" s="1">
        <v>28823.0</v>
      </c>
      <c r="L286" s="1">
        <v>100.0</v>
      </c>
      <c r="M286" s="23">
        <v>16.216</v>
      </c>
      <c r="N286" s="64">
        <f t="shared" ref="N286:O286" si="283">if(G286&gt;100%,100%,G286)</f>
        <v>0.958</v>
      </c>
      <c r="O286" s="23">
        <f t="shared" si="283"/>
        <v>0.436</v>
      </c>
    </row>
    <row r="287">
      <c r="A287" s="1">
        <v>551.0</v>
      </c>
      <c r="B287" s="1">
        <v>20946.0</v>
      </c>
      <c r="C287" s="23">
        <v>17.983</v>
      </c>
      <c r="D287" s="23">
        <v>17.797</v>
      </c>
      <c r="E287" s="23">
        <v>1.087</v>
      </c>
      <c r="F287" s="61">
        <v>1069.8</v>
      </c>
      <c r="G287" s="23">
        <v>0.958</v>
      </c>
      <c r="H287" s="23">
        <v>0.436</v>
      </c>
      <c r="I287" s="1">
        <v>509.8</v>
      </c>
      <c r="J287" s="1">
        <v>341.9</v>
      </c>
      <c r="K287" s="1">
        <v>28823.0</v>
      </c>
      <c r="L287" s="1">
        <v>100.0</v>
      </c>
      <c r="M287" s="26">
        <v>16.21</v>
      </c>
      <c r="N287" s="64">
        <f t="shared" ref="N287:O287" si="284">if(G287&gt;100%,100%,G287)</f>
        <v>0.958</v>
      </c>
      <c r="O287" s="23">
        <f t="shared" si="284"/>
        <v>0.436</v>
      </c>
    </row>
    <row r="288">
      <c r="A288" s="1">
        <v>553.0</v>
      </c>
      <c r="B288" s="1">
        <v>16269.0</v>
      </c>
      <c r="C288" s="23">
        <v>17.384</v>
      </c>
      <c r="D288" s="23">
        <v>20.41</v>
      </c>
      <c r="E288" s="23">
        <v>1.507</v>
      </c>
      <c r="F288" s="61">
        <v>1069.8</v>
      </c>
      <c r="G288" s="23">
        <v>0.951</v>
      </c>
      <c r="H288" s="23">
        <v>0.429</v>
      </c>
      <c r="I288" s="1">
        <v>509.8</v>
      </c>
      <c r="J288" s="1">
        <v>322.1</v>
      </c>
      <c r="K288" s="1">
        <v>22387.0</v>
      </c>
      <c r="L288" s="1">
        <v>100.0</v>
      </c>
      <c r="M288" s="26">
        <v>16.21</v>
      </c>
      <c r="N288" s="64">
        <f t="shared" ref="N288:O288" si="285">if(G288&gt;100%,100%,G288)</f>
        <v>0.951</v>
      </c>
      <c r="O288" s="23">
        <f t="shared" si="285"/>
        <v>0.429</v>
      </c>
    </row>
    <row r="289">
      <c r="A289" s="1">
        <v>555.0</v>
      </c>
      <c r="B289" s="1">
        <v>15749.0</v>
      </c>
      <c r="C289" s="23">
        <v>17.667</v>
      </c>
      <c r="D289" s="23">
        <v>20.375</v>
      </c>
      <c r="E289" s="26">
        <v>1.507</v>
      </c>
      <c r="F289" s="61">
        <v>1066.8</v>
      </c>
      <c r="G289" s="23">
        <v>0.858</v>
      </c>
      <c r="H289" s="23">
        <v>0.389</v>
      </c>
      <c r="I289" s="1">
        <v>509.8</v>
      </c>
      <c r="J289" s="1">
        <v>341.9</v>
      </c>
      <c r="K289" s="1">
        <v>22387.0</v>
      </c>
      <c r="L289" s="1">
        <v>100.0</v>
      </c>
      <c r="M289" s="23">
        <v>16.231</v>
      </c>
      <c r="N289" s="64">
        <f t="shared" ref="N289:O289" si="286">if(G289&gt;100%,100%,G289)</f>
        <v>0.858</v>
      </c>
      <c r="O289" s="23">
        <f t="shared" si="286"/>
        <v>0.389</v>
      </c>
    </row>
    <row r="290">
      <c r="A290" s="1">
        <v>557.0</v>
      </c>
      <c r="B290" s="1">
        <v>20946.0</v>
      </c>
      <c r="C290" s="23">
        <v>17.972</v>
      </c>
      <c r="D290" s="23">
        <v>20.708</v>
      </c>
      <c r="E290" s="26">
        <v>1.757</v>
      </c>
      <c r="F290" s="61">
        <v>1054.8</v>
      </c>
      <c r="G290" s="23">
        <v>0.885</v>
      </c>
      <c r="H290" s="23">
        <v>0.389</v>
      </c>
      <c r="I290" s="1">
        <v>509.8</v>
      </c>
      <c r="J290" s="1">
        <v>423.9</v>
      </c>
      <c r="K290" s="1">
        <v>28823.0</v>
      </c>
      <c r="L290" s="1">
        <v>100.0</v>
      </c>
      <c r="M290" s="23">
        <v>16.231</v>
      </c>
      <c r="N290" s="64">
        <f t="shared" ref="N290:O290" si="287">if(G290&gt;100%,100%,G290)</f>
        <v>0.885</v>
      </c>
      <c r="O290" s="23">
        <f t="shared" si="287"/>
        <v>0.389</v>
      </c>
    </row>
    <row r="291">
      <c r="A291" s="1">
        <v>559.0</v>
      </c>
      <c r="B291" s="1">
        <v>20946.0</v>
      </c>
      <c r="C291" s="23">
        <v>17.972</v>
      </c>
      <c r="D291" s="23">
        <v>20.841</v>
      </c>
      <c r="E291" s="26">
        <v>1.757</v>
      </c>
      <c r="F291" s="61">
        <v>1054.8</v>
      </c>
      <c r="G291" s="23">
        <v>0.885</v>
      </c>
      <c r="H291" s="23">
        <v>0.389</v>
      </c>
      <c r="I291" s="1">
        <v>509.8</v>
      </c>
      <c r="J291" s="1">
        <v>423.9</v>
      </c>
      <c r="K291" s="1">
        <v>28823.0</v>
      </c>
      <c r="L291" s="1">
        <v>100.0</v>
      </c>
      <c r="M291" s="23">
        <v>16.231</v>
      </c>
      <c r="N291" s="64">
        <f t="shared" ref="N291:O291" si="288">if(G291&gt;100%,100%,G291)</f>
        <v>0.885</v>
      </c>
      <c r="O291" s="23">
        <f t="shared" si="288"/>
        <v>0.389</v>
      </c>
    </row>
    <row r="292">
      <c r="A292" s="1">
        <v>561.0</v>
      </c>
      <c r="B292" s="1">
        <v>20946.0</v>
      </c>
      <c r="C292" s="23">
        <v>19.328</v>
      </c>
      <c r="D292" s="23">
        <v>21.598</v>
      </c>
      <c r="E292" s="26">
        <v>1.757</v>
      </c>
      <c r="F292" s="61">
        <v>1054.8</v>
      </c>
      <c r="G292" s="23">
        <v>0.885</v>
      </c>
      <c r="H292" s="23">
        <v>0.371</v>
      </c>
      <c r="I292" s="1">
        <v>509.8</v>
      </c>
      <c r="J292" s="1">
        <v>423.9</v>
      </c>
      <c r="K292" s="1">
        <v>28823.0</v>
      </c>
      <c r="L292" s="1">
        <v>100.0</v>
      </c>
      <c r="M292" s="23">
        <v>16.213</v>
      </c>
      <c r="N292" s="64">
        <f t="shared" ref="N292:O292" si="289">if(G292&gt;100%,100%,G292)</f>
        <v>0.885</v>
      </c>
      <c r="O292" s="23">
        <f t="shared" si="289"/>
        <v>0.371</v>
      </c>
    </row>
    <row r="293">
      <c r="A293" s="1">
        <v>563.0</v>
      </c>
      <c r="B293" s="1">
        <v>28368.0</v>
      </c>
      <c r="C293" s="26">
        <v>22.255</v>
      </c>
      <c r="D293" s="23">
        <v>26.554</v>
      </c>
      <c r="E293" s="26">
        <v>1.757</v>
      </c>
      <c r="F293" s="61">
        <v>1105.8</v>
      </c>
      <c r="G293" s="23">
        <v>0.885</v>
      </c>
      <c r="H293" s="23">
        <v>0.371</v>
      </c>
      <c r="I293" s="1">
        <v>509.8</v>
      </c>
      <c r="J293" s="1">
        <v>423.9</v>
      </c>
      <c r="K293" s="1">
        <v>39462.0</v>
      </c>
      <c r="L293" s="1">
        <v>100.0</v>
      </c>
      <c r="M293" s="23">
        <v>16.213</v>
      </c>
      <c r="N293" s="64">
        <f t="shared" ref="N293:O293" si="290">if(G293&gt;100%,100%,G293)</f>
        <v>0.885</v>
      </c>
      <c r="O293" s="23">
        <f t="shared" si="290"/>
        <v>0.371</v>
      </c>
    </row>
    <row r="294">
      <c r="A294" s="1">
        <v>565.0</v>
      </c>
      <c r="B294" s="1">
        <v>28678.0</v>
      </c>
      <c r="C294" s="26">
        <v>22.289</v>
      </c>
      <c r="D294" s="23">
        <v>26.429</v>
      </c>
      <c r="E294" s="26">
        <v>1.757</v>
      </c>
      <c r="F294" s="61">
        <v>1086.8</v>
      </c>
      <c r="G294" s="23">
        <v>0.885</v>
      </c>
      <c r="H294" s="23">
        <v>0.371</v>
      </c>
      <c r="I294" s="1">
        <v>509.8</v>
      </c>
      <c r="J294" s="1">
        <v>423.9</v>
      </c>
      <c r="K294" s="1">
        <v>39462.0</v>
      </c>
      <c r="L294" s="1">
        <v>100.0</v>
      </c>
      <c r="M294" s="23">
        <v>16.291</v>
      </c>
      <c r="N294" s="64">
        <f t="shared" ref="N294:O294" si="291">if(G294&gt;100%,100%,G294)</f>
        <v>0.885</v>
      </c>
      <c r="O294" s="23">
        <f t="shared" si="291"/>
        <v>0.371</v>
      </c>
    </row>
    <row r="295">
      <c r="A295" s="1">
        <v>567.0</v>
      </c>
      <c r="B295" s="1">
        <v>28678.0</v>
      </c>
      <c r="C295" s="23">
        <v>22.289</v>
      </c>
      <c r="D295" s="23">
        <v>26.097</v>
      </c>
      <c r="E295" s="26">
        <v>1.757</v>
      </c>
      <c r="F295" s="61">
        <v>1086.8</v>
      </c>
      <c r="G295" s="23">
        <v>0.885</v>
      </c>
      <c r="H295" s="23">
        <v>0.371</v>
      </c>
      <c r="I295" s="1">
        <v>509.8</v>
      </c>
      <c r="J295" s="1">
        <v>423.9</v>
      </c>
      <c r="K295" s="1">
        <v>39462.0</v>
      </c>
      <c r="L295" s="1">
        <v>100.0</v>
      </c>
      <c r="M295" s="23">
        <v>16.291</v>
      </c>
      <c r="N295" s="64">
        <f t="shared" ref="N295:O295" si="292">if(G295&gt;100%,100%,G295)</f>
        <v>0.885</v>
      </c>
      <c r="O295" s="23">
        <f t="shared" si="292"/>
        <v>0.371</v>
      </c>
    </row>
    <row r="296">
      <c r="A296" s="1">
        <v>569.0</v>
      </c>
      <c r="B296" s="1">
        <v>28678.0</v>
      </c>
      <c r="C296" s="23">
        <v>22.65</v>
      </c>
      <c r="D296" s="23">
        <v>27.624</v>
      </c>
      <c r="E296" s="26">
        <v>1.757</v>
      </c>
      <c r="F296" s="61">
        <v>1086.8</v>
      </c>
      <c r="G296" s="23">
        <v>0.885</v>
      </c>
      <c r="H296" s="23">
        <v>0.396</v>
      </c>
      <c r="I296" s="1">
        <v>509.8</v>
      </c>
      <c r="J296" s="1">
        <v>423.9</v>
      </c>
      <c r="K296" s="1">
        <v>39462.0</v>
      </c>
      <c r="L296" s="1">
        <v>100.0</v>
      </c>
      <c r="M296" s="23">
        <v>16.279</v>
      </c>
      <c r="N296" s="64">
        <f t="shared" ref="N296:O296" si="293">if(G296&gt;100%,100%,G296)</f>
        <v>0.885</v>
      </c>
      <c r="O296" s="23">
        <f t="shared" si="293"/>
        <v>0.396</v>
      </c>
    </row>
    <row r="297">
      <c r="A297" s="1">
        <v>572.0</v>
      </c>
      <c r="B297" s="1">
        <v>28678.0</v>
      </c>
      <c r="C297" s="23">
        <v>23.012</v>
      </c>
      <c r="D297" s="23">
        <v>28.156</v>
      </c>
      <c r="E297" s="26">
        <v>1.657</v>
      </c>
      <c r="F297" s="61">
        <v>1086.8</v>
      </c>
      <c r="G297" s="23">
        <v>0.885</v>
      </c>
      <c r="H297" s="23">
        <v>0.389</v>
      </c>
      <c r="I297" s="1">
        <v>509.8</v>
      </c>
      <c r="J297" s="1">
        <v>423.9</v>
      </c>
      <c r="K297" s="1">
        <v>39462.0</v>
      </c>
      <c r="L297" s="1">
        <v>100.0</v>
      </c>
      <c r="M297" s="23">
        <v>16.279</v>
      </c>
      <c r="N297" s="64">
        <f t="shared" ref="N297:O297" si="294">if(G297&gt;100%,100%,G297)</f>
        <v>0.885</v>
      </c>
      <c r="O297" s="23">
        <f t="shared" si="294"/>
        <v>0.389</v>
      </c>
    </row>
    <row r="298">
      <c r="A298" s="1">
        <v>574.0</v>
      </c>
      <c r="B298" s="1">
        <v>28678.0</v>
      </c>
      <c r="C298" s="23">
        <v>23.034</v>
      </c>
      <c r="D298" s="23">
        <v>23.04</v>
      </c>
      <c r="E298" s="23">
        <v>1.657</v>
      </c>
      <c r="F298" s="61">
        <v>1086.8</v>
      </c>
      <c r="G298" s="23">
        <v>0.885</v>
      </c>
      <c r="H298" s="23">
        <v>0.389</v>
      </c>
      <c r="I298" s="1">
        <v>509.8</v>
      </c>
      <c r="J298" s="1">
        <v>423.9</v>
      </c>
      <c r="K298" s="1">
        <v>39462.0</v>
      </c>
      <c r="L298" s="1">
        <v>100.0</v>
      </c>
      <c r="M298" s="23">
        <v>16.527</v>
      </c>
      <c r="N298" s="64">
        <f t="shared" ref="N298:O298" si="295">if(G298&gt;100%,100%,G298)</f>
        <v>0.885</v>
      </c>
      <c r="O298" s="23">
        <f t="shared" si="295"/>
        <v>0.389</v>
      </c>
    </row>
    <row r="299">
      <c r="A299" s="1">
        <v>576.0</v>
      </c>
      <c r="B299" s="1">
        <v>28678.0</v>
      </c>
      <c r="C299" s="23">
        <v>22.492</v>
      </c>
      <c r="D299" s="23">
        <v>22.5</v>
      </c>
      <c r="E299" s="26">
        <v>1.657</v>
      </c>
      <c r="F299" s="61">
        <v>1086.8</v>
      </c>
      <c r="G299" s="23">
        <v>0.858</v>
      </c>
      <c r="H299" s="23">
        <v>0.396</v>
      </c>
      <c r="I299" s="1">
        <v>509.8</v>
      </c>
      <c r="J299" s="1">
        <v>341.9</v>
      </c>
      <c r="K299" s="1">
        <v>39462.0</v>
      </c>
      <c r="L299" s="1">
        <v>100.0</v>
      </c>
      <c r="M299" s="23">
        <v>16.527</v>
      </c>
      <c r="N299" s="64">
        <f t="shared" ref="N299:O299" si="296">if(G299&gt;100%,100%,G299)</f>
        <v>0.858</v>
      </c>
      <c r="O299" s="23">
        <f t="shared" si="296"/>
        <v>0.396</v>
      </c>
    </row>
    <row r="300">
      <c r="A300" s="1">
        <v>578.0</v>
      </c>
      <c r="B300" s="1">
        <v>22879.0</v>
      </c>
      <c r="C300" s="23">
        <v>21.204</v>
      </c>
      <c r="D300" s="23">
        <v>21.089</v>
      </c>
      <c r="E300" s="26">
        <v>1.657</v>
      </c>
      <c r="F300" s="61">
        <v>1088.8</v>
      </c>
      <c r="G300" s="23">
        <v>0.858</v>
      </c>
      <c r="H300" s="23">
        <v>0.396</v>
      </c>
      <c r="I300" s="1">
        <v>509.8</v>
      </c>
      <c r="J300" s="1">
        <v>341.9</v>
      </c>
      <c r="K300" s="1">
        <v>31483.0</v>
      </c>
      <c r="L300" s="1">
        <v>100.0</v>
      </c>
      <c r="M300" s="23">
        <v>16.447</v>
      </c>
      <c r="N300" s="64">
        <f t="shared" ref="N300:O300" si="297">if(G300&gt;100%,100%,G300)</f>
        <v>0.858</v>
      </c>
      <c r="O300" s="23">
        <f t="shared" si="297"/>
        <v>0.396</v>
      </c>
    </row>
    <row r="301">
      <c r="A301" s="1">
        <v>580.0</v>
      </c>
      <c r="B301" s="1">
        <v>20946.0</v>
      </c>
      <c r="C301" s="23">
        <v>20.119</v>
      </c>
      <c r="D301" s="23">
        <v>19.577</v>
      </c>
      <c r="E301" s="26">
        <v>1.657</v>
      </c>
      <c r="F301" s="61">
        <v>1069.8</v>
      </c>
      <c r="G301" s="23">
        <v>0.858</v>
      </c>
      <c r="H301" s="23">
        <v>0.396</v>
      </c>
      <c r="I301" s="1">
        <v>509.8</v>
      </c>
      <c r="J301" s="1">
        <v>341.9</v>
      </c>
      <c r="K301" s="1">
        <v>28823.0</v>
      </c>
      <c r="L301" s="1">
        <v>100.0</v>
      </c>
      <c r="M301" s="23">
        <v>16.447</v>
      </c>
      <c r="N301" s="64">
        <f t="shared" ref="N301:O301" si="298">if(G301&gt;100%,100%,G301)</f>
        <v>0.858</v>
      </c>
      <c r="O301" s="23">
        <f t="shared" si="298"/>
        <v>0.396</v>
      </c>
    </row>
    <row r="302">
      <c r="A302" s="1">
        <v>582.0</v>
      </c>
      <c r="B302" s="1">
        <v>20946.0</v>
      </c>
      <c r="C302" s="23">
        <v>20.142</v>
      </c>
      <c r="D302" s="23">
        <v>18.855</v>
      </c>
      <c r="E302" s="26">
        <v>1.657</v>
      </c>
      <c r="F302" s="61">
        <v>1069.8</v>
      </c>
      <c r="G302" s="23">
        <v>0.858</v>
      </c>
      <c r="H302" s="23">
        <v>0.396</v>
      </c>
      <c r="I302" s="1">
        <v>509.8</v>
      </c>
      <c r="J302" s="1">
        <v>341.9</v>
      </c>
      <c r="K302" s="1">
        <v>28823.0</v>
      </c>
      <c r="L302" s="1">
        <v>100.0</v>
      </c>
      <c r="M302" s="26">
        <v>16.35</v>
      </c>
      <c r="N302" s="64">
        <f t="shared" ref="N302:O302" si="299">if(G302&gt;100%,100%,G302)</f>
        <v>0.858</v>
      </c>
      <c r="O302" s="23">
        <f t="shared" si="299"/>
        <v>0.396</v>
      </c>
    </row>
    <row r="303">
      <c r="A303" s="1">
        <v>584.0</v>
      </c>
      <c r="B303" s="1">
        <v>20946.0</v>
      </c>
      <c r="C303" s="26">
        <v>17.78</v>
      </c>
      <c r="D303" s="23">
        <v>17.456</v>
      </c>
      <c r="E303" s="26">
        <v>1.777</v>
      </c>
      <c r="F303" s="61">
        <v>1069.8</v>
      </c>
      <c r="G303" s="23">
        <v>0.858</v>
      </c>
      <c r="H303" s="23">
        <v>1.397</v>
      </c>
      <c r="I303" s="1">
        <v>509.8</v>
      </c>
      <c r="J303" s="1">
        <v>341.9</v>
      </c>
      <c r="K303" s="1">
        <v>28823.0</v>
      </c>
      <c r="L303" s="1">
        <v>100.0</v>
      </c>
      <c r="M303" s="26">
        <v>16.35</v>
      </c>
      <c r="N303" s="64">
        <f t="shared" ref="N303:O303" si="300">if(G303&gt;100%,100%,G303)</f>
        <v>0.858</v>
      </c>
      <c r="O303" s="23">
        <f t="shared" si="300"/>
        <v>1</v>
      </c>
    </row>
    <row r="304">
      <c r="A304" s="1">
        <v>586.0</v>
      </c>
      <c r="B304" s="1">
        <v>20946.0</v>
      </c>
      <c r="C304" s="23">
        <v>17.803</v>
      </c>
      <c r="D304" s="26">
        <v>17.473</v>
      </c>
      <c r="E304" s="26">
        <v>1.777</v>
      </c>
      <c r="F304" s="61">
        <v>1069.8</v>
      </c>
      <c r="G304" s="23">
        <v>0.858</v>
      </c>
      <c r="H304" s="23">
        <v>1.397</v>
      </c>
      <c r="I304" s="1">
        <v>509.8</v>
      </c>
      <c r="J304" s="1">
        <v>341.9</v>
      </c>
      <c r="K304" s="1">
        <v>28823.0</v>
      </c>
      <c r="L304" s="1">
        <v>100.0</v>
      </c>
      <c r="M304" s="23">
        <v>16.426</v>
      </c>
      <c r="N304" s="64">
        <f t="shared" ref="N304:O304" si="301">if(G304&gt;100%,100%,G304)</f>
        <v>0.858</v>
      </c>
      <c r="O304" s="23">
        <f t="shared" si="301"/>
        <v>1</v>
      </c>
    </row>
    <row r="305">
      <c r="A305" s="1">
        <v>588.0</v>
      </c>
      <c r="B305" s="1">
        <v>20946.0</v>
      </c>
      <c r="C305" s="23">
        <v>18.13</v>
      </c>
      <c r="D305" s="23">
        <v>17.812</v>
      </c>
      <c r="E305" s="26">
        <v>1.357</v>
      </c>
      <c r="F305" s="61">
        <v>1069.8</v>
      </c>
      <c r="G305" s="23">
        <v>0.858</v>
      </c>
      <c r="H305" s="23">
        <v>0.396</v>
      </c>
      <c r="I305" s="1">
        <v>509.8</v>
      </c>
      <c r="J305" s="1">
        <v>341.9</v>
      </c>
      <c r="K305" s="1">
        <v>28823.0</v>
      </c>
      <c r="L305" s="1">
        <v>100.0</v>
      </c>
      <c r="M305" s="23">
        <v>16.426</v>
      </c>
      <c r="N305" s="64">
        <f t="shared" ref="N305:O305" si="302">if(G305&gt;100%,100%,G305)</f>
        <v>0.858</v>
      </c>
      <c r="O305" s="23">
        <f t="shared" si="302"/>
        <v>0.396</v>
      </c>
    </row>
    <row r="306">
      <c r="A306" s="1">
        <v>590.0</v>
      </c>
      <c r="B306" s="1">
        <v>20946.0</v>
      </c>
      <c r="C306" s="23">
        <v>18.13</v>
      </c>
      <c r="D306" s="23">
        <v>17.812</v>
      </c>
      <c r="E306" s="26">
        <v>1.357</v>
      </c>
      <c r="F306" s="61">
        <v>1054.8</v>
      </c>
      <c r="G306" s="23">
        <v>0.885</v>
      </c>
      <c r="H306" s="23">
        <v>0.396</v>
      </c>
      <c r="I306" s="1">
        <v>509.8</v>
      </c>
      <c r="J306" s="1">
        <v>423.9</v>
      </c>
      <c r="K306" s="1">
        <v>28823.0</v>
      </c>
      <c r="L306" s="1">
        <v>100.0</v>
      </c>
      <c r="M306" s="23">
        <v>16.426</v>
      </c>
      <c r="N306" s="64">
        <f t="shared" ref="N306:O306" si="303">if(G306&gt;100%,100%,G306)</f>
        <v>0.885</v>
      </c>
      <c r="O306" s="23">
        <f t="shared" si="303"/>
        <v>0.396</v>
      </c>
    </row>
    <row r="307">
      <c r="A307" s="1">
        <v>592.0</v>
      </c>
      <c r="B307" s="1">
        <v>20946.0</v>
      </c>
      <c r="C307" s="23">
        <v>18.492</v>
      </c>
      <c r="D307" s="23">
        <v>17.874</v>
      </c>
      <c r="E307" s="26">
        <v>1.357</v>
      </c>
      <c r="F307" s="61">
        <v>1054.8</v>
      </c>
      <c r="G307" s="23">
        <v>0.885</v>
      </c>
      <c r="H307" s="23">
        <v>0.406</v>
      </c>
      <c r="I307" s="1">
        <v>509.8</v>
      </c>
      <c r="J307" s="1">
        <v>423.9</v>
      </c>
      <c r="K307" s="1">
        <v>28823.0</v>
      </c>
      <c r="L307" s="1">
        <v>100.0</v>
      </c>
      <c r="M307" s="23">
        <v>16.453</v>
      </c>
      <c r="N307" s="64">
        <f t="shared" ref="N307:O307" si="304">if(G307&gt;100%,100%,G307)</f>
        <v>0.885</v>
      </c>
      <c r="O307" s="23">
        <f t="shared" si="304"/>
        <v>0.406</v>
      </c>
    </row>
    <row r="308">
      <c r="A308" s="1">
        <v>594.0</v>
      </c>
      <c r="B308" s="1">
        <v>20946.0</v>
      </c>
      <c r="C308" s="23">
        <v>19.622</v>
      </c>
      <c r="D308" s="23">
        <v>19.004</v>
      </c>
      <c r="E308" s="23">
        <v>1.357</v>
      </c>
      <c r="F308" s="61">
        <v>1054.8</v>
      </c>
      <c r="G308" s="23">
        <v>0.885</v>
      </c>
      <c r="H308" s="23">
        <v>0.406</v>
      </c>
      <c r="I308" s="1">
        <v>509.8</v>
      </c>
      <c r="J308" s="1">
        <v>423.9</v>
      </c>
      <c r="K308" s="1">
        <v>28823.0</v>
      </c>
      <c r="L308" s="1">
        <v>100.0</v>
      </c>
      <c r="M308" s="23">
        <v>16.453</v>
      </c>
      <c r="N308" s="64">
        <f t="shared" ref="N308:O308" si="305">if(G308&gt;100%,100%,G308)</f>
        <v>0.885</v>
      </c>
      <c r="O308" s="23">
        <f t="shared" si="305"/>
        <v>0.406</v>
      </c>
    </row>
    <row r="309">
      <c r="A309" s="1">
        <v>596.0</v>
      </c>
      <c r="B309" s="1">
        <v>22879.0</v>
      </c>
      <c r="C309" s="23">
        <v>19.125</v>
      </c>
      <c r="D309" s="23">
        <v>18.765</v>
      </c>
      <c r="E309" s="26">
        <v>1.991</v>
      </c>
      <c r="F309" s="61">
        <v>1067.8</v>
      </c>
      <c r="G309" s="23">
        <v>0.885</v>
      </c>
      <c r="H309" s="23">
        <v>0.406</v>
      </c>
      <c r="I309" s="1">
        <v>509.8</v>
      </c>
      <c r="J309" s="1">
        <v>423.9</v>
      </c>
      <c r="K309" s="1">
        <v>31483.0</v>
      </c>
      <c r="L309" s="1">
        <v>100.0</v>
      </c>
      <c r="M309" s="23">
        <v>16.446</v>
      </c>
      <c r="N309" s="64">
        <f t="shared" ref="N309:O309" si="306">if(G309&gt;100%,100%,G309)</f>
        <v>0.885</v>
      </c>
      <c r="O309" s="23">
        <f t="shared" si="306"/>
        <v>0.406</v>
      </c>
    </row>
    <row r="310">
      <c r="A310" s="1">
        <v>598.0</v>
      </c>
      <c r="B310" s="1">
        <v>22879.0</v>
      </c>
      <c r="C310" s="23">
        <v>19.136</v>
      </c>
      <c r="D310" s="23">
        <v>22.175</v>
      </c>
      <c r="E310" s="26">
        <v>1.861</v>
      </c>
      <c r="F310" s="61">
        <v>1067.8</v>
      </c>
      <c r="G310" s="23">
        <v>0.885</v>
      </c>
      <c r="H310" s="23">
        <v>0.406</v>
      </c>
      <c r="I310" s="1">
        <v>509.8</v>
      </c>
      <c r="J310" s="1">
        <v>423.9</v>
      </c>
      <c r="K310" s="1">
        <v>31483.0</v>
      </c>
      <c r="L310" s="1">
        <v>100.0</v>
      </c>
      <c r="M310" s="23">
        <v>16.446</v>
      </c>
      <c r="N310" s="64">
        <f t="shared" ref="N310:O310" si="307">if(G310&gt;100%,100%,G310)</f>
        <v>0.885</v>
      </c>
      <c r="O310" s="23">
        <f t="shared" si="307"/>
        <v>0.406</v>
      </c>
    </row>
    <row r="311">
      <c r="A311" s="1">
        <v>600.0</v>
      </c>
      <c r="B311" s="1">
        <v>22879.0</v>
      </c>
      <c r="C311" s="23">
        <v>19.125</v>
      </c>
      <c r="D311" s="23">
        <v>22.244</v>
      </c>
      <c r="E311" s="26">
        <v>1.861</v>
      </c>
      <c r="F311" s="61">
        <v>1067.8</v>
      </c>
      <c r="G311" s="23">
        <v>0.885</v>
      </c>
      <c r="H311" s="23">
        <v>0.406</v>
      </c>
      <c r="I311" s="1">
        <v>509.8</v>
      </c>
      <c r="J311" s="1">
        <v>423.9</v>
      </c>
      <c r="K311" s="1">
        <v>31483.0</v>
      </c>
      <c r="L311" s="1">
        <v>100.0</v>
      </c>
      <c r="M311" s="23">
        <v>16.456</v>
      </c>
      <c r="N311" s="64">
        <f t="shared" ref="N311:O311" si="308">if(G311&gt;100%,100%,G311)</f>
        <v>0.885</v>
      </c>
      <c r="O311" s="23">
        <f t="shared" si="308"/>
        <v>0.406</v>
      </c>
    </row>
    <row r="312">
      <c r="A312" s="1">
        <v>602.0</v>
      </c>
      <c r="B312" s="1">
        <v>22148.0</v>
      </c>
      <c r="C312" s="23">
        <v>19.091</v>
      </c>
      <c r="D312" s="23">
        <v>22.244</v>
      </c>
      <c r="E312" s="26">
        <v>1.861</v>
      </c>
      <c r="F312" s="61">
        <v>1067.8</v>
      </c>
      <c r="G312" s="23">
        <v>0.885</v>
      </c>
      <c r="H312" s="23">
        <v>0.406</v>
      </c>
      <c r="I312" s="1">
        <v>509.8</v>
      </c>
      <c r="J312" s="1">
        <v>423.9</v>
      </c>
      <c r="K312" s="1">
        <v>31483.0</v>
      </c>
      <c r="L312" s="1">
        <v>100.0</v>
      </c>
      <c r="M312" s="23">
        <v>16.456</v>
      </c>
      <c r="N312" s="64">
        <f t="shared" ref="N312:O312" si="309">if(G312&gt;100%,100%,G312)</f>
        <v>0.885</v>
      </c>
      <c r="O312" s="23">
        <f t="shared" si="309"/>
        <v>0.406</v>
      </c>
    </row>
    <row r="313">
      <c r="A313" s="1">
        <v>604.0</v>
      </c>
      <c r="B313" s="1">
        <v>22879.0</v>
      </c>
      <c r="C313" s="23">
        <v>19.0</v>
      </c>
      <c r="D313" s="23">
        <v>21.725</v>
      </c>
      <c r="E313" s="26">
        <v>1.861</v>
      </c>
      <c r="F313" s="61">
        <v>1064.8</v>
      </c>
      <c r="G313" s="23">
        <v>0.885</v>
      </c>
      <c r="H313" s="23">
        <v>0.406</v>
      </c>
      <c r="I313" s="1">
        <v>509.8</v>
      </c>
      <c r="J313" s="1">
        <v>423.9</v>
      </c>
      <c r="K313" s="1">
        <v>31483.0</v>
      </c>
      <c r="L313" s="1">
        <v>100.0</v>
      </c>
      <c r="M313" s="23">
        <v>16.456</v>
      </c>
      <c r="N313" s="64">
        <f t="shared" ref="N313:O313" si="310">if(G313&gt;100%,100%,G313)</f>
        <v>0.885</v>
      </c>
      <c r="O313" s="23">
        <f t="shared" si="310"/>
        <v>0.406</v>
      </c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  <c r="K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  <c r="K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  <c r="K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  <c r="K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  <c r="K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  <c r="K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  <c r="K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  <c r="K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  <c r="K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  <c r="K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  <c r="K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  <c r="K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  <c r="K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  <c r="K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  <c r="K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  <c r="K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  <c r="K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  <c r="K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  <c r="K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  <c r="K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  <c r="K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  <c r="K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  <c r="K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  <c r="K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  <c r="K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  <c r="K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  <c r="K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  <c r="K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  <c r="K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  <c r="K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  <c r="K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  <c r="K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  <c r="K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  <c r="K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  <c r="K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  <c r="K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  <c r="K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  <c r="K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  <c r="K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  <c r="K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  <c r="K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  <c r="K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  <c r="K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  <c r="K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  <c r="K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  <c r="K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  <c r="K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  <c r="K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  <c r="K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  <c r="K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  <c r="K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  <c r="K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  <c r="K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  <c r="K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  <c r="K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  <c r="K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  <c r="K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  <c r="K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  <c r="K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  <c r="K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  <c r="K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  <c r="K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  <c r="K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  <c r="K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  <c r="K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  <c r="K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  <c r="K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  <c r="K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  <c r="K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  <c r="K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  <c r="K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  <c r="K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  <c r="K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  <c r="K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  <c r="K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  <c r="K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  <c r="K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  <c r="K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  <c r="K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  <c r="K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  <c r="K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  <c r="K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  <c r="K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  <c r="K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  <c r="K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  <c r="K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  <c r="K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  <c r="K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  <c r="K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  <c r="K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  <c r="K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  <c r="K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  <c r="K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  <c r="K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  <c r="K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  <c r="K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  <c r="K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  <c r="K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  <c r="K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  <c r="K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  <c r="K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  <c r="K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  <c r="K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  <c r="K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  <c r="K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  <c r="K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  <c r="K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  <c r="K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  <c r="K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  <c r="K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  <c r="K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  <c r="K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  <c r="K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  <c r="K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  <c r="K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  <c r="K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  <c r="K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  <c r="K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  <c r="K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  <c r="K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  <c r="K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  <c r="K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  <c r="K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  <c r="K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  <c r="K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  <c r="K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  <c r="K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  <c r="K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  <c r="K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  <c r="K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  <c r="K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  <c r="K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  <c r="K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  <c r="K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  <c r="K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  <c r="K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  <c r="K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  <c r="K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  <c r="K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  <c r="K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  <c r="K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  <c r="K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  <c r="K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  <c r="K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  <c r="K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  <c r="K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  <c r="K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  <c r="K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  <c r="K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  <c r="K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  <c r="K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  <c r="K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  <c r="K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  <c r="K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  <c r="K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  <c r="K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  <c r="K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  <c r="K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  <c r="K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  <c r="K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  <c r="K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  <c r="K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  <c r="K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  <c r="K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  <c r="K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  <c r="K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  <c r="K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  <c r="K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  <c r="K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  <c r="K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  <c r="K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  <c r="K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  <c r="K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  <c r="K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  <c r="K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  <c r="K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  <c r="K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  <c r="K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  <c r="K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  <c r="K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  <c r="K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  <c r="K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  <c r="K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  <c r="K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  <c r="K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  <c r="K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  <c r="K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  <c r="K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  <c r="K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  <c r="K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  <c r="K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  <c r="K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  <c r="K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  <c r="K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  <c r="K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  <c r="K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  <c r="K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  <c r="K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  <c r="K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  <c r="K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  <c r="K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  <c r="K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  <c r="K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  <c r="K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  <c r="K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  <c r="K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  <c r="K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  <c r="K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  <c r="K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  <c r="K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  <c r="K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  <c r="K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  <c r="K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  <c r="K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  <c r="K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  <c r="K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  <c r="K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  <c r="K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  <c r="K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  <c r="K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  <c r="K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  <c r="K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  <c r="K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  <c r="K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  <c r="K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  <c r="K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  <c r="K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  <c r="K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  <c r="K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  <c r="K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K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  <c r="K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K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</v>
      </c>
      <c r="B1" s="40" t="str">
        <f t="shared" ref="B1:K1" si="1">B8</f>
        <v>Agility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40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Stamina</v>
      </c>
      <c r="N1" t="s">
        <v>26</v>
      </c>
    </row>
    <row r="2">
      <c r="A2" s="41" t="s">
        <v>111</v>
      </c>
      <c r="B2" s="42">
        <f t="shared" ref="B2:K2" si="2">Average(B7:B998)</f>
        <v>21234.58389</v>
      </c>
      <c r="C2" s="43">
        <f t="shared" si="2"/>
        <v>15.31583557</v>
      </c>
      <c r="D2" s="43">
        <f t="shared" si="2"/>
        <v>13.20464765</v>
      </c>
      <c r="E2" s="43">
        <f t="shared" si="2"/>
        <v>3.390060403</v>
      </c>
      <c r="F2" s="42">
        <f t="shared" si="2"/>
        <v>1092.151342</v>
      </c>
      <c r="G2" s="43">
        <f t="shared" si="2"/>
        <v>0.9739966443</v>
      </c>
      <c r="H2" s="43">
        <f t="shared" si="2"/>
        <v>0.4758221477</v>
      </c>
      <c r="I2" s="42">
        <f t="shared" si="2"/>
        <v>379.9275168</v>
      </c>
      <c r="J2" s="42">
        <f t="shared" si="2"/>
        <v>926.9348993</v>
      </c>
      <c r="K2" s="42">
        <f t="shared" si="2"/>
        <v>28317.5604</v>
      </c>
      <c r="N2">
        <v>0.9469756097560971</v>
      </c>
      <c r="P2" s="39"/>
      <c r="Q2" s="39"/>
      <c r="R2" s="1"/>
      <c r="S2" s="39"/>
      <c r="T2" s="23"/>
      <c r="U2" s="1"/>
      <c r="V2" s="1"/>
      <c r="W2" s="1"/>
      <c r="X2" s="1"/>
    </row>
    <row r="3">
      <c r="A3" s="41" t="s">
        <v>112</v>
      </c>
      <c r="B3" s="42">
        <f t="shared" ref="B3:K3" si="3">Min(B7:B998)</f>
        <v>17077</v>
      </c>
      <c r="C3" s="43">
        <f t="shared" si="3"/>
        <v>12.701</v>
      </c>
      <c r="D3" s="43">
        <f t="shared" si="3"/>
        <v>10.653</v>
      </c>
      <c r="E3" s="43">
        <f t="shared" si="3"/>
        <v>2.279</v>
      </c>
      <c r="F3" s="42">
        <f t="shared" si="3"/>
        <v>1046.8</v>
      </c>
      <c r="G3" s="43">
        <f t="shared" si="3"/>
        <v>0.765</v>
      </c>
      <c r="H3" s="43">
        <f t="shared" si="3"/>
        <v>0.368</v>
      </c>
      <c r="I3" s="42">
        <f t="shared" si="3"/>
        <v>350.8</v>
      </c>
      <c r="J3" s="42">
        <f t="shared" si="3"/>
        <v>828.1</v>
      </c>
      <c r="K3" s="42">
        <f t="shared" si="3"/>
        <v>22731</v>
      </c>
      <c r="N3">
        <v>0.722</v>
      </c>
      <c r="P3" s="65"/>
      <c r="Q3" s="66"/>
      <c r="R3" s="12"/>
      <c r="S3" s="1"/>
      <c r="T3" s="1"/>
      <c r="U3" s="1"/>
      <c r="V3" s="23"/>
      <c r="W3" s="12"/>
      <c r="X3" s="1"/>
    </row>
    <row r="4">
      <c r="A4" s="41" t="s">
        <v>113</v>
      </c>
      <c r="B4" s="42">
        <f t="shared" ref="B4:K4" si="4">Median(B7:B998)</f>
        <v>19847</v>
      </c>
      <c r="C4" s="43">
        <f t="shared" si="4"/>
        <v>15.111</v>
      </c>
      <c r="D4" s="43">
        <f t="shared" si="4"/>
        <v>12.82</v>
      </c>
      <c r="E4" s="43">
        <f t="shared" si="4"/>
        <v>3.408</v>
      </c>
      <c r="F4" s="42">
        <f t="shared" si="4"/>
        <v>1101.1</v>
      </c>
      <c r="G4" s="43">
        <f t="shared" si="4"/>
        <v>1.05</v>
      </c>
      <c r="H4" s="43">
        <f t="shared" si="4"/>
        <v>0.386</v>
      </c>
      <c r="I4" s="42">
        <f t="shared" si="4"/>
        <v>382.8</v>
      </c>
      <c r="J4" s="42">
        <f t="shared" si="4"/>
        <v>929.8</v>
      </c>
      <c r="K4" s="42">
        <f t="shared" si="4"/>
        <v>26417</v>
      </c>
      <c r="N4">
        <v>1.002</v>
      </c>
      <c r="P4" s="39"/>
      <c r="Q4" s="67"/>
      <c r="R4" s="12"/>
      <c r="S4" s="1"/>
      <c r="T4" s="1"/>
      <c r="U4" s="1"/>
      <c r="V4" s="23"/>
      <c r="W4" s="12"/>
      <c r="X4" s="1"/>
    </row>
    <row r="5">
      <c r="A5" s="41" t="s">
        <v>114</v>
      </c>
      <c r="B5" s="42">
        <f t="shared" ref="B5:K5" si="5">Max(B7:B998)</f>
        <v>27231</v>
      </c>
      <c r="C5" s="43">
        <f t="shared" si="5"/>
        <v>17.163</v>
      </c>
      <c r="D5" s="43">
        <f t="shared" si="5"/>
        <v>18.697</v>
      </c>
      <c r="E5" s="43">
        <f t="shared" si="5"/>
        <v>4.474</v>
      </c>
      <c r="F5" s="42">
        <f t="shared" si="5"/>
        <v>1101.1</v>
      </c>
      <c r="G5" s="43">
        <f t="shared" si="5"/>
        <v>1.163</v>
      </c>
      <c r="H5" s="43">
        <f t="shared" si="5"/>
        <v>1.416</v>
      </c>
      <c r="I5" s="42">
        <f t="shared" si="5"/>
        <v>382.8</v>
      </c>
      <c r="J5" s="42">
        <f t="shared" si="5"/>
        <v>969.1</v>
      </c>
      <c r="K5" s="42">
        <f t="shared" si="5"/>
        <v>36246</v>
      </c>
      <c r="N5">
        <v>1.024</v>
      </c>
      <c r="P5" s="39"/>
      <c r="Q5" s="67"/>
      <c r="R5" s="12"/>
      <c r="S5" s="1"/>
      <c r="T5" s="1"/>
      <c r="U5" s="1"/>
      <c r="V5" s="23"/>
      <c r="W5" s="12"/>
      <c r="X5" s="1"/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  <c r="N6" s="35"/>
      <c r="P6" s="39"/>
      <c r="Q6" s="67"/>
      <c r="R6" s="12"/>
      <c r="S6" s="1"/>
      <c r="T6" s="1"/>
      <c r="U6" s="1"/>
      <c r="V6" s="23"/>
      <c r="W6" s="12"/>
      <c r="X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N7" s="35"/>
      <c r="P7" s="39"/>
      <c r="Q7" s="67"/>
      <c r="R7" s="12"/>
      <c r="S7" s="1"/>
      <c r="T7" s="1"/>
      <c r="U7" s="1"/>
      <c r="V7" s="23"/>
      <c r="W7" s="12"/>
      <c r="X7" s="1"/>
    </row>
    <row r="8">
      <c r="A8" s="39" t="s">
        <v>482</v>
      </c>
      <c r="B8" s="39" t="s">
        <v>117</v>
      </c>
      <c r="C8" s="39" t="s">
        <v>23</v>
      </c>
      <c r="D8" s="39" t="s">
        <v>12</v>
      </c>
      <c r="E8" s="39" t="s">
        <v>24</v>
      </c>
      <c r="F8" s="39" t="s">
        <v>25</v>
      </c>
      <c r="G8" s="39" t="s">
        <v>26</v>
      </c>
      <c r="H8" s="39" t="s">
        <v>483</v>
      </c>
      <c r="I8" s="39" t="s">
        <v>484</v>
      </c>
      <c r="J8" s="39" t="s">
        <v>485</v>
      </c>
      <c r="K8" s="39" t="s">
        <v>486</v>
      </c>
      <c r="L8" s="1" t="s">
        <v>498</v>
      </c>
      <c r="M8" s="1" t="s">
        <v>499</v>
      </c>
      <c r="N8" s="23"/>
      <c r="P8" s="39"/>
      <c r="Q8" s="67"/>
      <c r="R8" s="12"/>
      <c r="S8" s="1"/>
      <c r="T8" s="1"/>
      <c r="U8" s="1"/>
      <c r="V8" s="23"/>
      <c r="W8" s="12"/>
      <c r="X8" s="1"/>
    </row>
    <row r="9">
      <c r="A9" s="65">
        <v>0.0</v>
      </c>
      <c r="B9" s="65">
        <v>19622.0</v>
      </c>
      <c r="C9" s="66">
        <v>12.701</v>
      </c>
      <c r="D9" s="66">
        <v>11.131</v>
      </c>
      <c r="E9" s="66">
        <v>2.279</v>
      </c>
      <c r="F9" s="68">
        <v>1086.1</v>
      </c>
      <c r="G9" s="69">
        <v>1.046</v>
      </c>
      <c r="H9" s="66">
        <v>0.368</v>
      </c>
      <c r="I9" s="65">
        <v>350.8</v>
      </c>
      <c r="J9" s="65">
        <v>949.3</v>
      </c>
      <c r="K9" s="1">
        <v>26417.0</v>
      </c>
      <c r="L9" s="1">
        <v>100.0</v>
      </c>
      <c r="M9" s="23">
        <v>14.53</v>
      </c>
      <c r="N9" s="23">
        <f t="shared" ref="N9:N362" si="6">if(H9&gt;100%,100%,H9)</f>
        <v>0.368</v>
      </c>
      <c r="O9">
        <f t="shared" ref="O9:O362" si="7">if(G9&gt;100%,100%,G9)</f>
        <v>1</v>
      </c>
      <c r="P9" s="39"/>
      <c r="Q9" s="67"/>
      <c r="R9" s="12"/>
      <c r="S9" s="1"/>
      <c r="T9" s="1"/>
      <c r="U9" s="1"/>
      <c r="V9" s="23"/>
      <c r="W9" s="12"/>
      <c r="X9" s="1"/>
    </row>
    <row r="10">
      <c r="A10" s="39" t="s">
        <v>500</v>
      </c>
      <c r="B10" s="70"/>
      <c r="C10" s="70"/>
      <c r="D10" s="70"/>
      <c r="E10" s="40"/>
      <c r="F10" s="70"/>
      <c r="G10" s="70"/>
      <c r="H10" s="40"/>
      <c r="I10" s="40"/>
      <c r="J10" s="40"/>
      <c r="M10" s="35"/>
      <c r="N10" s="23" t="str">
        <f t="shared" si="6"/>
        <v/>
      </c>
      <c r="O10" s="64" t="str">
        <f t="shared" si="7"/>
        <v/>
      </c>
      <c r="P10" s="39"/>
      <c r="Q10" s="67"/>
      <c r="R10" s="12"/>
      <c r="S10" s="1"/>
      <c r="T10" s="1"/>
      <c r="U10" s="1"/>
      <c r="V10" s="23"/>
      <c r="W10" s="12"/>
      <c r="X10" s="1"/>
    </row>
    <row r="11">
      <c r="A11" s="39">
        <v>2.0</v>
      </c>
      <c r="B11" s="39">
        <v>19622.0</v>
      </c>
      <c r="C11" s="67">
        <v>12.821</v>
      </c>
      <c r="D11" s="67">
        <v>11.251</v>
      </c>
      <c r="E11" s="67">
        <v>2.529</v>
      </c>
      <c r="F11" s="71">
        <v>1086.1</v>
      </c>
      <c r="G11" s="67">
        <v>1.046</v>
      </c>
      <c r="H11" s="67">
        <v>0.368</v>
      </c>
      <c r="I11" s="39">
        <v>350.8</v>
      </c>
      <c r="J11" s="39">
        <v>949.3</v>
      </c>
      <c r="K11" s="1">
        <v>26417.0</v>
      </c>
      <c r="L11" s="1">
        <v>100.0</v>
      </c>
      <c r="M11" s="23">
        <v>14.588</v>
      </c>
      <c r="N11" s="23">
        <f t="shared" si="6"/>
        <v>0.368</v>
      </c>
      <c r="O11">
        <f t="shared" si="7"/>
        <v>1</v>
      </c>
      <c r="P11" s="39"/>
      <c r="Q11" s="67"/>
      <c r="R11" s="12"/>
      <c r="S11" s="1"/>
      <c r="T11" s="1"/>
      <c r="U11" s="1"/>
      <c r="V11" s="23"/>
      <c r="W11" s="12"/>
      <c r="X11" s="1"/>
    </row>
    <row r="12">
      <c r="A12" s="39" t="s">
        <v>501</v>
      </c>
      <c r="B12" s="39"/>
      <c r="C12" s="67"/>
      <c r="D12" s="67"/>
      <c r="E12" s="67"/>
      <c r="F12" s="71"/>
      <c r="G12" s="67"/>
      <c r="H12" s="67"/>
      <c r="I12" s="39"/>
      <c r="J12" s="39"/>
      <c r="K12" s="1"/>
      <c r="L12" s="1"/>
      <c r="M12" s="23"/>
      <c r="N12" s="23" t="str">
        <f t="shared" si="6"/>
        <v/>
      </c>
      <c r="O12" s="64" t="str">
        <f t="shared" si="7"/>
        <v/>
      </c>
      <c r="P12" s="65"/>
      <c r="Q12" s="66"/>
      <c r="R12" s="12"/>
      <c r="S12" s="1"/>
      <c r="T12" s="1"/>
      <c r="U12" s="1"/>
      <c r="V12" s="23"/>
      <c r="W12" s="12"/>
      <c r="X12" s="1"/>
    </row>
    <row r="13">
      <c r="A13" s="39">
        <v>4.0</v>
      </c>
      <c r="B13" s="39">
        <v>19622.0</v>
      </c>
      <c r="C13" s="67">
        <v>13.285</v>
      </c>
      <c r="D13" s="67">
        <v>12.201</v>
      </c>
      <c r="E13" s="67">
        <v>2.531</v>
      </c>
      <c r="F13" s="71">
        <v>1086.1</v>
      </c>
      <c r="G13" s="67">
        <v>1.076</v>
      </c>
      <c r="H13" s="67">
        <v>0.376</v>
      </c>
      <c r="I13" s="39">
        <v>354.8</v>
      </c>
      <c r="J13" s="39">
        <v>949.3</v>
      </c>
      <c r="K13" s="1">
        <v>26417.0</v>
      </c>
      <c r="L13" s="1">
        <v>100.0</v>
      </c>
      <c r="M13" s="23">
        <v>14.588</v>
      </c>
      <c r="N13" s="23">
        <f t="shared" si="6"/>
        <v>0.376</v>
      </c>
      <c r="O13">
        <f t="shared" si="7"/>
        <v>1</v>
      </c>
      <c r="P13" s="65"/>
      <c r="Q13" s="66"/>
      <c r="R13" s="12"/>
      <c r="S13" s="1"/>
      <c r="T13" s="1"/>
      <c r="U13" s="1"/>
      <c r="V13" s="23"/>
      <c r="W13" s="12"/>
      <c r="X13" s="1"/>
    </row>
    <row r="14">
      <c r="A14" s="65" t="s">
        <v>502</v>
      </c>
      <c r="B14" s="63"/>
      <c r="C14" s="43"/>
      <c r="D14" s="43"/>
      <c r="E14" s="72"/>
      <c r="F14" s="43"/>
      <c r="G14" s="43"/>
      <c r="H14" s="73"/>
      <c r="I14" s="73"/>
      <c r="J14" s="73"/>
      <c r="M14" s="35"/>
      <c r="N14" s="23" t="str">
        <f t="shared" si="6"/>
        <v/>
      </c>
      <c r="O14" s="64" t="str">
        <f t="shared" si="7"/>
        <v/>
      </c>
      <c r="P14" s="65"/>
      <c r="Q14" s="66"/>
      <c r="R14" s="12"/>
      <c r="S14" s="1"/>
      <c r="T14" s="1"/>
      <c r="U14" s="1"/>
      <c r="V14" s="23"/>
      <c r="W14" s="12"/>
      <c r="X14" s="1"/>
    </row>
    <row r="15">
      <c r="A15" s="39">
        <v>6.0</v>
      </c>
      <c r="B15" s="39">
        <v>23273.0</v>
      </c>
      <c r="C15" s="67">
        <v>14.224</v>
      </c>
      <c r="D15" s="67">
        <v>11.887</v>
      </c>
      <c r="E15" s="67">
        <v>2.683</v>
      </c>
      <c r="F15" s="71">
        <v>1086.1</v>
      </c>
      <c r="G15" s="67">
        <v>1.063</v>
      </c>
      <c r="H15" s="67">
        <v>1.376</v>
      </c>
      <c r="I15" s="39">
        <v>354.8</v>
      </c>
      <c r="J15" s="39">
        <v>887.1</v>
      </c>
      <c r="K15" s="1">
        <v>31331.0</v>
      </c>
      <c r="L15" s="1">
        <v>99.0</v>
      </c>
      <c r="M15" s="23">
        <v>14.588</v>
      </c>
      <c r="N15" s="23">
        <f t="shared" si="6"/>
        <v>1</v>
      </c>
      <c r="O15">
        <f t="shared" si="7"/>
        <v>1</v>
      </c>
      <c r="P15" s="65"/>
      <c r="Q15" s="66"/>
      <c r="R15" s="12"/>
      <c r="S15" s="1"/>
      <c r="T15" s="1"/>
      <c r="U15" s="1"/>
      <c r="V15" s="23"/>
      <c r="W15" s="12"/>
      <c r="X15" s="1"/>
    </row>
    <row r="16">
      <c r="A16" s="39" t="s">
        <v>502</v>
      </c>
      <c r="B16" s="70"/>
      <c r="C16" s="70"/>
      <c r="D16" s="70"/>
      <c r="E16" s="40"/>
      <c r="F16" s="70"/>
      <c r="G16" s="70"/>
      <c r="H16" s="40"/>
      <c r="I16" s="40"/>
      <c r="J16" s="40"/>
      <c r="M16" s="35"/>
      <c r="N16" s="23" t="str">
        <f t="shared" si="6"/>
        <v/>
      </c>
      <c r="O16" s="64" t="str">
        <f t="shared" si="7"/>
        <v/>
      </c>
      <c r="P16" s="65"/>
      <c r="Q16" s="69"/>
      <c r="R16" s="12"/>
      <c r="S16" s="1"/>
      <c r="T16" s="1"/>
      <c r="U16" s="1"/>
      <c r="V16" s="23"/>
      <c r="W16" s="12"/>
      <c r="X16" s="1"/>
    </row>
    <row r="17">
      <c r="A17" s="39" t="s">
        <v>502</v>
      </c>
      <c r="B17" s="39"/>
      <c r="C17" s="67"/>
      <c r="D17" s="67"/>
      <c r="E17" s="67"/>
      <c r="F17" s="71"/>
      <c r="G17" s="67"/>
      <c r="H17" s="67"/>
      <c r="I17" s="39"/>
      <c r="J17" s="39"/>
      <c r="K17" s="1"/>
      <c r="L17" s="1"/>
      <c r="M17" s="23"/>
      <c r="N17" s="23" t="str">
        <f t="shared" si="6"/>
        <v/>
      </c>
      <c r="O17" s="64" t="str">
        <f t="shared" si="7"/>
        <v/>
      </c>
      <c r="P17" s="65"/>
      <c r="Q17" s="66"/>
      <c r="R17" s="12"/>
      <c r="S17" s="1"/>
      <c r="T17" s="1"/>
      <c r="U17" s="1"/>
      <c r="V17" s="23"/>
      <c r="W17" s="12"/>
      <c r="X17" s="1"/>
    </row>
    <row r="18">
      <c r="A18" s="39" t="s">
        <v>502</v>
      </c>
      <c r="B18" s="70"/>
      <c r="C18" s="70"/>
      <c r="D18" s="70"/>
      <c r="E18" s="74"/>
      <c r="F18" s="70"/>
      <c r="G18" s="70"/>
      <c r="H18" s="40"/>
      <c r="I18" s="40"/>
      <c r="J18" s="40"/>
      <c r="M18" s="35"/>
      <c r="N18" s="23" t="str">
        <f t="shared" si="6"/>
        <v/>
      </c>
      <c r="O18" s="64" t="str">
        <f t="shared" si="7"/>
        <v/>
      </c>
      <c r="P18" s="65"/>
      <c r="Q18" s="66"/>
      <c r="R18" s="12"/>
      <c r="S18" s="1"/>
      <c r="T18" s="1"/>
      <c r="U18" s="1"/>
      <c r="V18" s="23"/>
      <c r="W18" s="12"/>
      <c r="X18" s="1"/>
    </row>
    <row r="19">
      <c r="A19" s="39" t="s">
        <v>502</v>
      </c>
      <c r="B19" s="75"/>
      <c r="C19" s="70"/>
      <c r="D19" s="70"/>
      <c r="E19" s="74"/>
      <c r="F19" s="70"/>
      <c r="G19" s="70"/>
      <c r="H19" s="40"/>
      <c r="I19" s="40"/>
      <c r="J19" s="40"/>
      <c r="M19" s="35"/>
      <c r="N19" s="23" t="str">
        <f t="shared" si="6"/>
        <v/>
      </c>
      <c r="O19" s="64" t="str">
        <f t="shared" si="7"/>
        <v/>
      </c>
      <c r="P19" s="65"/>
      <c r="Q19" s="66"/>
      <c r="R19" s="12"/>
      <c r="S19" s="1"/>
      <c r="T19" s="1"/>
      <c r="U19" s="1"/>
      <c r="V19" s="23"/>
      <c r="W19" s="12"/>
      <c r="X19" s="1"/>
    </row>
    <row r="20">
      <c r="A20" s="39">
        <v>8.0</v>
      </c>
      <c r="B20" s="39">
        <v>24185.0</v>
      </c>
      <c r="C20" s="67">
        <v>15.139</v>
      </c>
      <c r="D20" s="67">
        <v>12.491</v>
      </c>
      <c r="E20" s="67">
        <v>2.833</v>
      </c>
      <c r="F20" s="71">
        <v>1101.1</v>
      </c>
      <c r="G20" s="67">
        <v>1.063</v>
      </c>
      <c r="H20" s="67">
        <v>1.376</v>
      </c>
      <c r="I20" s="39">
        <v>354.8</v>
      </c>
      <c r="J20" s="39">
        <v>887.1</v>
      </c>
      <c r="K20" s="1">
        <v>32560.0</v>
      </c>
      <c r="L20" s="1">
        <v>100.0</v>
      </c>
      <c r="M20" s="23">
        <v>14.812</v>
      </c>
      <c r="N20" s="23">
        <f t="shared" si="6"/>
        <v>1</v>
      </c>
      <c r="O20">
        <f t="shared" si="7"/>
        <v>1</v>
      </c>
      <c r="P20" s="65"/>
      <c r="Q20" s="66"/>
      <c r="R20" s="12"/>
      <c r="S20" s="1"/>
      <c r="T20" s="1"/>
      <c r="U20" s="1"/>
      <c r="V20" s="23"/>
      <c r="W20" s="12"/>
      <c r="X20" s="1"/>
    </row>
    <row r="21">
      <c r="A21" s="39" t="s">
        <v>502</v>
      </c>
      <c r="B21" s="39"/>
      <c r="C21" s="67"/>
      <c r="D21" s="67"/>
      <c r="E21" s="67"/>
      <c r="F21" s="71"/>
      <c r="G21" s="67"/>
      <c r="H21" s="67"/>
      <c r="I21" s="39"/>
      <c r="J21" s="39"/>
      <c r="K21" s="1"/>
      <c r="L21" s="1"/>
      <c r="M21" s="23"/>
      <c r="N21" s="23" t="str">
        <f t="shared" si="6"/>
        <v/>
      </c>
      <c r="O21" s="64" t="str">
        <f t="shared" si="7"/>
        <v/>
      </c>
      <c r="P21" s="65"/>
      <c r="Q21" s="66"/>
      <c r="R21" s="12"/>
      <c r="S21" s="1"/>
      <c r="T21" s="1"/>
      <c r="U21" s="1"/>
      <c r="V21" s="23"/>
      <c r="W21" s="12"/>
      <c r="X21" s="1"/>
    </row>
    <row r="22">
      <c r="A22" s="39" t="s">
        <v>502</v>
      </c>
      <c r="B22" s="75"/>
      <c r="C22" s="70"/>
      <c r="D22" s="70"/>
      <c r="E22" s="74"/>
      <c r="F22" s="70"/>
      <c r="G22" s="70"/>
      <c r="H22" s="40"/>
      <c r="I22" s="40"/>
      <c r="J22" s="40"/>
      <c r="M22" s="35"/>
      <c r="N22" s="23" t="str">
        <f t="shared" si="6"/>
        <v/>
      </c>
      <c r="O22" s="64" t="str">
        <f t="shared" si="7"/>
        <v/>
      </c>
      <c r="P22" s="65"/>
      <c r="Q22" s="66"/>
      <c r="R22" s="12"/>
      <c r="S22" s="1"/>
      <c r="T22" s="1"/>
      <c r="U22" s="1"/>
      <c r="V22" s="23"/>
      <c r="W22" s="12"/>
      <c r="X22" s="1"/>
    </row>
    <row r="23">
      <c r="A23" s="39" t="s">
        <v>502</v>
      </c>
      <c r="B23" s="70"/>
      <c r="C23" s="70"/>
      <c r="D23" s="70"/>
      <c r="E23" s="74"/>
      <c r="F23" s="70"/>
      <c r="G23" s="70"/>
      <c r="H23" s="40"/>
      <c r="I23" s="40"/>
      <c r="J23" s="40"/>
      <c r="M23" s="35"/>
      <c r="N23" s="23" t="str">
        <f t="shared" si="6"/>
        <v/>
      </c>
      <c r="O23" s="64" t="str">
        <f t="shared" si="7"/>
        <v/>
      </c>
      <c r="P23" s="39"/>
      <c r="Q23" s="67"/>
      <c r="R23" s="12"/>
      <c r="S23" s="1"/>
      <c r="T23" s="1"/>
      <c r="U23" s="1"/>
      <c r="V23" s="23"/>
      <c r="W23" s="12"/>
      <c r="X23" s="1"/>
    </row>
    <row r="24">
      <c r="A24" s="39" t="s">
        <v>502</v>
      </c>
      <c r="B24" s="70"/>
      <c r="C24" s="70"/>
      <c r="D24" s="70"/>
      <c r="E24" s="74"/>
      <c r="F24" s="70"/>
      <c r="G24" s="70"/>
      <c r="H24" s="40"/>
      <c r="I24" s="40"/>
      <c r="J24" s="40"/>
      <c r="M24" s="35"/>
      <c r="N24" s="23" t="str">
        <f t="shared" si="6"/>
        <v/>
      </c>
      <c r="O24" s="64" t="str">
        <f t="shared" si="7"/>
        <v/>
      </c>
      <c r="P24" s="65"/>
      <c r="Q24" s="66"/>
      <c r="R24" s="12"/>
      <c r="S24" s="1"/>
      <c r="T24" s="1"/>
      <c r="U24" s="1"/>
      <c r="V24" s="23"/>
      <c r="W24" s="12"/>
      <c r="X24" s="1"/>
    </row>
    <row r="25">
      <c r="A25" s="65">
        <v>10.0</v>
      </c>
      <c r="B25" s="65">
        <v>24185.0</v>
      </c>
      <c r="C25" s="66">
        <v>15.033</v>
      </c>
      <c r="D25" s="66">
        <v>15.628</v>
      </c>
      <c r="E25" s="66">
        <v>2.723</v>
      </c>
      <c r="F25" s="68">
        <v>1101.1</v>
      </c>
      <c r="G25" s="66">
        <v>1.063</v>
      </c>
      <c r="H25" s="66">
        <v>0.376</v>
      </c>
      <c r="I25" s="65">
        <v>354.8</v>
      </c>
      <c r="J25" s="65">
        <v>887.1</v>
      </c>
      <c r="K25" s="1">
        <v>32560.0</v>
      </c>
      <c r="L25" s="1">
        <v>100.0</v>
      </c>
      <c r="M25" s="23">
        <v>14.812</v>
      </c>
      <c r="N25" s="23">
        <f t="shared" si="6"/>
        <v>0.376</v>
      </c>
      <c r="O25">
        <f t="shared" si="7"/>
        <v>1</v>
      </c>
      <c r="P25" s="65"/>
      <c r="Q25" s="66"/>
      <c r="R25" s="12"/>
      <c r="S25" s="1"/>
      <c r="T25" s="1"/>
      <c r="U25" s="1"/>
      <c r="V25" s="23"/>
      <c r="W25" s="12"/>
      <c r="X25" s="1"/>
    </row>
    <row r="26">
      <c r="A26" s="39" t="s">
        <v>502</v>
      </c>
      <c r="B26" s="39"/>
      <c r="C26" s="67"/>
      <c r="D26" s="67"/>
      <c r="E26" s="67"/>
      <c r="F26" s="71"/>
      <c r="G26" s="67"/>
      <c r="H26" s="67"/>
      <c r="I26" s="39"/>
      <c r="J26" s="39"/>
      <c r="K26" s="1"/>
      <c r="L26" s="1"/>
      <c r="M26" s="23"/>
      <c r="N26" s="23" t="str">
        <f t="shared" si="6"/>
        <v/>
      </c>
      <c r="O26" s="64" t="str">
        <f t="shared" si="7"/>
        <v/>
      </c>
      <c r="P26" s="65"/>
      <c r="Q26" s="66"/>
      <c r="R26" s="12"/>
      <c r="S26" s="1"/>
      <c r="T26" s="1"/>
      <c r="U26" s="1"/>
      <c r="V26" s="23"/>
      <c r="W26" s="12"/>
      <c r="X26" s="1"/>
    </row>
    <row r="27">
      <c r="A27" s="39" t="s">
        <v>502</v>
      </c>
      <c r="B27" s="70"/>
      <c r="C27" s="70"/>
      <c r="D27" s="70"/>
      <c r="E27" s="74"/>
      <c r="F27" s="70"/>
      <c r="G27" s="70"/>
      <c r="H27" s="40"/>
      <c r="I27" s="40"/>
      <c r="J27" s="40"/>
      <c r="M27" s="35"/>
      <c r="N27" s="23" t="str">
        <f t="shared" si="6"/>
        <v/>
      </c>
      <c r="O27" s="64" t="str">
        <f t="shared" si="7"/>
        <v/>
      </c>
      <c r="P27" s="65"/>
      <c r="Q27" s="66"/>
      <c r="R27" s="12"/>
      <c r="S27" s="1"/>
      <c r="T27" s="1"/>
      <c r="U27" s="1"/>
      <c r="V27" s="23"/>
      <c r="W27" s="12"/>
      <c r="X27" s="1"/>
    </row>
    <row r="28">
      <c r="A28" s="39" t="s">
        <v>502</v>
      </c>
      <c r="B28" s="70"/>
      <c r="C28" s="70"/>
      <c r="D28" s="70"/>
      <c r="E28" s="74"/>
      <c r="F28" s="70"/>
      <c r="G28" s="70"/>
      <c r="H28" s="40"/>
      <c r="I28" s="40"/>
      <c r="J28" s="40"/>
      <c r="M28" s="35"/>
      <c r="N28" s="23" t="str">
        <f t="shared" si="6"/>
        <v/>
      </c>
      <c r="O28" s="64" t="str">
        <f t="shared" si="7"/>
        <v/>
      </c>
      <c r="P28" s="39"/>
      <c r="Q28" s="67"/>
      <c r="R28" s="12"/>
      <c r="S28" s="1"/>
      <c r="T28" s="1"/>
      <c r="U28" s="1"/>
      <c r="V28" s="23"/>
      <c r="W28" s="12"/>
      <c r="X28" s="1"/>
    </row>
    <row r="29">
      <c r="A29" s="39" t="s">
        <v>503</v>
      </c>
      <c r="B29" s="70"/>
      <c r="C29" s="70"/>
      <c r="D29" s="70"/>
      <c r="E29" s="74"/>
      <c r="F29" s="70"/>
      <c r="G29" s="70"/>
      <c r="H29" s="40"/>
      <c r="I29" s="40"/>
      <c r="J29" s="40"/>
      <c r="M29" s="35"/>
      <c r="N29" s="23" t="str">
        <f t="shared" si="6"/>
        <v/>
      </c>
      <c r="O29" s="64" t="str">
        <f t="shared" si="7"/>
        <v/>
      </c>
      <c r="P29" s="39"/>
      <c r="Q29" s="67"/>
      <c r="R29" s="12"/>
      <c r="S29" s="1"/>
      <c r="T29" s="1"/>
      <c r="U29" s="1"/>
      <c r="V29" s="23"/>
      <c r="W29" s="12"/>
      <c r="X29" s="1"/>
    </row>
    <row r="30">
      <c r="A30" s="39" t="s">
        <v>502</v>
      </c>
      <c r="B30" s="70"/>
      <c r="C30" s="75"/>
      <c r="D30" s="70"/>
      <c r="E30" s="74"/>
      <c r="F30" s="70"/>
      <c r="G30" s="70"/>
      <c r="H30" s="40"/>
      <c r="I30" s="40"/>
      <c r="J30" s="40"/>
      <c r="M30" s="35"/>
      <c r="N30" s="23" t="str">
        <f t="shared" si="6"/>
        <v/>
      </c>
      <c r="O30" s="64" t="str">
        <f t="shared" si="7"/>
        <v/>
      </c>
      <c r="P30" s="39"/>
      <c r="Q30" s="67"/>
      <c r="R30" s="12"/>
      <c r="S30" s="1"/>
      <c r="T30" s="1"/>
      <c r="U30" s="1"/>
      <c r="V30" s="23"/>
      <c r="W30" s="12"/>
      <c r="X30" s="1"/>
    </row>
    <row r="31">
      <c r="A31" s="39" t="s">
        <v>504</v>
      </c>
      <c r="B31" s="70"/>
      <c r="C31" s="75"/>
      <c r="D31" s="70"/>
      <c r="E31" s="74"/>
      <c r="F31" s="70"/>
      <c r="G31" s="70"/>
      <c r="H31" s="40"/>
      <c r="I31" s="40"/>
      <c r="J31" s="40"/>
      <c r="M31" s="35"/>
      <c r="N31" s="23" t="str">
        <f t="shared" si="6"/>
        <v/>
      </c>
      <c r="O31" s="64" t="str">
        <f t="shared" si="7"/>
        <v/>
      </c>
      <c r="P31" s="39"/>
      <c r="Q31" s="67"/>
      <c r="R31" s="12"/>
      <c r="S31" s="1"/>
      <c r="T31" s="1"/>
      <c r="U31" s="1"/>
      <c r="V31" s="23"/>
      <c r="W31" s="12"/>
      <c r="X31" s="1"/>
    </row>
    <row r="32">
      <c r="A32" s="39">
        <v>12.0</v>
      </c>
      <c r="B32" s="39">
        <v>24462.0</v>
      </c>
      <c r="C32" s="67">
        <v>15.211</v>
      </c>
      <c r="D32" s="67">
        <v>16.988</v>
      </c>
      <c r="E32" s="67">
        <v>2.843</v>
      </c>
      <c r="F32" s="71">
        <v>1101.1</v>
      </c>
      <c r="G32" s="67">
        <v>0.813</v>
      </c>
      <c r="H32" s="67">
        <v>0.376</v>
      </c>
      <c r="I32" s="39">
        <v>354.8</v>
      </c>
      <c r="J32" s="39">
        <v>887.1</v>
      </c>
      <c r="K32" s="1">
        <v>32560.0</v>
      </c>
      <c r="L32" s="1">
        <v>100.0</v>
      </c>
      <c r="M32" s="23">
        <v>14.883</v>
      </c>
      <c r="N32" s="23">
        <f t="shared" si="6"/>
        <v>0.376</v>
      </c>
      <c r="O32" s="64">
        <f t="shared" si="7"/>
        <v>0.813</v>
      </c>
      <c r="P32" s="39"/>
      <c r="Q32" s="67"/>
      <c r="R32" s="12"/>
      <c r="S32" s="1"/>
      <c r="T32" s="1"/>
      <c r="U32" s="1"/>
      <c r="V32" s="23"/>
      <c r="W32" s="12"/>
      <c r="X32" s="1"/>
    </row>
    <row r="33">
      <c r="A33" s="39">
        <v>14.0</v>
      </c>
      <c r="B33" s="39">
        <v>24462.0</v>
      </c>
      <c r="C33" s="67">
        <v>15.685</v>
      </c>
      <c r="D33" s="67">
        <v>17.379</v>
      </c>
      <c r="E33" s="67">
        <v>3.589</v>
      </c>
      <c r="F33" s="71">
        <v>1101.1</v>
      </c>
      <c r="G33" s="67">
        <v>0.783</v>
      </c>
      <c r="H33" s="67">
        <v>0.368</v>
      </c>
      <c r="I33" s="39">
        <v>354.8</v>
      </c>
      <c r="J33" s="39">
        <v>887.1</v>
      </c>
      <c r="K33" s="1">
        <v>32560.0</v>
      </c>
      <c r="L33" s="1">
        <v>100.0</v>
      </c>
      <c r="M33" s="26">
        <v>14.883</v>
      </c>
      <c r="N33" s="23">
        <f t="shared" si="6"/>
        <v>0.368</v>
      </c>
      <c r="O33" s="64">
        <f t="shared" si="7"/>
        <v>0.783</v>
      </c>
      <c r="P33" s="39"/>
      <c r="Q33" s="67"/>
      <c r="R33" s="12"/>
      <c r="S33" s="1"/>
      <c r="T33" s="1"/>
      <c r="U33" s="1"/>
      <c r="V33" s="23"/>
      <c r="W33" s="12"/>
      <c r="X33" s="1"/>
    </row>
    <row r="34">
      <c r="A34" s="39">
        <v>16.0</v>
      </c>
      <c r="B34" s="39">
        <v>24462.0</v>
      </c>
      <c r="C34" s="67">
        <v>15.793</v>
      </c>
      <c r="D34" s="67">
        <v>15.943</v>
      </c>
      <c r="E34" s="67">
        <v>3.578</v>
      </c>
      <c r="F34" s="71">
        <v>1101.1</v>
      </c>
      <c r="G34" s="67">
        <v>0.813</v>
      </c>
      <c r="H34" s="67">
        <v>0.368</v>
      </c>
      <c r="I34" s="39">
        <v>358.8</v>
      </c>
      <c r="J34" s="39">
        <v>887.1</v>
      </c>
      <c r="K34" s="1">
        <v>32560.0</v>
      </c>
      <c r="L34" s="1">
        <v>100.0</v>
      </c>
      <c r="M34" s="26">
        <v>14.938</v>
      </c>
      <c r="N34" s="23">
        <f t="shared" si="6"/>
        <v>0.368</v>
      </c>
      <c r="O34" s="64">
        <f t="shared" si="7"/>
        <v>0.813</v>
      </c>
      <c r="P34" s="39"/>
      <c r="Q34" s="67"/>
      <c r="R34" s="12"/>
      <c r="S34" s="1"/>
      <c r="T34" s="1"/>
      <c r="U34" s="1"/>
      <c r="V34" s="23"/>
      <c r="W34" s="12"/>
      <c r="X34" s="1"/>
    </row>
    <row r="35">
      <c r="A35" s="39">
        <v>18.0</v>
      </c>
      <c r="B35" s="39">
        <v>24462.0</v>
      </c>
      <c r="C35" s="67">
        <v>15.319</v>
      </c>
      <c r="D35" s="67">
        <v>17.167</v>
      </c>
      <c r="E35" s="67">
        <v>3.578</v>
      </c>
      <c r="F35" s="71">
        <v>1101.1</v>
      </c>
      <c r="G35" s="67">
        <v>0.813</v>
      </c>
      <c r="H35" s="67">
        <v>0.368</v>
      </c>
      <c r="I35" s="39">
        <v>358.8</v>
      </c>
      <c r="J35" s="39">
        <v>887.1</v>
      </c>
      <c r="K35" s="1">
        <v>32560.0</v>
      </c>
      <c r="L35" s="1">
        <v>100.0</v>
      </c>
      <c r="M35" s="23">
        <v>14.938</v>
      </c>
      <c r="N35" s="23">
        <f t="shared" si="6"/>
        <v>0.368</v>
      </c>
      <c r="O35" s="64">
        <f t="shared" si="7"/>
        <v>0.813</v>
      </c>
      <c r="P35" s="39"/>
      <c r="Q35" s="67"/>
      <c r="R35" s="12"/>
      <c r="S35" s="1"/>
      <c r="T35" s="1"/>
      <c r="U35" s="1"/>
      <c r="V35" s="23"/>
      <c r="W35" s="12"/>
      <c r="X35" s="1"/>
    </row>
    <row r="36">
      <c r="A36" s="65">
        <v>20.0</v>
      </c>
      <c r="B36" s="65">
        <v>20770.0</v>
      </c>
      <c r="C36" s="66">
        <v>14.7</v>
      </c>
      <c r="D36" s="66">
        <v>13.644</v>
      </c>
      <c r="E36" s="66">
        <v>3.424</v>
      </c>
      <c r="F36" s="68">
        <v>1101.1</v>
      </c>
      <c r="G36" s="66">
        <v>0.813</v>
      </c>
      <c r="H36" s="66">
        <v>0.368</v>
      </c>
      <c r="I36" s="65">
        <v>358.8</v>
      </c>
      <c r="J36" s="65">
        <v>887.1</v>
      </c>
      <c r="K36" s="1">
        <v>27645.0</v>
      </c>
      <c r="L36" s="1">
        <v>100.0</v>
      </c>
      <c r="M36" s="23">
        <v>14.813</v>
      </c>
      <c r="N36" s="23">
        <f t="shared" si="6"/>
        <v>0.368</v>
      </c>
      <c r="O36" s="64">
        <f t="shared" si="7"/>
        <v>0.813</v>
      </c>
      <c r="P36" s="65"/>
      <c r="Q36" s="66"/>
      <c r="R36" s="12"/>
      <c r="S36" s="1"/>
      <c r="T36" s="1"/>
      <c r="U36" s="1"/>
      <c r="V36" s="23"/>
      <c r="W36" s="12"/>
      <c r="X36" s="1"/>
    </row>
    <row r="37">
      <c r="A37" s="65">
        <v>22.0</v>
      </c>
      <c r="B37" s="65">
        <v>19847.0</v>
      </c>
      <c r="C37" s="66">
        <v>14.085</v>
      </c>
      <c r="D37" s="66">
        <v>13.26</v>
      </c>
      <c r="E37" s="66">
        <v>3.496</v>
      </c>
      <c r="F37" s="68">
        <v>1101.1</v>
      </c>
      <c r="G37" s="66">
        <v>1.063</v>
      </c>
      <c r="H37" s="66">
        <v>0.368</v>
      </c>
      <c r="I37" s="65">
        <v>358.8</v>
      </c>
      <c r="J37" s="65">
        <v>887.1</v>
      </c>
      <c r="K37" s="1">
        <v>26417.0</v>
      </c>
      <c r="L37" s="1">
        <v>100.0</v>
      </c>
      <c r="M37" s="23">
        <v>14.813</v>
      </c>
      <c r="N37" s="23">
        <f t="shared" si="6"/>
        <v>0.368</v>
      </c>
      <c r="O37">
        <f t="shared" si="7"/>
        <v>1</v>
      </c>
      <c r="P37" s="65"/>
      <c r="Q37" s="66"/>
      <c r="R37" s="12"/>
      <c r="S37" s="1"/>
      <c r="T37" s="1"/>
      <c r="U37" s="1"/>
      <c r="V37" s="23"/>
      <c r="W37" s="12"/>
      <c r="X37" s="1"/>
    </row>
    <row r="38">
      <c r="A38" s="65">
        <v>25.0</v>
      </c>
      <c r="B38" s="65">
        <v>19847.0</v>
      </c>
      <c r="C38" s="66">
        <v>14.375</v>
      </c>
      <c r="D38" s="66">
        <v>13.245</v>
      </c>
      <c r="E38" s="66">
        <v>3.641</v>
      </c>
      <c r="F38" s="68">
        <v>1101.1</v>
      </c>
      <c r="G38" s="66">
        <v>1.063</v>
      </c>
      <c r="H38" s="66">
        <v>0.378</v>
      </c>
      <c r="I38" s="65">
        <v>358.8</v>
      </c>
      <c r="J38" s="65">
        <v>887.1</v>
      </c>
      <c r="K38" s="1">
        <v>26417.0</v>
      </c>
      <c r="L38" s="1">
        <v>100.0</v>
      </c>
      <c r="M38" s="23">
        <v>14.704</v>
      </c>
      <c r="N38" s="23">
        <f t="shared" si="6"/>
        <v>0.378</v>
      </c>
      <c r="O38">
        <f t="shared" si="7"/>
        <v>1</v>
      </c>
      <c r="P38" s="65"/>
      <c r="Q38" s="66"/>
      <c r="R38" s="12"/>
      <c r="S38" s="1"/>
      <c r="T38" s="1"/>
      <c r="U38" s="1"/>
      <c r="V38" s="23"/>
      <c r="W38" s="12"/>
      <c r="X38" s="1"/>
    </row>
    <row r="39">
      <c r="A39" s="65" t="s">
        <v>505</v>
      </c>
      <c r="B39" s="43"/>
      <c r="C39" s="43"/>
      <c r="D39" s="43"/>
      <c r="E39" s="72"/>
      <c r="F39" s="43"/>
      <c r="G39" s="43"/>
      <c r="H39" s="73"/>
      <c r="I39" s="73"/>
      <c r="J39" s="73"/>
      <c r="M39" s="35"/>
      <c r="N39" s="23" t="str">
        <f t="shared" si="6"/>
        <v/>
      </c>
      <c r="O39" s="64" t="str">
        <f t="shared" si="7"/>
        <v/>
      </c>
      <c r="P39" s="65"/>
      <c r="Q39" s="66"/>
      <c r="R39" s="12"/>
      <c r="S39" s="1"/>
      <c r="T39" s="1"/>
      <c r="U39" s="1"/>
      <c r="V39" s="23"/>
      <c r="W39" s="12"/>
      <c r="X39" s="1"/>
    </row>
    <row r="40">
      <c r="A40" s="65">
        <v>27.0</v>
      </c>
      <c r="B40" s="65">
        <v>19847.0</v>
      </c>
      <c r="C40" s="66">
        <v>14.472</v>
      </c>
      <c r="D40" s="66">
        <v>13.305</v>
      </c>
      <c r="E40" s="66">
        <v>3.641</v>
      </c>
      <c r="F40" s="68">
        <v>1101.1</v>
      </c>
      <c r="G40" s="66">
        <v>1.063</v>
      </c>
      <c r="H40" s="66">
        <v>0.386</v>
      </c>
      <c r="I40" s="65">
        <v>358.8</v>
      </c>
      <c r="J40" s="65">
        <v>887.1</v>
      </c>
      <c r="K40" s="1">
        <v>26417.0</v>
      </c>
      <c r="L40" s="1">
        <v>100.0</v>
      </c>
      <c r="M40" s="23">
        <v>14.704</v>
      </c>
      <c r="N40" s="23">
        <f t="shared" si="6"/>
        <v>0.386</v>
      </c>
      <c r="O40">
        <f t="shared" si="7"/>
        <v>1</v>
      </c>
      <c r="P40" s="65"/>
      <c r="Q40" s="69"/>
      <c r="R40" s="12"/>
      <c r="S40" s="1"/>
      <c r="T40" s="1"/>
      <c r="U40" s="1"/>
      <c r="V40" s="23"/>
      <c r="W40" s="12"/>
      <c r="X40" s="1"/>
    </row>
    <row r="41">
      <c r="A41" s="65">
        <v>29.0</v>
      </c>
      <c r="B41" s="65">
        <v>19847.0</v>
      </c>
      <c r="C41" s="66">
        <v>14.537</v>
      </c>
      <c r="D41" s="66">
        <v>13.077</v>
      </c>
      <c r="E41" s="69">
        <v>3.51</v>
      </c>
      <c r="F41" s="68">
        <v>1101.1</v>
      </c>
      <c r="G41" s="66">
        <v>1.063</v>
      </c>
      <c r="H41" s="66">
        <v>0.386</v>
      </c>
      <c r="I41" s="65">
        <v>358.8</v>
      </c>
      <c r="J41" s="65">
        <v>887.1</v>
      </c>
      <c r="K41" s="1">
        <v>26417.0</v>
      </c>
      <c r="L41" s="1">
        <v>100.0</v>
      </c>
      <c r="M41" s="23">
        <v>14.685</v>
      </c>
      <c r="N41" s="23">
        <f t="shared" si="6"/>
        <v>0.386</v>
      </c>
      <c r="O41">
        <f t="shared" si="7"/>
        <v>1</v>
      </c>
      <c r="P41" s="65"/>
      <c r="Q41" s="69"/>
      <c r="R41" s="12"/>
      <c r="S41" s="1"/>
      <c r="T41" s="1"/>
      <c r="U41" s="1"/>
      <c r="V41" s="23"/>
      <c r="W41" s="12"/>
      <c r="X41" s="1"/>
    </row>
    <row r="42">
      <c r="A42" s="65">
        <v>31.0</v>
      </c>
      <c r="B42" s="65">
        <v>19847.0</v>
      </c>
      <c r="C42" s="66">
        <v>14.186</v>
      </c>
      <c r="D42" s="66">
        <v>12.807</v>
      </c>
      <c r="E42" s="66">
        <v>3.51</v>
      </c>
      <c r="F42" s="68">
        <v>1101.1</v>
      </c>
      <c r="G42" s="66">
        <v>1.08</v>
      </c>
      <c r="H42" s="66">
        <v>0.386</v>
      </c>
      <c r="I42" s="65">
        <v>358.8</v>
      </c>
      <c r="J42" s="65">
        <v>969.1</v>
      </c>
      <c r="K42" s="1">
        <v>26417.0</v>
      </c>
      <c r="L42" s="1">
        <v>100.0</v>
      </c>
      <c r="M42" s="23">
        <v>14.685</v>
      </c>
      <c r="N42" s="23">
        <f t="shared" si="6"/>
        <v>0.386</v>
      </c>
      <c r="O42">
        <f t="shared" si="7"/>
        <v>1</v>
      </c>
      <c r="P42" s="65"/>
      <c r="Q42" s="69"/>
      <c r="R42" s="12"/>
      <c r="S42" s="1"/>
      <c r="T42" s="1"/>
      <c r="U42" s="1"/>
      <c r="V42" s="23"/>
      <c r="W42" s="12"/>
      <c r="X42" s="1"/>
    </row>
    <row r="43">
      <c r="A43" s="65">
        <v>33.0</v>
      </c>
      <c r="B43" s="65">
        <v>19847.0</v>
      </c>
      <c r="C43" s="66">
        <v>14.503</v>
      </c>
      <c r="D43" s="66">
        <v>13.126</v>
      </c>
      <c r="E43" s="66">
        <v>3.51</v>
      </c>
      <c r="F43" s="68">
        <v>1086.1</v>
      </c>
      <c r="G43" s="66">
        <v>1.08</v>
      </c>
      <c r="H43" s="66">
        <v>0.386</v>
      </c>
      <c r="I43" s="65">
        <v>358.8</v>
      </c>
      <c r="J43" s="65">
        <v>969.1</v>
      </c>
      <c r="K43" s="1">
        <v>26417.0</v>
      </c>
      <c r="L43" s="1">
        <v>100.0</v>
      </c>
      <c r="M43" s="23">
        <v>14.689</v>
      </c>
      <c r="N43" s="23">
        <f t="shared" si="6"/>
        <v>0.386</v>
      </c>
      <c r="O43">
        <f t="shared" si="7"/>
        <v>1</v>
      </c>
      <c r="P43" s="65"/>
      <c r="Q43" s="69"/>
      <c r="R43" s="12"/>
      <c r="S43" s="1"/>
      <c r="T43" s="1"/>
      <c r="U43" s="1"/>
      <c r="V43" s="23"/>
      <c r="W43" s="12"/>
      <c r="X43" s="1"/>
    </row>
    <row r="44">
      <c r="A44" s="65">
        <v>35.0</v>
      </c>
      <c r="B44" s="65">
        <v>19847.0</v>
      </c>
      <c r="C44" s="66">
        <v>13.987</v>
      </c>
      <c r="D44" s="66">
        <v>12.196</v>
      </c>
      <c r="E44" s="66">
        <v>3.04</v>
      </c>
      <c r="F44" s="68">
        <v>1086.1</v>
      </c>
      <c r="G44" s="66">
        <v>1.08</v>
      </c>
      <c r="H44" s="66">
        <v>0.376</v>
      </c>
      <c r="I44" s="65">
        <v>358.8</v>
      </c>
      <c r="J44" s="65">
        <v>969.1</v>
      </c>
      <c r="K44" s="1">
        <v>26417.0</v>
      </c>
      <c r="L44" s="1">
        <v>100.0</v>
      </c>
      <c r="M44" s="23">
        <v>14.689</v>
      </c>
      <c r="N44" s="23">
        <f t="shared" si="6"/>
        <v>0.376</v>
      </c>
      <c r="O44">
        <f t="shared" si="7"/>
        <v>1</v>
      </c>
      <c r="P44" s="65"/>
      <c r="Q44" s="69"/>
      <c r="R44" s="12"/>
      <c r="S44" s="1"/>
      <c r="T44" s="1"/>
      <c r="U44" s="1"/>
      <c r="V44" s="23"/>
      <c r="W44" s="12"/>
      <c r="X44" s="1"/>
    </row>
    <row r="45">
      <c r="A45" s="65">
        <v>37.0</v>
      </c>
      <c r="B45" s="65">
        <v>19847.0</v>
      </c>
      <c r="C45" s="66">
        <v>13.959</v>
      </c>
      <c r="D45" s="66">
        <v>12.25</v>
      </c>
      <c r="E45" s="66">
        <v>3.04</v>
      </c>
      <c r="F45" s="68">
        <v>1086.1</v>
      </c>
      <c r="G45" s="66">
        <v>1.08</v>
      </c>
      <c r="H45" s="66">
        <v>0.376</v>
      </c>
      <c r="I45" s="65">
        <v>358.8</v>
      </c>
      <c r="J45" s="65">
        <v>969.1</v>
      </c>
      <c r="K45" s="1">
        <v>26417.0</v>
      </c>
      <c r="L45" s="1">
        <v>100.0</v>
      </c>
      <c r="M45" s="23">
        <v>14.689</v>
      </c>
      <c r="N45" s="23">
        <f t="shared" si="6"/>
        <v>0.376</v>
      </c>
      <c r="O45">
        <f t="shared" si="7"/>
        <v>1</v>
      </c>
      <c r="P45" s="65"/>
      <c r="Q45" s="69"/>
      <c r="R45" s="12"/>
      <c r="S45" s="1"/>
      <c r="T45" s="1"/>
      <c r="U45" s="1"/>
      <c r="V45" s="23"/>
      <c r="W45" s="12"/>
      <c r="X45" s="1"/>
    </row>
    <row r="46">
      <c r="A46" s="65">
        <v>39.0</v>
      </c>
      <c r="B46" s="65">
        <v>19847.0</v>
      </c>
      <c r="C46" s="66">
        <v>13.96</v>
      </c>
      <c r="D46" s="66">
        <v>12.342</v>
      </c>
      <c r="E46" s="66">
        <v>3.04</v>
      </c>
      <c r="F46" s="68">
        <v>1086.1</v>
      </c>
      <c r="G46" s="66">
        <v>1.08</v>
      </c>
      <c r="H46" s="66">
        <v>0.376</v>
      </c>
      <c r="I46" s="65">
        <v>358.8</v>
      </c>
      <c r="J46" s="65">
        <v>969.1</v>
      </c>
      <c r="K46" s="1">
        <v>26417.0</v>
      </c>
      <c r="L46" s="1">
        <v>100.0</v>
      </c>
      <c r="M46" s="23">
        <v>14.616</v>
      </c>
      <c r="N46" s="23">
        <f t="shared" si="6"/>
        <v>0.376</v>
      </c>
      <c r="O46">
        <f t="shared" si="7"/>
        <v>1</v>
      </c>
      <c r="P46" s="65"/>
      <c r="Q46" s="69"/>
      <c r="R46" s="12"/>
      <c r="S46" s="1"/>
      <c r="T46" s="1"/>
      <c r="U46" s="1"/>
      <c r="V46" s="23"/>
      <c r="W46" s="12"/>
      <c r="X46" s="1"/>
    </row>
    <row r="47">
      <c r="A47" s="65">
        <v>41.0</v>
      </c>
      <c r="B47" s="65">
        <v>19847.0</v>
      </c>
      <c r="C47" s="66">
        <v>14.48</v>
      </c>
      <c r="D47" s="66">
        <v>11.953</v>
      </c>
      <c r="E47" s="66">
        <v>3.04</v>
      </c>
      <c r="F47" s="68">
        <v>1086.1</v>
      </c>
      <c r="G47" s="66">
        <v>1.08</v>
      </c>
      <c r="H47" s="66">
        <v>0.376</v>
      </c>
      <c r="I47" s="65">
        <v>358.8</v>
      </c>
      <c r="J47" s="65">
        <v>969.1</v>
      </c>
      <c r="K47" s="1">
        <v>26417.0</v>
      </c>
      <c r="L47" s="1">
        <v>100.0</v>
      </c>
      <c r="M47" s="23">
        <v>14.616</v>
      </c>
      <c r="N47" s="23">
        <f t="shared" si="6"/>
        <v>0.376</v>
      </c>
      <c r="O47">
        <f t="shared" si="7"/>
        <v>1</v>
      </c>
      <c r="P47" s="65"/>
      <c r="Q47" s="69"/>
      <c r="R47" s="12"/>
      <c r="S47" s="1"/>
      <c r="T47" s="1"/>
      <c r="U47" s="1"/>
      <c r="V47" s="23"/>
      <c r="W47" s="12"/>
      <c r="X47" s="1"/>
    </row>
    <row r="48">
      <c r="A48" s="39">
        <v>43.0</v>
      </c>
      <c r="B48" s="39">
        <v>19847.0</v>
      </c>
      <c r="C48" s="67">
        <v>13.896</v>
      </c>
      <c r="D48" s="67">
        <v>11.057</v>
      </c>
      <c r="E48" s="67">
        <v>2.79</v>
      </c>
      <c r="F48" s="71">
        <v>1101.1</v>
      </c>
      <c r="G48" s="67">
        <v>1.08</v>
      </c>
      <c r="H48" s="67">
        <v>0.376</v>
      </c>
      <c r="I48" s="39">
        <v>358.8</v>
      </c>
      <c r="J48" s="39">
        <v>969.1</v>
      </c>
      <c r="K48" s="1">
        <v>26417.0</v>
      </c>
      <c r="L48" s="1">
        <v>100.0</v>
      </c>
      <c r="M48" s="23">
        <v>14.614</v>
      </c>
      <c r="N48" s="23">
        <f t="shared" si="6"/>
        <v>0.376</v>
      </c>
      <c r="O48">
        <f t="shared" si="7"/>
        <v>1</v>
      </c>
      <c r="P48" s="65"/>
      <c r="Q48" s="69"/>
      <c r="R48" s="12"/>
      <c r="S48" s="1"/>
      <c r="T48" s="1"/>
      <c r="U48" s="1"/>
      <c r="V48" s="23"/>
      <c r="W48" s="12"/>
      <c r="X48" s="1"/>
    </row>
    <row r="49">
      <c r="A49" s="65">
        <v>45.0</v>
      </c>
      <c r="B49" s="65">
        <v>19847.0</v>
      </c>
      <c r="C49" s="66">
        <v>14.801</v>
      </c>
      <c r="D49" s="66">
        <v>11.5</v>
      </c>
      <c r="E49" s="66">
        <v>2.79</v>
      </c>
      <c r="F49" s="68">
        <v>1101.1</v>
      </c>
      <c r="G49" s="66">
        <v>1.08</v>
      </c>
      <c r="H49" s="66">
        <v>0.376</v>
      </c>
      <c r="I49" s="65">
        <v>358.8</v>
      </c>
      <c r="J49" s="65">
        <v>969.1</v>
      </c>
      <c r="K49" s="1">
        <v>26417.0</v>
      </c>
      <c r="L49" s="1">
        <v>100.0</v>
      </c>
      <c r="M49" s="23">
        <v>14.614</v>
      </c>
      <c r="N49" s="23">
        <f t="shared" si="6"/>
        <v>0.376</v>
      </c>
      <c r="O49">
        <f t="shared" si="7"/>
        <v>1</v>
      </c>
      <c r="P49" s="65"/>
      <c r="Q49" s="69"/>
      <c r="R49" s="12"/>
      <c r="S49" s="1"/>
      <c r="T49" s="1"/>
      <c r="U49" s="1"/>
      <c r="V49" s="23"/>
      <c r="W49" s="12"/>
      <c r="X49" s="1"/>
    </row>
    <row r="50">
      <c r="A50" s="65">
        <v>47.0</v>
      </c>
      <c r="B50" s="65">
        <v>21693.0</v>
      </c>
      <c r="C50" s="66">
        <v>14.983</v>
      </c>
      <c r="D50" s="66">
        <v>11.56</v>
      </c>
      <c r="E50" s="66">
        <v>2.86</v>
      </c>
      <c r="F50" s="68">
        <v>1101.1</v>
      </c>
      <c r="G50" s="66">
        <v>1.063</v>
      </c>
      <c r="H50" s="66">
        <v>0.386</v>
      </c>
      <c r="I50" s="65">
        <v>358.8</v>
      </c>
      <c r="J50" s="65">
        <v>887.1</v>
      </c>
      <c r="K50" s="1">
        <v>28874.0</v>
      </c>
      <c r="L50" s="1">
        <v>100.0</v>
      </c>
      <c r="M50" s="23">
        <v>14.631</v>
      </c>
      <c r="N50" s="23">
        <f t="shared" si="6"/>
        <v>0.386</v>
      </c>
      <c r="O50">
        <f t="shared" si="7"/>
        <v>1</v>
      </c>
      <c r="P50" s="65"/>
      <c r="Q50" s="66"/>
      <c r="R50" s="12"/>
      <c r="S50" s="1"/>
      <c r="T50" s="1"/>
      <c r="U50" s="1"/>
      <c r="V50" s="23"/>
      <c r="W50" s="12"/>
      <c r="X50" s="1"/>
    </row>
    <row r="51">
      <c r="A51" s="65">
        <v>49.0</v>
      </c>
      <c r="B51" s="65">
        <v>21693.0</v>
      </c>
      <c r="C51" s="66">
        <v>14.989</v>
      </c>
      <c r="D51" s="66">
        <v>11.667</v>
      </c>
      <c r="E51" s="66">
        <v>2.934</v>
      </c>
      <c r="F51" s="68">
        <v>1101.1</v>
      </c>
      <c r="G51" s="66">
        <v>1.063</v>
      </c>
      <c r="H51" s="66">
        <v>0.386</v>
      </c>
      <c r="I51" s="65">
        <v>358.8</v>
      </c>
      <c r="J51" s="65">
        <v>887.1</v>
      </c>
      <c r="K51" s="1">
        <v>28874.0</v>
      </c>
      <c r="L51" s="1">
        <v>100.0</v>
      </c>
      <c r="M51" s="23">
        <v>14.631</v>
      </c>
      <c r="N51" s="23">
        <f t="shared" si="6"/>
        <v>0.386</v>
      </c>
      <c r="O51">
        <f t="shared" si="7"/>
        <v>1</v>
      </c>
      <c r="P51" s="65"/>
      <c r="Q51" s="66"/>
      <c r="R51" s="12"/>
      <c r="S51" s="1"/>
      <c r="T51" s="1"/>
      <c r="U51" s="1"/>
      <c r="V51" s="23"/>
      <c r="W51" s="12"/>
      <c r="X51" s="1"/>
    </row>
    <row r="52">
      <c r="A52" s="65">
        <v>51.0</v>
      </c>
      <c r="B52" s="65">
        <v>21693.0</v>
      </c>
      <c r="C52" s="66">
        <v>14.989</v>
      </c>
      <c r="D52" s="66">
        <v>11.665</v>
      </c>
      <c r="E52" s="66">
        <v>2.936</v>
      </c>
      <c r="F52" s="68">
        <v>1101.1</v>
      </c>
      <c r="G52" s="66">
        <v>1.063</v>
      </c>
      <c r="H52" s="66">
        <v>0.378</v>
      </c>
      <c r="I52" s="65">
        <v>362.8</v>
      </c>
      <c r="J52" s="65">
        <v>887.1</v>
      </c>
      <c r="K52" s="1">
        <v>28874.0</v>
      </c>
      <c r="L52" s="1">
        <v>100.0</v>
      </c>
      <c r="M52" s="23">
        <v>14.618</v>
      </c>
      <c r="N52" s="23">
        <f t="shared" si="6"/>
        <v>0.378</v>
      </c>
      <c r="O52">
        <f t="shared" si="7"/>
        <v>1</v>
      </c>
      <c r="P52" s="65"/>
      <c r="Q52" s="66"/>
      <c r="R52" s="12"/>
      <c r="S52" s="1"/>
      <c r="T52" s="1"/>
      <c r="U52" s="1"/>
      <c r="V52" s="23"/>
      <c r="W52" s="12"/>
      <c r="X52" s="1"/>
    </row>
    <row r="53">
      <c r="A53" s="39">
        <v>53.0</v>
      </c>
      <c r="B53" s="39">
        <v>21693.0</v>
      </c>
      <c r="C53" s="67">
        <v>14.907</v>
      </c>
      <c r="D53" s="67">
        <v>12.439</v>
      </c>
      <c r="E53" s="67">
        <v>2.516</v>
      </c>
      <c r="F53" s="71">
        <v>1101.1</v>
      </c>
      <c r="G53" s="67">
        <v>1.063</v>
      </c>
      <c r="H53" s="67">
        <v>0.378</v>
      </c>
      <c r="I53" s="39">
        <v>362.8</v>
      </c>
      <c r="J53" s="39">
        <v>887.1</v>
      </c>
      <c r="K53" s="1">
        <v>28874.0</v>
      </c>
      <c r="L53" s="1">
        <v>100.0</v>
      </c>
      <c r="M53" s="23">
        <v>14.618</v>
      </c>
      <c r="N53" s="23">
        <f t="shared" si="6"/>
        <v>0.378</v>
      </c>
      <c r="O53">
        <f t="shared" si="7"/>
        <v>1</v>
      </c>
      <c r="P53" s="65"/>
      <c r="Q53" s="66"/>
      <c r="R53" s="12"/>
      <c r="S53" s="1"/>
      <c r="T53" s="1"/>
      <c r="U53" s="1"/>
      <c r="V53" s="23"/>
      <c r="W53" s="12"/>
      <c r="X53" s="1"/>
    </row>
    <row r="54">
      <c r="A54" s="39">
        <v>55.0</v>
      </c>
      <c r="B54" s="39">
        <v>21693.0</v>
      </c>
      <c r="C54" s="67">
        <v>14.758</v>
      </c>
      <c r="D54" s="67">
        <v>12.301</v>
      </c>
      <c r="E54" s="67">
        <v>2.516</v>
      </c>
      <c r="F54" s="71">
        <v>1086.1</v>
      </c>
      <c r="G54" s="67">
        <v>1.063</v>
      </c>
      <c r="H54" s="67">
        <v>0.378</v>
      </c>
      <c r="I54" s="39">
        <v>362.8</v>
      </c>
      <c r="J54" s="39">
        <v>887.1</v>
      </c>
      <c r="K54" s="1">
        <v>28874.0</v>
      </c>
      <c r="L54" s="1">
        <v>100.0</v>
      </c>
      <c r="M54" s="26">
        <v>14.633</v>
      </c>
      <c r="N54" s="23">
        <f t="shared" si="6"/>
        <v>0.378</v>
      </c>
      <c r="O54">
        <f t="shared" si="7"/>
        <v>1</v>
      </c>
      <c r="P54" s="65"/>
      <c r="Q54" s="66"/>
      <c r="R54" s="12"/>
      <c r="S54" s="1"/>
      <c r="T54" s="1"/>
      <c r="U54" s="1"/>
      <c r="V54" s="23"/>
      <c r="W54" s="12"/>
      <c r="X54" s="1"/>
    </row>
    <row r="55">
      <c r="A55" s="39">
        <v>57.0</v>
      </c>
      <c r="B55" s="39">
        <v>21693.0</v>
      </c>
      <c r="C55" s="67">
        <v>14.758</v>
      </c>
      <c r="D55" s="67">
        <v>12.122</v>
      </c>
      <c r="E55" s="67">
        <v>2.936</v>
      </c>
      <c r="F55" s="71">
        <v>1086.1</v>
      </c>
      <c r="G55" s="67">
        <v>1.063</v>
      </c>
      <c r="H55" s="67">
        <v>0.368</v>
      </c>
      <c r="I55" s="39">
        <v>362.8</v>
      </c>
      <c r="J55" s="39">
        <v>887.1</v>
      </c>
      <c r="K55" s="1">
        <v>28874.0</v>
      </c>
      <c r="L55" s="1">
        <v>100.0</v>
      </c>
      <c r="M55" s="26">
        <v>14.633</v>
      </c>
      <c r="N55" s="23">
        <f t="shared" si="6"/>
        <v>0.368</v>
      </c>
      <c r="O55">
        <f t="shared" si="7"/>
        <v>1</v>
      </c>
      <c r="P55" s="65"/>
      <c r="Q55" s="66"/>
      <c r="R55" s="12"/>
      <c r="S55" s="1"/>
      <c r="T55" s="1"/>
      <c r="U55" s="1"/>
      <c r="V55" s="26"/>
      <c r="W55" s="12"/>
      <c r="X55" s="1"/>
    </row>
    <row r="56">
      <c r="A56" s="39">
        <v>59.0</v>
      </c>
      <c r="B56" s="39">
        <v>21693.0</v>
      </c>
      <c r="C56" s="67">
        <v>14.532</v>
      </c>
      <c r="D56" s="67">
        <v>11.973</v>
      </c>
      <c r="E56" s="67">
        <v>2.936</v>
      </c>
      <c r="F56" s="71">
        <v>1086.1</v>
      </c>
      <c r="G56" s="67">
        <v>1.063</v>
      </c>
      <c r="H56" s="67">
        <v>0.376</v>
      </c>
      <c r="I56" s="39">
        <v>362.8</v>
      </c>
      <c r="J56" s="39">
        <v>887.1</v>
      </c>
      <c r="K56" s="1">
        <v>28874.0</v>
      </c>
      <c r="L56" s="1">
        <v>100.0</v>
      </c>
      <c r="M56" s="23">
        <v>14.657</v>
      </c>
      <c r="N56" s="23">
        <f t="shared" si="6"/>
        <v>0.376</v>
      </c>
      <c r="O56">
        <f t="shared" si="7"/>
        <v>1</v>
      </c>
      <c r="P56" s="65"/>
      <c r="Q56" s="66"/>
      <c r="R56" s="12"/>
      <c r="S56" s="1"/>
      <c r="T56" s="1"/>
      <c r="U56" s="1"/>
      <c r="V56" s="23"/>
      <c r="W56" s="12"/>
      <c r="X56" s="1"/>
    </row>
    <row r="57">
      <c r="A57" s="39">
        <v>61.0</v>
      </c>
      <c r="B57" s="39">
        <v>19847.0</v>
      </c>
      <c r="C57" s="67">
        <v>14.529</v>
      </c>
      <c r="D57" s="67">
        <v>12.207</v>
      </c>
      <c r="E57" s="67">
        <v>2.866</v>
      </c>
      <c r="F57" s="71">
        <v>1086.1</v>
      </c>
      <c r="G57" s="67">
        <v>1.063</v>
      </c>
      <c r="H57" s="67">
        <v>0.376</v>
      </c>
      <c r="I57" s="39">
        <v>362.8</v>
      </c>
      <c r="J57" s="39">
        <v>887.1</v>
      </c>
      <c r="K57" s="1">
        <v>26417.0</v>
      </c>
      <c r="L57" s="1">
        <v>100.0</v>
      </c>
      <c r="M57" s="23">
        <v>14.657</v>
      </c>
      <c r="N57" s="23">
        <f t="shared" si="6"/>
        <v>0.376</v>
      </c>
      <c r="O57">
        <f t="shared" si="7"/>
        <v>1</v>
      </c>
      <c r="P57" s="39"/>
      <c r="Q57" s="67"/>
      <c r="R57" s="12"/>
      <c r="S57" s="1"/>
      <c r="T57" s="1"/>
      <c r="U57" s="1"/>
      <c r="V57" s="23"/>
      <c r="W57" s="12"/>
      <c r="X57" s="1"/>
    </row>
    <row r="58">
      <c r="A58" s="39">
        <v>63.0</v>
      </c>
      <c r="B58" s="39">
        <v>19847.0</v>
      </c>
      <c r="C58" s="67">
        <v>14.868</v>
      </c>
      <c r="D58" s="67">
        <v>12.256</v>
      </c>
      <c r="E58" s="67">
        <v>2.866</v>
      </c>
      <c r="F58" s="71">
        <v>1086.1</v>
      </c>
      <c r="G58" s="67">
        <v>0.93</v>
      </c>
      <c r="H58" s="67">
        <v>0.406</v>
      </c>
      <c r="I58" s="39">
        <v>362.8</v>
      </c>
      <c r="J58" s="39">
        <v>969.1</v>
      </c>
      <c r="K58" s="1">
        <v>26417.0</v>
      </c>
      <c r="L58" s="1">
        <v>100.0</v>
      </c>
      <c r="M58" s="23">
        <v>14.651</v>
      </c>
      <c r="N58" s="23">
        <f t="shared" si="6"/>
        <v>0.406</v>
      </c>
      <c r="O58" s="64">
        <f t="shared" si="7"/>
        <v>0.93</v>
      </c>
      <c r="P58" s="39"/>
      <c r="Q58" s="67"/>
      <c r="R58" s="12"/>
      <c r="S58" s="1"/>
      <c r="T58" s="1"/>
      <c r="U58" s="1"/>
      <c r="V58" s="23"/>
      <c r="W58" s="12"/>
      <c r="X58" s="1"/>
    </row>
    <row r="59">
      <c r="A59" s="39">
        <v>65.0</v>
      </c>
      <c r="B59" s="39">
        <v>19847.0</v>
      </c>
      <c r="C59" s="67">
        <v>14.879</v>
      </c>
      <c r="D59" s="67">
        <v>11.49</v>
      </c>
      <c r="E59" s="67">
        <v>3.023</v>
      </c>
      <c r="F59" s="71">
        <v>1086.1</v>
      </c>
      <c r="G59" s="67">
        <v>0.93</v>
      </c>
      <c r="H59" s="67">
        <v>0.406</v>
      </c>
      <c r="I59" s="39">
        <v>362.8</v>
      </c>
      <c r="J59" s="39">
        <v>969.1</v>
      </c>
      <c r="K59" s="1">
        <v>26417.0</v>
      </c>
      <c r="L59" s="1">
        <v>100.0</v>
      </c>
      <c r="M59" s="23">
        <v>14.651</v>
      </c>
      <c r="N59" s="23">
        <f t="shared" si="6"/>
        <v>0.406</v>
      </c>
      <c r="O59" s="64">
        <f t="shared" si="7"/>
        <v>0.93</v>
      </c>
      <c r="P59" s="39"/>
      <c r="Q59" s="67"/>
      <c r="R59" s="12"/>
      <c r="S59" s="1"/>
      <c r="T59" s="1"/>
      <c r="U59" s="1"/>
      <c r="V59" s="23"/>
      <c r="W59" s="12"/>
      <c r="X59" s="1"/>
    </row>
    <row r="60">
      <c r="A60" s="39">
        <v>67.0</v>
      </c>
      <c r="B60" s="39">
        <v>19847.0</v>
      </c>
      <c r="C60" s="67">
        <v>14.89</v>
      </c>
      <c r="D60" s="67">
        <v>11.99</v>
      </c>
      <c r="E60" s="67">
        <v>2.605</v>
      </c>
      <c r="F60" s="71">
        <v>1086.1</v>
      </c>
      <c r="G60" s="67">
        <v>0.93</v>
      </c>
      <c r="H60" s="67">
        <v>0.406</v>
      </c>
      <c r="I60" s="39">
        <v>366.8</v>
      </c>
      <c r="J60" s="39">
        <v>969.1</v>
      </c>
      <c r="K60" s="1">
        <v>26417.0</v>
      </c>
      <c r="L60" s="1">
        <v>100.0</v>
      </c>
      <c r="M60" s="23">
        <v>14.651</v>
      </c>
      <c r="N60" s="23">
        <f t="shared" si="6"/>
        <v>0.406</v>
      </c>
      <c r="O60" s="64">
        <f t="shared" si="7"/>
        <v>0.93</v>
      </c>
      <c r="P60" s="65"/>
      <c r="Q60" s="66"/>
      <c r="R60" s="12"/>
      <c r="S60" s="1"/>
      <c r="T60" s="1"/>
      <c r="U60" s="1"/>
      <c r="V60" s="23"/>
      <c r="W60" s="12"/>
      <c r="X60" s="1"/>
    </row>
    <row r="61">
      <c r="A61" s="65">
        <v>69.0</v>
      </c>
      <c r="B61" s="65">
        <v>19847.0</v>
      </c>
      <c r="C61" s="69">
        <v>14.913</v>
      </c>
      <c r="D61" s="66">
        <v>11.808</v>
      </c>
      <c r="E61" s="66">
        <v>3.025</v>
      </c>
      <c r="F61" s="68">
        <v>1086.1</v>
      </c>
      <c r="G61" s="66">
        <v>0.93</v>
      </c>
      <c r="H61" s="66">
        <v>1.399</v>
      </c>
      <c r="I61" s="65">
        <v>366.8</v>
      </c>
      <c r="J61" s="65">
        <v>969.1</v>
      </c>
      <c r="K61" s="1">
        <v>26417.0</v>
      </c>
      <c r="L61" s="1">
        <v>100.0</v>
      </c>
      <c r="M61" s="23">
        <v>14.681</v>
      </c>
      <c r="N61" s="23">
        <f t="shared" si="6"/>
        <v>1</v>
      </c>
      <c r="O61" s="64">
        <f t="shared" si="7"/>
        <v>0.93</v>
      </c>
      <c r="P61" s="65"/>
      <c r="Q61" s="69"/>
      <c r="R61" s="12"/>
      <c r="S61" s="1"/>
      <c r="T61" s="1"/>
      <c r="U61" s="1"/>
      <c r="V61" s="23"/>
      <c r="W61" s="12"/>
      <c r="X61" s="1"/>
    </row>
    <row r="62">
      <c r="A62" s="65">
        <v>71.0</v>
      </c>
      <c r="B62" s="65">
        <v>19847.0</v>
      </c>
      <c r="C62" s="69">
        <v>14.935</v>
      </c>
      <c r="D62" s="66">
        <v>11.865</v>
      </c>
      <c r="E62" s="66">
        <v>3.066</v>
      </c>
      <c r="F62" s="68">
        <v>1086.1</v>
      </c>
      <c r="G62" s="66">
        <v>0.93</v>
      </c>
      <c r="H62" s="66">
        <v>1.399</v>
      </c>
      <c r="I62" s="65">
        <v>374.8</v>
      </c>
      <c r="J62" s="65">
        <v>969.1</v>
      </c>
      <c r="K62" s="1">
        <v>26417.0</v>
      </c>
      <c r="L62" s="1">
        <v>100.0</v>
      </c>
      <c r="M62" s="23">
        <v>14.681</v>
      </c>
      <c r="N62" s="23">
        <f t="shared" si="6"/>
        <v>1</v>
      </c>
      <c r="O62" s="64">
        <f t="shared" si="7"/>
        <v>0.93</v>
      </c>
      <c r="P62" s="65"/>
      <c r="Q62" s="69"/>
      <c r="R62" s="12"/>
      <c r="S62" s="1"/>
      <c r="T62" s="1"/>
      <c r="U62" s="1"/>
      <c r="V62" s="23"/>
      <c r="W62" s="12"/>
      <c r="X62" s="1"/>
    </row>
    <row r="63">
      <c r="A63" s="65">
        <v>73.0</v>
      </c>
      <c r="B63" s="65">
        <v>19847.0</v>
      </c>
      <c r="C63" s="66">
        <v>16.099</v>
      </c>
      <c r="D63" s="66">
        <v>12.946</v>
      </c>
      <c r="E63" s="66">
        <v>3.066</v>
      </c>
      <c r="F63" s="68">
        <v>1086.1</v>
      </c>
      <c r="G63" s="66">
        <v>0.83</v>
      </c>
      <c r="H63" s="66">
        <v>0.376</v>
      </c>
      <c r="I63" s="65">
        <v>374.8</v>
      </c>
      <c r="J63" s="65">
        <v>969.1</v>
      </c>
      <c r="K63" s="1">
        <v>26417.0</v>
      </c>
      <c r="L63" s="1">
        <v>100.0</v>
      </c>
      <c r="M63" s="23">
        <v>14.682</v>
      </c>
      <c r="N63" s="23">
        <f t="shared" si="6"/>
        <v>0.376</v>
      </c>
      <c r="O63" s="64">
        <f t="shared" si="7"/>
        <v>0.83</v>
      </c>
      <c r="P63" s="65"/>
      <c r="Q63" s="66"/>
      <c r="R63" s="12"/>
      <c r="S63" s="1"/>
      <c r="T63" s="1"/>
      <c r="U63" s="1"/>
      <c r="V63" s="23"/>
      <c r="W63" s="12"/>
      <c r="X63" s="1"/>
    </row>
    <row r="64">
      <c r="A64" s="65" t="s">
        <v>500</v>
      </c>
      <c r="B64" s="43"/>
      <c r="C64" s="63"/>
      <c r="D64" s="43"/>
      <c r="E64" s="72"/>
      <c r="F64" s="43"/>
      <c r="G64" s="43"/>
      <c r="H64" s="73"/>
      <c r="I64" s="73"/>
      <c r="J64" s="73"/>
      <c r="M64" s="35"/>
      <c r="N64" s="23" t="str">
        <f t="shared" si="6"/>
        <v/>
      </c>
      <c r="O64" s="64" t="str">
        <f t="shared" si="7"/>
        <v/>
      </c>
      <c r="P64" s="65"/>
      <c r="Q64" s="66"/>
      <c r="R64" s="12"/>
      <c r="S64" s="1"/>
      <c r="T64" s="1"/>
      <c r="U64" s="1"/>
      <c r="V64" s="23"/>
      <c r="W64" s="12"/>
      <c r="X64" s="1"/>
    </row>
    <row r="65">
      <c r="A65" s="65">
        <v>75.0</v>
      </c>
      <c r="B65" s="65">
        <v>25385.0</v>
      </c>
      <c r="C65" s="69">
        <v>15.998</v>
      </c>
      <c r="D65" s="66">
        <v>12.742</v>
      </c>
      <c r="E65" s="66">
        <v>3.245</v>
      </c>
      <c r="F65" s="68">
        <v>1086.1</v>
      </c>
      <c r="G65" s="66">
        <v>0.83</v>
      </c>
      <c r="H65" s="66">
        <v>0.376</v>
      </c>
      <c r="I65" s="65">
        <v>378.8</v>
      </c>
      <c r="J65" s="65">
        <v>969.1</v>
      </c>
      <c r="K65" s="1">
        <v>33789.0</v>
      </c>
      <c r="L65" s="1">
        <v>100.0</v>
      </c>
      <c r="M65" s="23">
        <v>14.682</v>
      </c>
      <c r="N65" s="23">
        <f t="shared" si="6"/>
        <v>0.376</v>
      </c>
      <c r="O65" s="64">
        <f t="shared" si="7"/>
        <v>0.83</v>
      </c>
      <c r="P65" s="65"/>
      <c r="Q65" s="66"/>
      <c r="R65" s="12"/>
      <c r="S65" s="1"/>
      <c r="T65" s="1"/>
      <c r="U65" s="1"/>
      <c r="V65" s="23"/>
      <c r="W65" s="12"/>
      <c r="X65" s="1"/>
    </row>
    <row r="66">
      <c r="A66" s="65">
        <v>77.0</v>
      </c>
      <c r="B66" s="65">
        <v>27231.0</v>
      </c>
      <c r="C66" s="66">
        <v>17.037</v>
      </c>
      <c r="D66" s="69">
        <v>16.676</v>
      </c>
      <c r="E66" s="69">
        <v>3.395</v>
      </c>
      <c r="F66" s="68">
        <v>1086.1</v>
      </c>
      <c r="G66" s="66">
        <v>0.83</v>
      </c>
      <c r="H66" s="66">
        <v>0.376</v>
      </c>
      <c r="I66" s="65">
        <v>378.8</v>
      </c>
      <c r="J66" s="65">
        <v>969.1</v>
      </c>
      <c r="K66" s="1">
        <v>36246.0</v>
      </c>
      <c r="L66" s="1">
        <v>100.0</v>
      </c>
      <c r="M66" s="23">
        <v>14.905</v>
      </c>
      <c r="N66" s="23">
        <f t="shared" si="6"/>
        <v>0.376</v>
      </c>
      <c r="O66" s="64">
        <f t="shared" si="7"/>
        <v>0.83</v>
      </c>
      <c r="P66" s="65"/>
      <c r="Q66" s="66"/>
      <c r="R66" s="12"/>
      <c r="S66" s="1"/>
      <c r="T66" s="1"/>
      <c r="U66" s="1"/>
      <c r="V66" s="23"/>
      <c r="W66" s="12"/>
      <c r="X66" s="1"/>
    </row>
    <row r="67">
      <c r="A67" s="65">
        <v>79.0</v>
      </c>
      <c r="B67" s="65">
        <v>24462.0</v>
      </c>
      <c r="C67" s="66">
        <v>16.057</v>
      </c>
      <c r="D67" s="66">
        <v>16.649</v>
      </c>
      <c r="E67" s="69">
        <v>3.167</v>
      </c>
      <c r="F67" s="68">
        <v>1046.8</v>
      </c>
      <c r="G67" s="66">
        <v>0.801</v>
      </c>
      <c r="H67" s="66">
        <v>0.376</v>
      </c>
      <c r="I67" s="65">
        <v>382.8</v>
      </c>
      <c r="J67" s="65">
        <v>847.9</v>
      </c>
      <c r="K67" s="1">
        <v>32560.0</v>
      </c>
      <c r="L67" s="1">
        <v>100.0</v>
      </c>
      <c r="M67" s="23">
        <v>14.905</v>
      </c>
      <c r="N67" s="23">
        <f t="shared" si="6"/>
        <v>0.376</v>
      </c>
      <c r="O67" s="64">
        <f t="shared" si="7"/>
        <v>0.801</v>
      </c>
      <c r="P67" s="65"/>
      <c r="Q67" s="66"/>
      <c r="R67" s="12"/>
      <c r="S67" s="1"/>
      <c r="T67" s="1"/>
      <c r="U67" s="1"/>
      <c r="V67" s="23"/>
      <c r="W67" s="12"/>
      <c r="X67" s="1"/>
    </row>
    <row r="68">
      <c r="A68" s="65">
        <v>81.0</v>
      </c>
      <c r="B68" s="65">
        <v>23643.0</v>
      </c>
      <c r="C68" s="66">
        <v>16.598</v>
      </c>
      <c r="D68" s="66">
        <v>16.578</v>
      </c>
      <c r="E68" s="69">
        <v>3.167</v>
      </c>
      <c r="F68" s="68">
        <v>1086.1</v>
      </c>
      <c r="G68" s="66">
        <v>0.807</v>
      </c>
      <c r="H68" s="66">
        <v>0.376</v>
      </c>
      <c r="I68" s="65">
        <v>382.8</v>
      </c>
      <c r="J68" s="65">
        <v>867.3</v>
      </c>
      <c r="K68" s="1">
        <v>32560.0</v>
      </c>
      <c r="L68" s="1">
        <v>100.0</v>
      </c>
      <c r="M68" s="23">
        <v>14.93</v>
      </c>
      <c r="N68" s="23">
        <f t="shared" si="6"/>
        <v>0.376</v>
      </c>
      <c r="O68" s="64">
        <f t="shared" si="7"/>
        <v>0.807</v>
      </c>
      <c r="P68" s="65"/>
      <c r="Q68" s="66"/>
      <c r="R68" s="12"/>
      <c r="S68" s="1"/>
      <c r="T68" s="1"/>
      <c r="U68" s="1"/>
      <c r="V68" s="23"/>
      <c r="W68" s="12"/>
      <c r="X68" s="1"/>
    </row>
    <row r="69">
      <c r="A69" s="65">
        <v>83.0</v>
      </c>
      <c r="B69" s="65">
        <v>24462.0</v>
      </c>
      <c r="C69" s="66">
        <v>16.869</v>
      </c>
      <c r="D69" s="66">
        <v>16.645</v>
      </c>
      <c r="E69" s="69">
        <v>3.167</v>
      </c>
      <c r="F69" s="68">
        <v>1086.1</v>
      </c>
      <c r="G69" s="66">
        <v>0.813</v>
      </c>
      <c r="H69" s="66">
        <v>0.386</v>
      </c>
      <c r="I69" s="65">
        <v>382.8</v>
      </c>
      <c r="J69" s="65">
        <v>887.1</v>
      </c>
      <c r="K69" s="1">
        <v>32560.0</v>
      </c>
      <c r="L69" s="1">
        <v>100.0</v>
      </c>
      <c r="M69" s="23">
        <v>14.93</v>
      </c>
      <c r="N69" s="23">
        <f t="shared" si="6"/>
        <v>0.386</v>
      </c>
      <c r="O69" s="64">
        <f t="shared" si="7"/>
        <v>0.813</v>
      </c>
      <c r="P69" s="65"/>
      <c r="Q69" s="66"/>
      <c r="R69" s="12"/>
      <c r="S69" s="1"/>
      <c r="T69" s="1"/>
      <c r="U69" s="1"/>
      <c r="V69" s="23"/>
      <c r="W69" s="12"/>
      <c r="X69" s="1"/>
    </row>
    <row r="70">
      <c r="A70" s="65">
        <v>85.0</v>
      </c>
      <c r="B70" s="65">
        <v>24462.0</v>
      </c>
      <c r="C70" s="66">
        <v>16.88</v>
      </c>
      <c r="D70" s="66">
        <v>17.781</v>
      </c>
      <c r="E70" s="69">
        <v>3.167</v>
      </c>
      <c r="F70" s="68">
        <v>1101.1</v>
      </c>
      <c r="G70" s="66">
        <v>0.813</v>
      </c>
      <c r="H70" s="66">
        <v>0.386</v>
      </c>
      <c r="I70" s="65">
        <v>382.8</v>
      </c>
      <c r="J70" s="65">
        <v>887.1</v>
      </c>
      <c r="K70" s="1">
        <v>32560.0</v>
      </c>
      <c r="L70" s="1">
        <v>100.0</v>
      </c>
      <c r="M70" s="23">
        <v>14.931</v>
      </c>
      <c r="N70" s="23">
        <f t="shared" si="6"/>
        <v>0.386</v>
      </c>
      <c r="O70" s="64">
        <f t="shared" si="7"/>
        <v>0.813</v>
      </c>
      <c r="P70" s="65"/>
      <c r="Q70" s="66"/>
      <c r="R70" s="12"/>
      <c r="S70" s="1"/>
      <c r="T70" s="1"/>
      <c r="U70" s="1"/>
      <c r="V70" s="23"/>
      <c r="W70" s="12"/>
      <c r="X70" s="1"/>
    </row>
    <row r="71">
      <c r="A71" s="65">
        <v>87.0</v>
      </c>
      <c r="B71" s="65">
        <v>24185.0</v>
      </c>
      <c r="C71" s="66">
        <v>16.541</v>
      </c>
      <c r="D71" s="66">
        <v>14.376</v>
      </c>
      <c r="E71" s="69">
        <v>3.167</v>
      </c>
      <c r="F71" s="68">
        <v>1101.1</v>
      </c>
      <c r="G71" s="66">
        <v>0.783</v>
      </c>
      <c r="H71" s="66">
        <v>0.386</v>
      </c>
      <c r="I71" s="65">
        <v>382.8</v>
      </c>
      <c r="J71" s="65">
        <v>887.1</v>
      </c>
      <c r="K71" s="1">
        <v>32560.0</v>
      </c>
      <c r="L71" s="1">
        <v>100.0</v>
      </c>
      <c r="M71" s="23">
        <v>14.931</v>
      </c>
      <c r="N71" s="23">
        <f t="shared" si="6"/>
        <v>0.386</v>
      </c>
      <c r="O71" s="64">
        <f t="shared" si="7"/>
        <v>0.783</v>
      </c>
      <c r="P71" s="65"/>
      <c r="Q71" s="66"/>
      <c r="R71" s="12"/>
      <c r="S71" s="1"/>
      <c r="T71" s="1"/>
      <c r="U71" s="1"/>
      <c r="V71" s="23"/>
      <c r="W71" s="12"/>
      <c r="X71" s="1"/>
    </row>
    <row r="72">
      <c r="A72" s="65">
        <v>89.0</v>
      </c>
      <c r="B72" s="65">
        <v>20770.0</v>
      </c>
      <c r="C72" s="66">
        <v>15.384</v>
      </c>
      <c r="D72" s="66">
        <v>13.696</v>
      </c>
      <c r="E72" s="69">
        <v>3.097</v>
      </c>
      <c r="F72" s="68">
        <v>1101.1</v>
      </c>
      <c r="G72" s="66">
        <v>1.063</v>
      </c>
      <c r="H72" s="66">
        <v>0.386</v>
      </c>
      <c r="I72" s="65">
        <v>382.8</v>
      </c>
      <c r="J72" s="65">
        <v>887.1</v>
      </c>
      <c r="K72" s="1">
        <v>27645.0</v>
      </c>
      <c r="L72" s="1">
        <v>100.0</v>
      </c>
      <c r="M72" s="23">
        <v>14.797</v>
      </c>
      <c r="N72" s="23">
        <f t="shared" si="6"/>
        <v>0.386</v>
      </c>
      <c r="O72">
        <f t="shared" si="7"/>
        <v>1</v>
      </c>
      <c r="P72" s="65"/>
      <c r="Q72" s="66"/>
      <c r="R72" s="12"/>
      <c r="S72" s="1"/>
      <c r="T72" s="1"/>
      <c r="U72" s="1"/>
      <c r="V72" s="23"/>
      <c r="W72" s="12"/>
      <c r="X72" s="1"/>
    </row>
    <row r="73">
      <c r="A73" s="65">
        <v>91.0</v>
      </c>
      <c r="B73" s="65">
        <v>18924.0</v>
      </c>
      <c r="C73" s="66">
        <v>14.187</v>
      </c>
      <c r="D73" s="66">
        <v>12.822</v>
      </c>
      <c r="E73" s="66">
        <v>2.947</v>
      </c>
      <c r="F73" s="68">
        <v>1101.1</v>
      </c>
      <c r="G73" s="66">
        <v>1.063</v>
      </c>
      <c r="H73" s="66">
        <v>0.386</v>
      </c>
      <c r="I73" s="65">
        <v>382.8</v>
      </c>
      <c r="J73" s="65">
        <v>887.1</v>
      </c>
      <c r="K73" s="1">
        <v>25188.0</v>
      </c>
      <c r="L73" s="1">
        <v>100.0</v>
      </c>
      <c r="M73" s="23">
        <v>14.797</v>
      </c>
      <c r="N73" s="23">
        <f t="shared" si="6"/>
        <v>0.386</v>
      </c>
      <c r="O73">
        <f t="shared" si="7"/>
        <v>1</v>
      </c>
      <c r="P73" s="65"/>
      <c r="Q73" s="66"/>
      <c r="R73" s="12"/>
      <c r="S73" s="1"/>
      <c r="T73" s="1"/>
      <c r="U73" s="1"/>
      <c r="V73" s="23"/>
      <c r="W73" s="12"/>
      <c r="X73" s="1"/>
    </row>
    <row r="74">
      <c r="A74" s="65" t="s">
        <v>501</v>
      </c>
      <c r="B74" s="65"/>
      <c r="C74" s="66"/>
      <c r="D74" s="66"/>
      <c r="E74" s="69"/>
      <c r="F74" s="68"/>
      <c r="G74" s="66"/>
      <c r="H74" s="66"/>
      <c r="I74" s="65"/>
      <c r="J74" s="65"/>
      <c r="K74" s="1"/>
      <c r="L74" s="1"/>
      <c r="M74" s="23"/>
      <c r="N74" s="23" t="str">
        <f t="shared" si="6"/>
        <v/>
      </c>
      <c r="O74" s="64" t="str">
        <f t="shared" si="7"/>
        <v/>
      </c>
      <c r="P74" s="65"/>
      <c r="Q74" s="66"/>
      <c r="R74" s="12"/>
      <c r="S74" s="1"/>
      <c r="T74" s="1"/>
      <c r="U74" s="1"/>
      <c r="V74" s="23"/>
      <c r="W74" s="12"/>
      <c r="X74" s="1"/>
    </row>
    <row r="75">
      <c r="A75" s="39">
        <v>94.0</v>
      </c>
      <c r="B75" s="39">
        <v>19847.0</v>
      </c>
      <c r="C75" s="67">
        <v>14.583</v>
      </c>
      <c r="D75" s="67">
        <v>12.851</v>
      </c>
      <c r="E75" s="67">
        <v>2.865</v>
      </c>
      <c r="F75" s="71">
        <v>1101.1</v>
      </c>
      <c r="G75" s="67">
        <v>1.063</v>
      </c>
      <c r="H75" s="67">
        <v>0.386</v>
      </c>
      <c r="I75" s="39">
        <v>382.8</v>
      </c>
      <c r="J75" s="39">
        <v>887.1</v>
      </c>
      <c r="K75" s="1">
        <v>26417.0</v>
      </c>
      <c r="L75" s="1">
        <v>100.0</v>
      </c>
      <c r="M75" s="23">
        <v>14.673</v>
      </c>
      <c r="N75" s="23">
        <f t="shared" si="6"/>
        <v>0.386</v>
      </c>
      <c r="O75">
        <f t="shared" si="7"/>
        <v>1</v>
      </c>
      <c r="P75" s="65"/>
      <c r="Q75" s="66"/>
      <c r="R75" s="12"/>
      <c r="S75" s="1"/>
      <c r="T75" s="1"/>
      <c r="U75" s="1"/>
      <c r="V75" s="23"/>
      <c r="W75" s="12"/>
      <c r="X75" s="1"/>
    </row>
    <row r="76">
      <c r="A76" s="65" t="s">
        <v>502</v>
      </c>
      <c r="B76" s="43"/>
      <c r="C76" s="43"/>
      <c r="D76" s="43"/>
      <c r="E76" s="72"/>
      <c r="F76" s="43"/>
      <c r="G76" s="43"/>
      <c r="H76" s="73"/>
      <c r="I76" s="73"/>
      <c r="J76" s="73"/>
      <c r="M76" s="35"/>
      <c r="N76" s="23" t="str">
        <f t="shared" si="6"/>
        <v/>
      </c>
      <c r="O76" s="64" t="str">
        <f t="shared" si="7"/>
        <v/>
      </c>
      <c r="P76" s="65"/>
      <c r="Q76" s="66"/>
      <c r="R76" s="12"/>
      <c r="S76" s="1"/>
      <c r="T76" s="1"/>
      <c r="U76" s="1"/>
      <c r="V76" s="23"/>
      <c r="W76" s="12"/>
      <c r="X76" s="1"/>
    </row>
    <row r="77">
      <c r="A77" s="65" t="s">
        <v>502</v>
      </c>
      <c r="B77" s="43"/>
      <c r="C77" s="43"/>
      <c r="D77" s="43"/>
      <c r="E77" s="72"/>
      <c r="F77" s="43"/>
      <c r="G77" s="43"/>
      <c r="H77" s="73"/>
      <c r="I77" s="73"/>
      <c r="J77" s="73"/>
      <c r="M77" s="35"/>
      <c r="N77" s="23" t="str">
        <f t="shared" si="6"/>
        <v/>
      </c>
      <c r="O77" s="64" t="str">
        <f t="shared" si="7"/>
        <v/>
      </c>
      <c r="P77" s="39"/>
      <c r="Q77" s="67"/>
      <c r="R77" s="12"/>
      <c r="S77" s="1"/>
      <c r="T77" s="1"/>
      <c r="U77" s="1"/>
      <c r="V77" s="23"/>
      <c r="W77" s="12"/>
      <c r="X77" s="1"/>
    </row>
    <row r="78">
      <c r="A78" s="65" t="s">
        <v>502</v>
      </c>
      <c r="B78" s="65"/>
      <c r="C78" s="66"/>
      <c r="D78" s="66"/>
      <c r="E78" s="69"/>
      <c r="F78" s="68"/>
      <c r="G78" s="66"/>
      <c r="H78" s="66"/>
      <c r="I78" s="65"/>
      <c r="J78" s="65"/>
      <c r="K78" s="1"/>
      <c r="L78" s="1"/>
      <c r="M78" s="23"/>
      <c r="N78" s="23" t="str">
        <f t="shared" si="6"/>
        <v/>
      </c>
      <c r="O78" s="64" t="str">
        <f t="shared" si="7"/>
        <v/>
      </c>
      <c r="P78" s="65"/>
      <c r="Q78" s="69"/>
      <c r="R78" s="12"/>
      <c r="S78" s="1"/>
      <c r="T78" s="1"/>
      <c r="U78" s="1"/>
      <c r="V78" s="23"/>
      <c r="W78" s="12"/>
      <c r="X78" s="1"/>
    </row>
    <row r="79">
      <c r="A79" s="39">
        <v>96.0</v>
      </c>
      <c r="B79" s="39">
        <v>19847.0</v>
      </c>
      <c r="C79" s="67">
        <v>14.029</v>
      </c>
      <c r="D79" s="67">
        <v>12.859</v>
      </c>
      <c r="E79" s="67">
        <v>3.115</v>
      </c>
      <c r="F79" s="71">
        <v>1101.1</v>
      </c>
      <c r="G79" s="67">
        <v>1.08</v>
      </c>
      <c r="H79" s="67">
        <v>0.386</v>
      </c>
      <c r="I79" s="39">
        <v>382.8</v>
      </c>
      <c r="J79" s="39">
        <v>969.1</v>
      </c>
      <c r="K79" s="1">
        <v>26417.0</v>
      </c>
      <c r="L79" s="1">
        <v>100.0</v>
      </c>
      <c r="M79" s="23">
        <v>14.673</v>
      </c>
      <c r="N79" s="23">
        <f t="shared" si="6"/>
        <v>0.386</v>
      </c>
      <c r="O79">
        <f t="shared" si="7"/>
        <v>1</v>
      </c>
      <c r="P79" s="65"/>
      <c r="Q79" s="69"/>
      <c r="R79" s="12"/>
      <c r="S79" s="1"/>
      <c r="T79" s="1"/>
      <c r="U79" s="1"/>
      <c r="V79" s="23"/>
      <c r="W79" s="12"/>
      <c r="X79" s="1"/>
    </row>
    <row r="80">
      <c r="A80" s="65" t="s">
        <v>502</v>
      </c>
      <c r="B80" s="43"/>
      <c r="C80" s="43"/>
      <c r="D80" s="43"/>
      <c r="E80" s="72"/>
      <c r="F80" s="43"/>
      <c r="G80" s="43"/>
      <c r="H80" s="73"/>
      <c r="I80" s="73"/>
      <c r="J80" s="73"/>
      <c r="M80" s="35"/>
      <c r="N80" s="23" t="str">
        <f t="shared" si="6"/>
        <v/>
      </c>
      <c r="O80" s="64" t="str">
        <f t="shared" si="7"/>
        <v/>
      </c>
      <c r="P80" s="65"/>
      <c r="Q80" s="69"/>
      <c r="R80" s="12"/>
      <c r="S80" s="1"/>
      <c r="T80" s="1"/>
      <c r="U80" s="1"/>
      <c r="V80" s="23"/>
      <c r="W80" s="12"/>
      <c r="X80" s="1"/>
    </row>
    <row r="81">
      <c r="A81" s="65" t="s">
        <v>502</v>
      </c>
      <c r="B81" s="43"/>
      <c r="C81" s="43"/>
      <c r="D81" s="43"/>
      <c r="E81" s="72"/>
      <c r="F81" s="43"/>
      <c r="G81" s="43"/>
      <c r="H81" s="73"/>
      <c r="I81" s="73"/>
      <c r="J81" s="73"/>
      <c r="M81" s="35"/>
      <c r="N81" s="23" t="str">
        <f t="shared" si="6"/>
        <v/>
      </c>
      <c r="O81" s="64" t="str">
        <f t="shared" si="7"/>
        <v/>
      </c>
      <c r="P81" s="39"/>
      <c r="Q81" s="76"/>
      <c r="R81" s="12"/>
      <c r="S81" s="1"/>
      <c r="T81" s="1"/>
      <c r="U81" s="1"/>
      <c r="V81" s="23"/>
      <c r="W81" s="12"/>
      <c r="X81" s="1"/>
    </row>
    <row r="82">
      <c r="A82" s="65" t="s">
        <v>506</v>
      </c>
      <c r="B82" s="43"/>
      <c r="C82" s="43"/>
      <c r="D82" s="43"/>
      <c r="E82" s="72"/>
      <c r="F82" s="43"/>
      <c r="G82" s="43"/>
      <c r="H82" s="73"/>
      <c r="I82" s="73"/>
      <c r="J82" s="73"/>
      <c r="M82" s="35"/>
      <c r="N82" s="23" t="str">
        <f t="shared" si="6"/>
        <v/>
      </c>
      <c r="O82" s="64" t="str">
        <f t="shared" si="7"/>
        <v/>
      </c>
      <c r="P82" s="39"/>
      <c r="Q82" s="67"/>
      <c r="R82" s="12"/>
      <c r="S82" s="1"/>
      <c r="T82" s="1"/>
      <c r="U82" s="1"/>
      <c r="V82" s="23"/>
      <c r="W82" s="12"/>
      <c r="X82" s="1"/>
    </row>
    <row r="83">
      <c r="A83" s="65" t="s">
        <v>502</v>
      </c>
      <c r="B83" s="65"/>
      <c r="C83" s="66"/>
      <c r="D83" s="66"/>
      <c r="E83" s="69"/>
      <c r="F83" s="68"/>
      <c r="G83" s="66"/>
      <c r="H83" s="66"/>
      <c r="I83" s="65"/>
      <c r="J83" s="65"/>
      <c r="K83" s="1"/>
      <c r="L83" s="1"/>
      <c r="M83" s="23"/>
      <c r="N83" s="23" t="str">
        <f t="shared" si="6"/>
        <v/>
      </c>
      <c r="O83" s="64" t="str">
        <f t="shared" si="7"/>
        <v/>
      </c>
      <c r="P83" s="39"/>
      <c r="Q83" s="67"/>
      <c r="R83" s="12"/>
      <c r="S83" s="1"/>
      <c r="T83" s="1"/>
      <c r="U83" s="1"/>
      <c r="V83" s="23"/>
      <c r="W83" s="12"/>
      <c r="X83" s="1"/>
    </row>
    <row r="84">
      <c r="A84" s="65" t="s">
        <v>504</v>
      </c>
      <c r="B84" s="65"/>
      <c r="C84" s="66"/>
      <c r="D84" s="66"/>
      <c r="E84" s="66"/>
      <c r="F84" s="68"/>
      <c r="G84" s="66"/>
      <c r="H84" s="66"/>
      <c r="I84" s="65"/>
      <c r="J84" s="65"/>
      <c r="K84" s="1"/>
      <c r="L84" s="1"/>
      <c r="M84" s="23"/>
      <c r="N84" s="23" t="str">
        <f t="shared" si="6"/>
        <v/>
      </c>
      <c r="O84" s="64" t="str">
        <f t="shared" si="7"/>
        <v/>
      </c>
      <c r="P84" s="39"/>
      <c r="Q84" s="67"/>
      <c r="R84" s="12"/>
      <c r="S84" s="1"/>
      <c r="T84" s="1"/>
      <c r="U84" s="1"/>
      <c r="V84" s="23"/>
      <c r="W84" s="12"/>
      <c r="X84" s="1"/>
    </row>
    <row r="85">
      <c r="A85" s="65">
        <v>98.0</v>
      </c>
      <c r="B85" s="65">
        <v>19847.0</v>
      </c>
      <c r="C85" s="66">
        <v>14.573</v>
      </c>
      <c r="D85" s="66">
        <v>11.992</v>
      </c>
      <c r="E85" s="66">
        <v>3.152</v>
      </c>
      <c r="F85" s="68">
        <v>1086.1</v>
      </c>
      <c r="G85" s="66">
        <v>1.08</v>
      </c>
      <c r="H85" s="66">
        <v>0.386</v>
      </c>
      <c r="I85" s="65">
        <v>382.8</v>
      </c>
      <c r="J85" s="65">
        <v>969.1</v>
      </c>
      <c r="K85" s="1">
        <v>26417.0</v>
      </c>
      <c r="L85" s="1">
        <v>100.0</v>
      </c>
      <c r="M85" s="23">
        <v>14.673</v>
      </c>
      <c r="N85" s="23">
        <f t="shared" si="6"/>
        <v>0.386</v>
      </c>
      <c r="O85">
        <f t="shared" si="7"/>
        <v>1</v>
      </c>
      <c r="P85" s="39"/>
      <c r="Q85" s="67"/>
      <c r="R85" s="12"/>
      <c r="S85" s="1"/>
      <c r="T85" s="1"/>
      <c r="U85" s="1"/>
      <c r="V85" s="23"/>
      <c r="W85" s="12"/>
      <c r="X85" s="1"/>
    </row>
    <row r="86">
      <c r="A86" s="65">
        <v>100.0</v>
      </c>
      <c r="B86" s="65">
        <v>19847.0</v>
      </c>
      <c r="C86" s="66">
        <v>14.902</v>
      </c>
      <c r="D86" s="66">
        <v>12.479</v>
      </c>
      <c r="E86" s="66">
        <v>3.763</v>
      </c>
      <c r="F86" s="68">
        <v>1101.1</v>
      </c>
      <c r="G86" s="66">
        <v>1.08</v>
      </c>
      <c r="H86" s="66">
        <v>0.386</v>
      </c>
      <c r="I86" s="65">
        <v>382.8</v>
      </c>
      <c r="J86" s="65">
        <v>969.1</v>
      </c>
      <c r="K86" s="1">
        <v>26417.0</v>
      </c>
      <c r="L86" s="1">
        <v>100.0</v>
      </c>
      <c r="M86" s="23">
        <v>14.616</v>
      </c>
      <c r="N86" s="23">
        <f t="shared" si="6"/>
        <v>0.386</v>
      </c>
      <c r="O86">
        <f t="shared" si="7"/>
        <v>1</v>
      </c>
      <c r="P86" s="65"/>
      <c r="Q86" s="66"/>
      <c r="R86" s="12"/>
      <c r="S86" s="1"/>
      <c r="T86" s="1"/>
      <c r="U86" s="1"/>
      <c r="V86" s="23"/>
      <c r="W86" s="12"/>
      <c r="X86" s="1"/>
    </row>
    <row r="87">
      <c r="A87" s="65">
        <v>102.0</v>
      </c>
      <c r="B87" s="65">
        <v>19847.0</v>
      </c>
      <c r="C87" s="66">
        <v>14.891</v>
      </c>
      <c r="D87" s="66">
        <v>12.587</v>
      </c>
      <c r="E87" s="66">
        <v>3.763</v>
      </c>
      <c r="F87" s="68">
        <v>1101.1</v>
      </c>
      <c r="G87" s="66">
        <v>1.08</v>
      </c>
      <c r="H87" s="66">
        <v>0.386</v>
      </c>
      <c r="I87" s="65">
        <v>382.8</v>
      </c>
      <c r="J87" s="65">
        <v>969.1</v>
      </c>
      <c r="K87" s="1">
        <v>26417.0</v>
      </c>
      <c r="L87" s="1">
        <v>100.0</v>
      </c>
      <c r="M87" s="23">
        <v>14.616</v>
      </c>
      <c r="N87" s="23">
        <f t="shared" si="6"/>
        <v>0.386</v>
      </c>
      <c r="O87">
        <f t="shared" si="7"/>
        <v>1</v>
      </c>
      <c r="P87" s="65"/>
      <c r="Q87" s="66"/>
      <c r="R87" s="12"/>
      <c r="S87" s="1"/>
      <c r="T87" s="1"/>
      <c r="U87" s="1"/>
      <c r="V87" s="23"/>
      <c r="W87" s="12"/>
      <c r="X87" s="1"/>
    </row>
    <row r="88">
      <c r="A88" s="65">
        <v>104.0</v>
      </c>
      <c r="B88" s="65">
        <v>19847.0</v>
      </c>
      <c r="C88" s="66">
        <v>14.915</v>
      </c>
      <c r="D88" s="66">
        <v>12.647</v>
      </c>
      <c r="E88" s="66">
        <v>3.763</v>
      </c>
      <c r="F88" s="68">
        <v>1101.1</v>
      </c>
      <c r="G88" s="66">
        <v>1.08</v>
      </c>
      <c r="H88" s="66">
        <v>0.376</v>
      </c>
      <c r="I88" s="65">
        <v>382.8</v>
      </c>
      <c r="J88" s="65">
        <v>969.1</v>
      </c>
      <c r="K88" s="1">
        <v>26417.0</v>
      </c>
      <c r="L88" s="1">
        <v>100.0</v>
      </c>
      <c r="M88" s="23">
        <v>14.64</v>
      </c>
      <c r="N88" s="23">
        <f t="shared" si="6"/>
        <v>0.376</v>
      </c>
      <c r="O88">
        <f t="shared" si="7"/>
        <v>1</v>
      </c>
      <c r="P88" s="65"/>
      <c r="Q88" s="66"/>
      <c r="R88" s="12"/>
      <c r="S88" s="1"/>
      <c r="T88" s="1"/>
      <c r="U88" s="1"/>
      <c r="V88" s="23"/>
      <c r="W88" s="12"/>
      <c r="X88" s="1"/>
    </row>
    <row r="89">
      <c r="A89" s="65">
        <v>106.0</v>
      </c>
      <c r="B89" s="65">
        <v>19847.0</v>
      </c>
      <c r="C89" s="66">
        <v>14.904</v>
      </c>
      <c r="D89" s="66">
        <v>12.258</v>
      </c>
      <c r="E89" s="66">
        <v>3.763</v>
      </c>
      <c r="F89" s="68">
        <v>1101.1</v>
      </c>
      <c r="G89" s="66">
        <v>1.08</v>
      </c>
      <c r="H89" s="66">
        <v>0.376</v>
      </c>
      <c r="I89" s="65">
        <v>382.8</v>
      </c>
      <c r="J89" s="65">
        <v>969.1</v>
      </c>
      <c r="K89" s="1">
        <v>26417.0</v>
      </c>
      <c r="L89" s="1">
        <v>100.0</v>
      </c>
      <c r="M89" s="26">
        <v>14.64</v>
      </c>
      <c r="N89" s="23">
        <f t="shared" si="6"/>
        <v>0.376</v>
      </c>
      <c r="O89">
        <f t="shared" si="7"/>
        <v>1</v>
      </c>
      <c r="P89" s="65"/>
      <c r="Q89" s="66"/>
      <c r="R89" s="12"/>
      <c r="S89" s="1"/>
      <c r="T89" s="1"/>
      <c r="U89" s="1"/>
      <c r="V89" s="23"/>
      <c r="W89" s="12"/>
      <c r="X89" s="1"/>
    </row>
    <row r="90">
      <c r="A90" s="65">
        <v>108.0</v>
      </c>
      <c r="B90" s="65">
        <v>19847.0</v>
      </c>
      <c r="C90" s="66">
        <v>14.905</v>
      </c>
      <c r="D90" s="66">
        <v>11.766</v>
      </c>
      <c r="E90" s="66">
        <v>3.803</v>
      </c>
      <c r="F90" s="68">
        <v>1101.1</v>
      </c>
      <c r="G90" s="66">
        <v>1.08</v>
      </c>
      <c r="H90" s="66">
        <v>0.376</v>
      </c>
      <c r="I90" s="65">
        <v>382.8</v>
      </c>
      <c r="J90" s="65">
        <v>969.1</v>
      </c>
      <c r="K90" s="1">
        <v>26417.0</v>
      </c>
      <c r="L90" s="1">
        <v>100.0</v>
      </c>
      <c r="M90" s="23">
        <v>14.601</v>
      </c>
      <c r="N90" s="23">
        <f t="shared" si="6"/>
        <v>0.376</v>
      </c>
      <c r="O90">
        <f t="shared" si="7"/>
        <v>1</v>
      </c>
      <c r="P90" s="65"/>
      <c r="Q90" s="66"/>
      <c r="R90" s="12"/>
      <c r="S90" s="1"/>
      <c r="T90" s="1"/>
      <c r="U90" s="1"/>
      <c r="V90" s="23"/>
      <c r="W90" s="12"/>
      <c r="X90" s="1"/>
    </row>
    <row r="91">
      <c r="A91" s="65">
        <v>110.0</v>
      </c>
      <c r="B91" s="65">
        <v>19847.0</v>
      </c>
      <c r="C91" s="66">
        <v>15.447</v>
      </c>
      <c r="D91" s="66">
        <v>12.281</v>
      </c>
      <c r="E91" s="66">
        <v>3.803</v>
      </c>
      <c r="F91" s="68">
        <v>1101.1</v>
      </c>
      <c r="G91" s="66">
        <v>1.08</v>
      </c>
      <c r="H91" s="66">
        <v>0.368</v>
      </c>
      <c r="I91" s="65">
        <v>382.8</v>
      </c>
      <c r="J91" s="65">
        <v>969.1</v>
      </c>
      <c r="K91" s="1">
        <v>26417.0</v>
      </c>
      <c r="L91" s="1">
        <v>100.0</v>
      </c>
      <c r="M91" s="23">
        <v>14.601</v>
      </c>
      <c r="N91" s="23">
        <f t="shared" si="6"/>
        <v>0.368</v>
      </c>
      <c r="O91">
        <f t="shared" si="7"/>
        <v>1</v>
      </c>
      <c r="P91" s="65"/>
      <c r="Q91" s="66"/>
      <c r="R91" s="12"/>
      <c r="S91" s="1"/>
      <c r="T91" s="1"/>
      <c r="U91" s="1"/>
      <c r="V91" s="23"/>
      <c r="W91" s="12"/>
      <c r="X91" s="1"/>
    </row>
    <row r="92">
      <c r="A92" s="39" t="s">
        <v>505</v>
      </c>
      <c r="B92" s="39"/>
      <c r="C92" s="67"/>
      <c r="D92" s="67"/>
      <c r="E92" s="67"/>
      <c r="F92" s="71"/>
      <c r="G92" s="67"/>
      <c r="H92" s="67"/>
      <c r="I92" s="39"/>
      <c r="J92" s="39"/>
      <c r="K92" s="1"/>
      <c r="L92" s="1"/>
      <c r="M92" s="23"/>
      <c r="N92" s="23" t="str">
        <f t="shared" si="6"/>
        <v/>
      </c>
      <c r="O92" s="64" t="str">
        <f t="shared" si="7"/>
        <v/>
      </c>
      <c r="P92" s="65"/>
      <c r="Q92" s="66"/>
      <c r="R92" s="12"/>
      <c r="S92" s="1"/>
      <c r="T92" s="1"/>
      <c r="U92" s="1"/>
      <c r="V92" s="23"/>
      <c r="W92" s="12"/>
      <c r="X92" s="1"/>
    </row>
    <row r="93">
      <c r="A93" s="39">
        <v>112.0</v>
      </c>
      <c r="B93" s="39">
        <v>21693.0</v>
      </c>
      <c r="C93" s="67">
        <v>15.606</v>
      </c>
      <c r="D93" s="67">
        <v>12.025</v>
      </c>
      <c r="E93" s="67">
        <v>3.77</v>
      </c>
      <c r="F93" s="71">
        <v>1086.1</v>
      </c>
      <c r="G93" s="67">
        <v>1.08</v>
      </c>
      <c r="H93" s="67">
        <v>0.386</v>
      </c>
      <c r="I93" s="39">
        <v>382.8</v>
      </c>
      <c r="J93" s="39">
        <v>969.1</v>
      </c>
      <c r="K93" s="1">
        <v>28874.0</v>
      </c>
      <c r="L93" s="1">
        <v>100.0</v>
      </c>
      <c r="M93" s="23">
        <v>14.628</v>
      </c>
      <c r="N93" s="23">
        <f t="shared" si="6"/>
        <v>0.386</v>
      </c>
      <c r="O93">
        <f t="shared" si="7"/>
        <v>1</v>
      </c>
      <c r="P93" s="65"/>
      <c r="Q93" s="66"/>
      <c r="R93" s="12"/>
      <c r="S93" s="1"/>
      <c r="T93" s="1"/>
      <c r="U93" s="1"/>
      <c r="V93" s="23"/>
      <c r="W93" s="12"/>
      <c r="X93" s="1"/>
    </row>
    <row r="94">
      <c r="A94" s="39">
        <v>114.0</v>
      </c>
      <c r="B94" s="39">
        <v>21693.0</v>
      </c>
      <c r="C94" s="67">
        <v>15.832</v>
      </c>
      <c r="D94" s="67">
        <v>12.289</v>
      </c>
      <c r="E94" s="67">
        <v>3.77</v>
      </c>
      <c r="F94" s="71">
        <v>1101.1</v>
      </c>
      <c r="G94" s="67">
        <v>1.063</v>
      </c>
      <c r="H94" s="67">
        <v>0.386</v>
      </c>
      <c r="I94" s="39">
        <v>382.8</v>
      </c>
      <c r="J94" s="39">
        <v>887.1</v>
      </c>
      <c r="K94" s="1">
        <v>28874.0</v>
      </c>
      <c r="L94" s="1">
        <v>100.0</v>
      </c>
      <c r="M94" s="23">
        <v>14.628</v>
      </c>
      <c r="N94" s="23">
        <f t="shared" si="6"/>
        <v>0.386</v>
      </c>
      <c r="O94">
        <f t="shared" si="7"/>
        <v>1</v>
      </c>
      <c r="P94" s="65"/>
      <c r="Q94" s="66"/>
      <c r="R94" s="12"/>
      <c r="S94" s="1"/>
      <c r="T94" s="1"/>
      <c r="U94" s="1"/>
      <c r="V94" s="23"/>
      <c r="W94" s="12"/>
      <c r="X94" s="1"/>
    </row>
    <row r="95">
      <c r="A95" s="65">
        <v>116.0</v>
      </c>
      <c r="B95" s="65">
        <v>21693.0</v>
      </c>
      <c r="C95" s="66">
        <v>15.872</v>
      </c>
      <c r="D95" s="66">
        <v>12.085</v>
      </c>
      <c r="E95" s="66">
        <v>3.811</v>
      </c>
      <c r="F95" s="68">
        <v>1101.1</v>
      </c>
      <c r="G95" s="66">
        <v>0.813</v>
      </c>
      <c r="H95" s="66">
        <v>0.386</v>
      </c>
      <c r="I95" s="65">
        <v>382.8</v>
      </c>
      <c r="J95" s="65">
        <v>887.1</v>
      </c>
      <c r="K95" s="1">
        <v>28874.0</v>
      </c>
      <c r="L95" s="1">
        <v>100.0</v>
      </c>
      <c r="M95" s="23">
        <v>14.631</v>
      </c>
      <c r="N95" s="23">
        <f t="shared" si="6"/>
        <v>0.386</v>
      </c>
      <c r="O95" s="64">
        <f t="shared" si="7"/>
        <v>0.813</v>
      </c>
      <c r="P95" s="65"/>
      <c r="Q95" s="66"/>
      <c r="R95" s="12"/>
      <c r="S95" s="1"/>
      <c r="T95" s="1"/>
      <c r="U95" s="1"/>
      <c r="V95" s="23"/>
      <c r="W95" s="12"/>
      <c r="X95" s="1"/>
    </row>
    <row r="96">
      <c r="A96" s="65">
        <v>118.0</v>
      </c>
      <c r="B96" s="65">
        <v>21693.0</v>
      </c>
      <c r="C96" s="66">
        <v>15.872</v>
      </c>
      <c r="D96" s="66">
        <v>12.188</v>
      </c>
      <c r="E96" s="69">
        <v>3.811</v>
      </c>
      <c r="F96" s="68">
        <v>1101.1</v>
      </c>
      <c r="G96" s="66">
        <v>0.813</v>
      </c>
      <c r="H96" s="66">
        <v>0.386</v>
      </c>
      <c r="I96" s="65">
        <v>382.8</v>
      </c>
      <c r="J96" s="65">
        <v>887.1</v>
      </c>
      <c r="K96" s="1">
        <v>28874.0</v>
      </c>
      <c r="L96" s="1">
        <v>100.0</v>
      </c>
      <c r="M96" s="26">
        <v>14.631</v>
      </c>
      <c r="N96" s="23">
        <f t="shared" si="6"/>
        <v>0.386</v>
      </c>
      <c r="O96" s="64">
        <f t="shared" si="7"/>
        <v>0.813</v>
      </c>
      <c r="P96" s="65"/>
      <c r="Q96" s="66"/>
      <c r="R96" s="12"/>
      <c r="S96" s="1"/>
      <c r="T96" s="1"/>
      <c r="U96" s="1"/>
      <c r="V96" s="23"/>
      <c r="W96" s="12"/>
      <c r="X96" s="1"/>
    </row>
    <row r="97">
      <c r="A97" s="65">
        <v>120.0</v>
      </c>
      <c r="B97" s="65">
        <v>21693.0</v>
      </c>
      <c r="C97" s="66">
        <v>15.872</v>
      </c>
      <c r="D97" s="66">
        <v>12.198</v>
      </c>
      <c r="E97" s="69">
        <v>2.896</v>
      </c>
      <c r="F97" s="68">
        <v>1101.1</v>
      </c>
      <c r="G97" s="66">
        <v>0.813</v>
      </c>
      <c r="H97" s="66">
        <v>0.386</v>
      </c>
      <c r="I97" s="65">
        <v>382.8</v>
      </c>
      <c r="J97" s="65">
        <v>887.1</v>
      </c>
      <c r="K97" s="1">
        <v>28874.0</v>
      </c>
      <c r="L97" s="1">
        <v>100.0</v>
      </c>
      <c r="M97" s="26">
        <v>14.634</v>
      </c>
      <c r="N97" s="23">
        <f t="shared" si="6"/>
        <v>0.386</v>
      </c>
      <c r="O97" s="64">
        <f t="shared" si="7"/>
        <v>0.813</v>
      </c>
      <c r="P97" s="39"/>
      <c r="Q97" s="67"/>
      <c r="R97" s="12"/>
      <c r="S97" s="1"/>
      <c r="T97" s="1"/>
      <c r="U97" s="1"/>
      <c r="V97" s="23"/>
      <c r="W97" s="12"/>
      <c r="X97" s="1"/>
    </row>
    <row r="98">
      <c r="A98" s="65">
        <v>122.0</v>
      </c>
      <c r="B98" s="65">
        <v>21693.0</v>
      </c>
      <c r="C98" s="66">
        <v>15.896</v>
      </c>
      <c r="D98" s="66">
        <v>12.198</v>
      </c>
      <c r="E98" s="66">
        <v>2.896</v>
      </c>
      <c r="F98" s="68">
        <v>1101.1</v>
      </c>
      <c r="G98" s="66">
        <v>0.813</v>
      </c>
      <c r="H98" s="66">
        <v>0.386</v>
      </c>
      <c r="I98" s="65">
        <v>382.8</v>
      </c>
      <c r="J98" s="65">
        <v>887.1</v>
      </c>
      <c r="K98" s="1">
        <v>28874.0</v>
      </c>
      <c r="L98" s="1">
        <v>100.0</v>
      </c>
      <c r="M98" s="23">
        <v>14.634</v>
      </c>
      <c r="N98" s="23">
        <f t="shared" si="6"/>
        <v>0.386</v>
      </c>
      <c r="O98" s="64">
        <f t="shared" si="7"/>
        <v>0.813</v>
      </c>
      <c r="P98" s="65"/>
      <c r="Q98" s="66"/>
      <c r="R98" s="12"/>
      <c r="S98" s="1"/>
      <c r="T98" s="1"/>
      <c r="U98" s="1"/>
      <c r="V98" s="23"/>
      <c r="W98" s="12"/>
      <c r="X98" s="1"/>
    </row>
    <row r="99">
      <c r="A99" s="65">
        <v>124.0</v>
      </c>
      <c r="B99" s="65">
        <v>21693.0</v>
      </c>
      <c r="C99" s="66">
        <v>15.331</v>
      </c>
      <c r="D99" s="66">
        <v>11.418</v>
      </c>
      <c r="E99" s="66">
        <v>2.896</v>
      </c>
      <c r="F99" s="68">
        <v>1101.1</v>
      </c>
      <c r="G99" s="66">
        <v>0.813</v>
      </c>
      <c r="H99" s="66">
        <v>0.386</v>
      </c>
      <c r="I99" s="65">
        <v>382.8</v>
      </c>
      <c r="J99" s="65">
        <v>887.1</v>
      </c>
      <c r="K99" s="1">
        <v>28874.0</v>
      </c>
      <c r="L99" s="1">
        <v>100.0</v>
      </c>
      <c r="M99" s="23">
        <v>14.598</v>
      </c>
      <c r="N99" s="23">
        <f t="shared" si="6"/>
        <v>0.386</v>
      </c>
      <c r="O99" s="64">
        <f t="shared" si="7"/>
        <v>0.813</v>
      </c>
      <c r="P99" s="65"/>
      <c r="Q99" s="69"/>
      <c r="R99" s="12"/>
      <c r="S99" s="1"/>
      <c r="T99" s="1"/>
      <c r="U99" s="1"/>
      <c r="V99" s="23"/>
      <c r="W99" s="12"/>
      <c r="X99" s="1"/>
    </row>
    <row r="100">
      <c r="A100" s="65">
        <v>126.0</v>
      </c>
      <c r="B100" s="65">
        <v>19847.0</v>
      </c>
      <c r="C100" s="66">
        <v>15.161</v>
      </c>
      <c r="D100" s="66">
        <v>11.459</v>
      </c>
      <c r="E100" s="66">
        <v>2.826</v>
      </c>
      <c r="F100" s="68">
        <v>1086.1</v>
      </c>
      <c r="G100" s="66">
        <v>0.813</v>
      </c>
      <c r="H100" s="66">
        <v>0.386</v>
      </c>
      <c r="I100" s="65">
        <v>382.8</v>
      </c>
      <c r="J100" s="65">
        <v>887.1</v>
      </c>
      <c r="K100" s="1">
        <v>26417.0</v>
      </c>
      <c r="L100" s="1">
        <v>100.0</v>
      </c>
      <c r="M100" s="23">
        <v>14.598</v>
      </c>
      <c r="N100" s="23">
        <f t="shared" si="6"/>
        <v>0.386</v>
      </c>
      <c r="O100" s="64">
        <f t="shared" si="7"/>
        <v>0.813</v>
      </c>
      <c r="P100" s="65"/>
      <c r="Q100" s="66"/>
      <c r="R100" s="12"/>
      <c r="S100" s="1"/>
      <c r="T100" s="1"/>
      <c r="U100" s="1"/>
      <c r="V100" s="23"/>
      <c r="W100" s="12"/>
      <c r="X100" s="1"/>
    </row>
    <row r="101">
      <c r="A101" s="65">
        <v>128.0</v>
      </c>
      <c r="B101" s="65">
        <v>19182.0</v>
      </c>
      <c r="C101" s="66">
        <v>14.958</v>
      </c>
      <c r="D101" s="66">
        <v>11.3</v>
      </c>
      <c r="E101" s="66">
        <v>2.826</v>
      </c>
      <c r="F101" s="68">
        <v>1086.1</v>
      </c>
      <c r="G101" s="66">
        <v>0.813</v>
      </c>
      <c r="H101" s="66">
        <v>0.386</v>
      </c>
      <c r="I101" s="65">
        <v>382.8</v>
      </c>
      <c r="J101" s="65">
        <v>887.1</v>
      </c>
      <c r="K101" s="1">
        <v>26417.0</v>
      </c>
      <c r="L101" s="1">
        <v>100.0</v>
      </c>
      <c r="M101" s="23">
        <v>14.577</v>
      </c>
      <c r="N101" s="23">
        <f t="shared" si="6"/>
        <v>0.386</v>
      </c>
      <c r="O101" s="64">
        <f t="shared" si="7"/>
        <v>0.813</v>
      </c>
      <c r="P101" s="65"/>
      <c r="Q101" s="66"/>
      <c r="R101" s="12"/>
      <c r="S101" s="1"/>
      <c r="T101" s="1"/>
      <c r="U101" s="1"/>
      <c r="V101" s="23"/>
      <c r="W101" s="12"/>
      <c r="X101" s="1"/>
    </row>
    <row r="102">
      <c r="A102" s="65">
        <v>130.0</v>
      </c>
      <c r="B102" s="65">
        <v>19847.0</v>
      </c>
      <c r="C102" s="66">
        <v>15.037</v>
      </c>
      <c r="D102" s="66">
        <v>11.33</v>
      </c>
      <c r="E102" s="66">
        <v>3.283</v>
      </c>
      <c r="F102" s="68">
        <v>1086.1</v>
      </c>
      <c r="G102" s="66">
        <v>0.83</v>
      </c>
      <c r="H102" s="66">
        <v>1.386</v>
      </c>
      <c r="I102" s="65">
        <v>382.8</v>
      </c>
      <c r="J102" s="65">
        <v>969.1</v>
      </c>
      <c r="K102" s="1">
        <v>26417.0</v>
      </c>
      <c r="L102" s="1">
        <v>100.0</v>
      </c>
      <c r="M102" s="23">
        <v>14.577</v>
      </c>
      <c r="N102" s="23">
        <f t="shared" si="6"/>
        <v>1</v>
      </c>
      <c r="O102" s="64">
        <f t="shared" si="7"/>
        <v>0.83</v>
      </c>
      <c r="P102" s="65"/>
      <c r="Q102" s="66"/>
      <c r="R102" s="12"/>
      <c r="S102" s="1"/>
      <c r="T102" s="1"/>
      <c r="U102" s="1"/>
      <c r="V102" s="23"/>
      <c r="W102" s="12"/>
      <c r="X102" s="1"/>
    </row>
    <row r="103">
      <c r="A103" s="65">
        <v>132.0</v>
      </c>
      <c r="B103" s="65">
        <v>19847.0</v>
      </c>
      <c r="C103" s="66">
        <v>14.709</v>
      </c>
      <c r="D103" s="66">
        <v>11.525</v>
      </c>
      <c r="E103" s="66">
        <v>3.283</v>
      </c>
      <c r="F103" s="68">
        <v>1086.1</v>
      </c>
      <c r="G103" s="66">
        <v>0.83</v>
      </c>
      <c r="H103" s="66">
        <v>1.376</v>
      </c>
      <c r="I103" s="65">
        <v>382.8</v>
      </c>
      <c r="J103" s="65">
        <v>969.1</v>
      </c>
      <c r="K103" s="1">
        <v>26417.0</v>
      </c>
      <c r="L103" s="1">
        <v>100.0</v>
      </c>
      <c r="M103" s="23">
        <v>14.577</v>
      </c>
      <c r="N103" s="23">
        <f t="shared" si="6"/>
        <v>1</v>
      </c>
      <c r="O103" s="64">
        <f t="shared" si="7"/>
        <v>0.83</v>
      </c>
      <c r="P103" s="39"/>
      <c r="Q103" s="67"/>
      <c r="R103" s="12"/>
      <c r="S103" s="1"/>
      <c r="T103" s="1"/>
      <c r="U103" s="1"/>
      <c r="V103" s="23"/>
      <c r="W103" s="12"/>
      <c r="X103" s="1"/>
    </row>
    <row r="104">
      <c r="A104" s="65">
        <v>134.0</v>
      </c>
      <c r="B104" s="65">
        <v>19847.0</v>
      </c>
      <c r="C104" s="66">
        <v>14.721</v>
      </c>
      <c r="D104" s="66">
        <v>12.732</v>
      </c>
      <c r="E104" s="66">
        <v>3.2</v>
      </c>
      <c r="F104" s="68">
        <v>1101.1</v>
      </c>
      <c r="G104" s="66">
        <v>0.83</v>
      </c>
      <c r="H104" s="66">
        <v>0.376</v>
      </c>
      <c r="I104" s="65">
        <v>382.8</v>
      </c>
      <c r="J104" s="65">
        <v>969.1</v>
      </c>
      <c r="K104" s="1">
        <v>26417.0</v>
      </c>
      <c r="L104" s="1">
        <v>100.0</v>
      </c>
      <c r="M104" s="23">
        <v>14.696</v>
      </c>
      <c r="N104" s="23">
        <f t="shared" si="6"/>
        <v>0.376</v>
      </c>
      <c r="O104" s="64">
        <f t="shared" si="7"/>
        <v>0.83</v>
      </c>
      <c r="P104" s="65"/>
      <c r="Q104" s="66"/>
      <c r="R104" s="12"/>
      <c r="S104" s="1"/>
      <c r="T104" s="1"/>
      <c r="U104" s="1"/>
      <c r="V104" s="23"/>
      <c r="W104" s="12"/>
      <c r="X104" s="1"/>
    </row>
    <row r="105">
      <c r="A105" s="65">
        <v>136.0</v>
      </c>
      <c r="B105" s="65">
        <v>19847.0</v>
      </c>
      <c r="C105" s="66">
        <v>14.732</v>
      </c>
      <c r="D105" s="66">
        <v>13.318</v>
      </c>
      <c r="E105" s="66">
        <v>2.95</v>
      </c>
      <c r="F105" s="68">
        <v>1101.1</v>
      </c>
      <c r="G105" s="66">
        <v>0.83</v>
      </c>
      <c r="H105" s="66">
        <v>0.376</v>
      </c>
      <c r="I105" s="65">
        <v>382.8</v>
      </c>
      <c r="J105" s="65">
        <v>969.1</v>
      </c>
      <c r="K105" s="1">
        <v>26417.0</v>
      </c>
      <c r="L105" s="1">
        <v>100.0</v>
      </c>
      <c r="M105" s="23">
        <v>14.696</v>
      </c>
      <c r="N105" s="23">
        <f t="shared" si="6"/>
        <v>0.376</v>
      </c>
      <c r="O105" s="64">
        <f t="shared" si="7"/>
        <v>0.83</v>
      </c>
      <c r="P105" s="65"/>
      <c r="Q105" s="66"/>
      <c r="R105" s="12"/>
      <c r="S105" s="1"/>
      <c r="T105" s="1"/>
      <c r="U105" s="1"/>
      <c r="V105" s="23"/>
      <c r="W105" s="12"/>
      <c r="X105" s="1"/>
    </row>
    <row r="106">
      <c r="A106" s="65">
        <v>138.0</v>
      </c>
      <c r="B106" s="65">
        <v>19847.0</v>
      </c>
      <c r="C106" s="66">
        <v>13.986</v>
      </c>
      <c r="D106" s="66">
        <v>16.284</v>
      </c>
      <c r="E106" s="66">
        <v>2.8</v>
      </c>
      <c r="F106" s="68">
        <v>1101.1</v>
      </c>
      <c r="G106" s="66">
        <v>0.8</v>
      </c>
      <c r="H106" s="66">
        <v>0.376</v>
      </c>
      <c r="I106" s="65">
        <v>382.8</v>
      </c>
      <c r="J106" s="65">
        <v>969.1</v>
      </c>
      <c r="K106" s="1">
        <v>26417.0</v>
      </c>
      <c r="L106" s="1">
        <v>100.0</v>
      </c>
      <c r="M106" s="23">
        <v>14.838</v>
      </c>
      <c r="N106" s="23">
        <f t="shared" si="6"/>
        <v>0.376</v>
      </c>
      <c r="O106" s="64">
        <f t="shared" si="7"/>
        <v>0.8</v>
      </c>
      <c r="P106" s="65"/>
      <c r="Q106" s="69"/>
      <c r="R106" s="12"/>
      <c r="S106" s="1"/>
      <c r="T106" s="1"/>
      <c r="U106" s="1"/>
      <c r="V106" s="26"/>
      <c r="W106" s="12"/>
      <c r="X106" s="1"/>
    </row>
    <row r="107">
      <c r="A107" s="65">
        <v>140.0</v>
      </c>
      <c r="B107" s="65">
        <v>19847.0</v>
      </c>
      <c r="C107" s="66">
        <v>14.529</v>
      </c>
      <c r="D107" s="66">
        <v>15.102</v>
      </c>
      <c r="E107" s="66">
        <v>2.837</v>
      </c>
      <c r="F107" s="68">
        <v>1101.1</v>
      </c>
      <c r="G107" s="66">
        <v>0.8</v>
      </c>
      <c r="H107" s="66">
        <v>0.376</v>
      </c>
      <c r="I107" s="65">
        <v>382.8</v>
      </c>
      <c r="J107" s="65">
        <v>969.1</v>
      </c>
      <c r="K107" s="1">
        <v>26417.0</v>
      </c>
      <c r="L107" s="1">
        <v>100.0</v>
      </c>
      <c r="M107" s="23">
        <v>14.838</v>
      </c>
      <c r="N107" s="23">
        <f t="shared" si="6"/>
        <v>0.376</v>
      </c>
      <c r="O107" s="64">
        <f t="shared" si="7"/>
        <v>0.8</v>
      </c>
      <c r="P107" s="65"/>
      <c r="Q107" s="69"/>
      <c r="R107" s="12"/>
      <c r="S107" s="1"/>
      <c r="T107" s="1"/>
      <c r="U107" s="1"/>
      <c r="V107" s="26"/>
      <c r="W107" s="12"/>
      <c r="X107" s="1"/>
    </row>
    <row r="108">
      <c r="A108" s="65">
        <v>142.0</v>
      </c>
      <c r="B108" s="65">
        <v>21693.0</v>
      </c>
      <c r="C108" s="66">
        <v>15.399</v>
      </c>
      <c r="D108" s="66">
        <v>15.883</v>
      </c>
      <c r="E108" s="66">
        <v>3.057</v>
      </c>
      <c r="F108" s="68">
        <v>1101.1</v>
      </c>
      <c r="G108" s="66">
        <v>0.83</v>
      </c>
      <c r="H108" s="66">
        <v>0.376</v>
      </c>
      <c r="I108" s="65">
        <v>382.8</v>
      </c>
      <c r="J108" s="65">
        <v>969.1</v>
      </c>
      <c r="K108" s="1">
        <v>28874.0</v>
      </c>
      <c r="L108" s="1">
        <v>100.0</v>
      </c>
      <c r="M108" s="23">
        <v>14.718</v>
      </c>
      <c r="N108" s="23">
        <f t="shared" si="6"/>
        <v>0.376</v>
      </c>
      <c r="O108" s="64">
        <f t="shared" si="7"/>
        <v>0.83</v>
      </c>
      <c r="P108" s="65"/>
      <c r="Q108" s="69"/>
      <c r="R108" s="12"/>
      <c r="S108" s="1"/>
      <c r="T108" s="1"/>
      <c r="U108" s="1"/>
      <c r="V108" s="26"/>
      <c r="W108" s="12"/>
      <c r="X108" s="1"/>
    </row>
    <row r="109">
      <c r="A109" s="65">
        <v>144.0</v>
      </c>
      <c r="B109" s="65">
        <v>27231.0</v>
      </c>
      <c r="C109" s="66">
        <v>16.845</v>
      </c>
      <c r="D109" s="66">
        <v>17.331</v>
      </c>
      <c r="E109" s="66">
        <v>3.244</v>
      </c>
      <c r="F109" s="68">
        <v>1101.1</v>
      </c>
      <c r="G109" s="66">
        <v>0.83</v>
      </c>
      <c r="H109" s="66">
        <v>0.376</v>
      </c>
      <c r="I109" s="65">
        <v>382.8</v>
      </c>
      <c r="J109" s="65">
        <v>969.1</v>
      </c>
      <c r="K109" s="1">
        <v>36246.0</v>
      </c>
      <c r="L109" s="1">
        <v>100.0</v>
      </c>
      <c r="M109" s="23">
        <v>14.718</v>
      </c>
      <c r="N109" s="23">
        <f t="shared" si="6"/>
        <v>0.376</v>
      </c>
      <c r="O109" s="64">
        <f t="shared" si="7"/>
        <v>0.83</v>
      </c>
      <c r="P109" s="65"/>
      <c r="Q109" s="69"/>
      <c r="R109" s="12"/>
      <c r="S109" s="1"/>
      <c r="T109" s="1"/>
      <c r="U109" s="1"/>
      <c r="V109" s="23"/>
      <c r="W109" s="12"/>
      <c r="X109" s="1"/>
    </row>
    <row r="110">
      <c r="A110" s="65">
        <v>146.0</v>
      </c>
      <c r="B110" s="65">
        <v>24462.0</v>
      </c>
      <c r="C110" s="66">
        <v>16.421</v>
      </c>
      <c r="D110" s="66">
        <v>18.697</v>
      </c>
      <c r="E110" s="66">
        <v>3.241</v>
      </c>
      <c r="F110" s="68">
        <v>1101.1</v>
      </c>
      <c r="G110" s="66">
        <v>0.813</v>
      </c>
      <c r="H110" s="66">
        <v>0.376</v>
      </c>
      <c r="I110" s="65">
        <v>382.8</v>
      </c>
      <c r="J110" s="65">
        <v>887.1</v>
      </c>
      <c r="K110" s="1">
        <v>32560.0</v>
      </c>
      <c r="L110" s="1">
        <v>100.0</v>
      </c>
      <c r="M110" s="23">
        <v>15.005</v>
      </c>
      <c r="N110" s="23">
        <f t="shared" si="6"/>
        <v>0.376</v>
      </c>
      <c r="O110" s="64">
        <f t="shared" si="7"/>
        <v>0.813</v>
      </c>
      <c r="P110" s="65"/>
      <c r="Q110" s="66"/>
      <c r="R110" s="12"/>
      <c r="S110" s="1"/>
      <c r="T110" s="1"/>
      <c r="U110" s="1"/>
      <c r="V110" s="23"/>
      <c r="W110" s="12"/>
      <c r="X110" s="1"/>
    </row>
    <row r="111">
      <c r="A111" s="65">
        <v>148.0</v>
      </c>
      <c r="B111" s="65">
        <v>24462.0</v>
      </c>
      <c r="C111" s="66">
        <v>16.76</v>
      </c>
      <c r="D111" s="66">
        <v>14.872</v>
      </c>
      <c r="E111" s="66">
        <v>3.241</v>
      </c>
      <c r="F111" s="68">
        <v>1101.1</v>
      </c>
      <c r="G111" s="66">
        <v>0.813</v>
      </c>
      <c r="H111" s="66">
        <v>0.376</v>
      </c>
      <c r="I111" s="65">
        <v>382.8</v>
      </c>
      <c r="J111" s="65">
        <v>887.1</v>
      </c>
      <c r="K111" s="1">
        <v>32560.0</v>
      </c>
      <c r="L111" s="1">
        <v>99.0</v>
      </c>
      <c r="M111" s="23">
        <v>15.005</v>
      </c>
      <c r="N111" s="23">
        <f t="shared" si="6"/>
        <v>0.376</v>
      </c>
      <c r="O111" s="64">
        <f t="shared" si="7"/>
        <v>0.813</v>
      </c>
      <c r="P111" s="65"/>
      <c r="Q111" s="66"/>
      <c r="R111" s="12"/>
      <c r="S111" s="1"/>
      <c r="T111" s="1"/>
      <c r="U111" s="1"/>
      <c r="V111" s="23"/>
      <c r="W111" s="12"/>
      <c r="X111" s="1"/>
    </row>
    <row r="112">
      <c r="A112" s="39">
        <v>150.0</v>
      </c>
      <c r="B112" s="39">
        <v>24462.0</v>
      </c>
      <c r="C112" s="67">
        <v>16.58</v>
      </c>
      <c r="D112" s="67">
        <v>15.226</v>
      </c>
      <c r="E112" s="67">
        <v>3.278</v>
      </c>
      <c r="F112" s="71">
        <v>1101.1</v>
      </c>
      <c r="G112" s="67">
        <v>0.813</v>
      </c>
      <c r="H112" s="67">
        <v>0.386</v>
      </c>
      <c r="I112" s="39">
        <v>382.8</v>
      </c>
      <c r="J112" s="39">
        <v>887.1</v>
      </c>
      <c r="K112" s="1">
        <v>32560.0</v>
      </c>
      <c r="L112" s="1">
        <v>100.0</v>
      </c>
      <c r="M112" s="23">
        <v>14.979</v>
      </c>
      <c r="N112" s="23">
        <f t="shared" si="6"/>
        <v>0.386</v>
      </c>
      <c r="O112" s="64">
        <f t="shared" si="7"/>
        <v>0.813</v>
      </c>
      <c r="P112" s="65"/>
      <c r="Q112" s="66"/>
      <c r="R112" s="12"/>
      <c r="S112" s="1"/>
      <c r="T112" s="1"/>
      <c r="U112" s="1"/>
      <c r="V112" s="23"/>
      <c r="W112" s="12"/>
      <c r="X112" s="1"/>
    </row>
    <row r="113">
      <c r="A113" s="65">
        <v>152.0</v>
      </c>
      <c r="B113" s="65">
        <v>24462.0</v>
      </c>
      <c r="C113" s="66">
        <v>17.122</v>
      </c>
      <c r="D113" s="66">
        <v>14.956</v>
      </c>
      <c r="E113" s="69">
        <v>3.278</v>
      </c>
      <c r="F113" s="68">
        <v>1101.1</v>
      </c>
      <c r="G113" s="66">
        <v>0.783</v>
      </c>
      <c r="H113" s="66">
        <v>0.386</v>
      </c>
      <c r="I113" s="65">
        <v>382.8</v>
      </c>
      <c r="J113" s="65">
        <v>887.1</v>
      </c>
      <c r="K113" s="1">
        <v>32560.0</v>
      </c>
      <c r="L113" s="1">
        <v>100.0</v>
      </c>
      <c r="M113" s="23">
        <v>14.979</v>
      </c>
      <c r="N113" s="23">
        <f t="shared" si="6"/>
        <v>0.386</v>
      </c>
      <c r="O113" s="64">
        <f t="shared" si="7"/>
        <v>0.783</v>
      </c>
      <c r="P113" s="65"/>
      <c r="Q113" s="66"/>
      <c r="R113" s="12"/>
      <c r="S113" s="1"/>
      <c r="T113" s="1"/>
      <c r="U113" s="1"/>
      <c r="V113" s="23"/>
      <c r="W113" s="12"/>
      <c r="X113" s="1"/>
    </row>
    <row r="114">
      <c r="A114" s="65">
        <v>154.0</v>
      </c>
      <c r="B114" s="65">
        <v>24462.0</v>
      </c>
      <c r="C114" s="66">
        <v>17.133</v>
      </c>
      <c r="D114" s="66">
        <v>14.998</v>
      </c>
      <c r="E114" s="69">
        <v>3.315</v>
      </c>
      <c r="F114" s="68">
        <v>1101.1</v>
      </c>
      <c r="G114" s="66">
        <v>0.783</v>
      </c>
      <c r="H114" s="66">
        <v>0.386</v>
      </c>
      <c r="I114" s="65">
        <v>382.8</v>
      </c>
      <c r="J114" s="65">
        <v>887.1</v>
      </c>
      <c r="K114" s="1">
        <v>32560.0</v>
      </c>
      <c r="L114" s="1">
        <v>100.0</v>
      </c>
      <c r="M114" s="23">
        <v>14.913</v>
      </c>
      <c r="N114" s="23">
        <f t="shared" si="6"/>
        <v>0.386</v>
      </c>
      <c r="O114" s="64">
        <f t="shared" si="7"/>
        <v>0.783</v>
      </c>
      <c r="P114" s="65"/>
      <c r="Q114" s="66"/>
      <c r="R114" s="12"/>
      <c r="S114" s="1"/>
      <c r="T114" s="1"/>
      <c r="U114" s="1"/>
      <c r="V114" s="23"/>
      <c r="W114" s="12"/>
      <c r="X114" s="1"/>
    </row>
    <row r="115">
      <c r="A115" s="65">
        <v>157.0</v>
      </c>
      <c r="B115" s="65">
        <v>24462.0</v>
      </c>
      <c r="C115" s="66">
        <v>16.58</v>
      </c>
      <c r="D115" s="66">
        <v>14.525</v>
      </c>
      <c r="E115" s="66">
        <v>3.352</v>
      </c>
      <c r="F115" s="68">
        <v>1101.1</v>
      </c>
      <c r="G115" s="66">
        <v>0.783</v>
      </c>
      <c r="H115" s="66">
        <v>0.386</v>
      </c>
      <c r="I115" s="65">
        <v>382.8</v>
      </c>
      <c r="J115" s="65">
        <v>887.1</v>
      </c>
      <c r="K115" s="1">
        <v>32560.0</v>
      </c>
      <c r="L115" s="1">
        <v>100.0</v>
      </c>
      <c r="M115" s="23">
        <v>14.913</v>
      </c>
      <c r="N115" s="23">
        <f t="shared" si="6"/>
        <v>0.386</v>
      </c>
      <c r="O115" s="64">
        <f t="shared" si="7"/>
        <v>0.783</v>
      </c>
      <c r="P115" s="65"/>
      <c r="Q115" s="66"/>
      <c r="R115" s="12"/>
      <c r="S115" s="1"/>
      <c r="T115" s="1"/>
      <c r="U115" s="1"/>
      <c r="V115" s="23"/>
      <c r="W115" s="12"/>
      <c r="X115" s="1"/>
    </row>
    <row r="116">
      <c r="A116" s="65">
        <v>159.0</v>
      </c>
      <c r="B116" s="65">
        <v>20770.0</v>
      </c>
      <c r="C116" s="66">
        <v>15.212</v>
      </c>
      <c r="D116" s="66">
        <v>13.538</v>
      </c>
      <c r="E116" s="69">
        <v>3.202</v>
      </c>
      <c r="F116" s="68">
        <v>1086.1</v>
      </c>
      <c r="G116" s="66">
        <v>0.783</v>
      </c>
      <c r="H116" s="66">
        <v>0.386</v>
      </c>
      <c r="I116" s="65">
        <v>382.8</v>
      </c>
      <c r="J116" s="65">
        <v>887.1</v>
      </c>
      <c r="K116" s="1">
        <v>27645.0</v>
      </c>
      <c r="L116" s="1">
        <v>100.0</v>
      </c>
      <c r="M116" s="23">
        <v>14.913</v>
      </c>
      <c r="N116" s="23">
        <f t="shared" si="6"/>
        <v>0.386</v>
      </c>
      <c r="O116" s="64">
        <f t="shared" si="7"/>
        <v>0.783</v>
      </c>
      <c r="P116" s="39"/>
      <c r="Q116" s="67"/>
      <c r="R116" s="12"/>
      <c r="S116" s="1"/>
      <c r="T116" s="1"/>
      <c r="U116" s="1"/>
      <c r="V116" s="23"/>
      <c r="W116" s="12"/>
      <c r="X116" s="1"/>
    </row>
    <row r="117">
      <c r="A117" s="39" t="s">
        <v>500</v>
      </c>
      <c r="B117" s="39"/>
      <c r="C117" s="67"/>
      <c r="D117" s="76"/>
      <c r="E117" s="76"/>
      <c r="F117" s="71"/>
      <c r="G117" s="67"/>
      <c r="H117" s="67"/>
      <c r="I117" s="39"/>
      <c r="J117" s="39"/>
      <c r="K117" s="1"/>
      <c r="L117" s="1"/>
      <c r="M117" s="23"/>
      <c r="N117" s="23" t="str">
        <f t="shared" si="6"/>
        <v/>
      </c>
      <c r="O117" s="64" t="str">
        <f t="shared" si="7"/>
        <v/>
      </c>
      <c r="P117" s="39"/>
      <c r="Q117" s="67"/>
      <c r="R117" s="12"/>
      <c r="S117" s="1"/>
      <c r="T117" s="1"/>
      <c r="U117" s="1"/>
      <c r="V117" s="23"/>
      <c r="W117" s="12"/>
      <c r="X117" s="1"/>
    </row>
    <row r="118">
      <c r="A118" s="39">
        <v>161.0</v>
      </c>
      <c r="B118" s="39">
        <v>19847.0</v>
      </c>
      <c r="C118" s="67">
        <v>15.128</v>
      </c>
      <c r="D118" s="76">
        <v>12.242</v>
      </c>
      <c r="E118" s="67">
        <v>3.172</v>
      </c>
      <c r="F118" s="71">
        <v>1086.1</v>
      </c>
      <c r="G118" s="67">
        <v>0.777</v>
      </c>
      <c r="H118" s="67">
        <v>0.386</v>
      </c>
      <c r="I118" s="39">
        <v>382.8</v>
      </c>
      <c r="J118" s="39">
        <v>867.3</v>
      </c>
      <c r="K118" s="1">
        <v>26417.0</v>
      </c>
      <c r="L118" s="1">
        <v>100.0</v>
      </c>
      <c r="M118" s="23">
        <v>14.774</v>
      </c>
      <c r="N118" s="23">
        <f t="shared" si="6"/>
        <v>0.386</v>
      </c>
      <c r="O118" s="64">
        <f t="shared" si="7"/>
        <v>0.777</v>
      </c>
      <c r="P118" s="39"/>
      <c r="Q118" s="67"/>
      <c r="R118" s="12"/>
      <c r="S118" s="1"/>
      <c r="T118" s="1"/>
      <c r="U118" s="1"/>
      <c r="V118" s="23"/>
      <c r="W118" s="12"/>
      <c r="X118" s="1"/>
    </row>
    <row r="119">
      <c r="A119" s="39">
        <v>163.0</v>
      </c>
      <c r="B119" s="39">
        <v>19847.0</v>
      </c>
      <c r="C119" s="67">
        <v>15.105</v>
      </c>
      <c r="D119" s="76">
        <v>12.312</v>
      </c>
      <c r="E119" s="67">
        <v>2.752</v>
      </c>
      <c r="F119" s="71">
        <v>1086.1</v>
      </c>
      <c r="G119" s="67">
        <v>0.826</v>
      </c>
      <c r="H119" s="67">
        <v>0.386</v>
      </c>
      <c r="I119" s="39">
        <v>382.8</v>
      </c>
      <c r="J119" s="39">
        <v>949.3</v>
      </c>
      <c r="K119" s="1">
        <v>26417.0</v>
      </c>
      <c r="L119" s="1">
        <v>100.0</v>
      </c>
      <c r="M119" s="23">
        <v>14.774</v>
      </c>
      <c r="N119" s="23">
        <f t="shared" si="6"/>
        <v>0.386</v>
      </c>
      <c r="O119" s="64">
        <f t="shared" si="7"/>
        <v>0.826</v>
      </c>
      <c r="P119" s="65"/>
      <c r="Q119" s="66"/>
      <c r="R119" s="12"/>
      <c r="S119" s="1"/>
      <c r="T119" s="1"/>
      <c r="U119" s="1"/>
      <c r="V119" s="23"/>
      <c r="W119" s="12"/>
      <c r="X119" s="1"/>
    </row>
    <row r="120">
      <c r="A120" s="39">
        <v>165.0</v>
      </c>
      <c r="B120" s="39">
        <v>19622.0</v>
      </c>
      <c r="C120" s="76">
        <v>15.071</v>
      </c>
      <c r="D120" s="67">
        <v>12.156</v>
      </c>
      <c r="E120" s="67">
        <v>3.292</v>
      </c>
      <c r="F120" s="71">
        <v>1086.1</v>
      </c>
      <c r="G120" s="67">
        <v>0.83</v>
      </c>
      <c r="H120" s="67">
        <v>0.386</v>
      </c>
      <c r="I120" s="39">
        <v>382.8</v>
      </c>
      <c r="J120" s="39">
        <v>969.1</v>
      </c>
      <c r="K120" s="1">
        <v>26417.0</v>
      </c>
      <c r="L120" s="1">
        <v>100.0</v>
      </c>
      <c r="M120" s="23">
        <v>14.659</v>
      </c>
      <c r="N120" s="23">
        <f t="shared" si="6"/>
        <v>0.386</v>
      </c>
      <c r="O120" s="64">
        <f t="shared" si="7"/>
        <v>0.83</v>
      </c>
      <c r="P120" s="65"/>
      <c r="Q120" s="66"/>
      <c r="R120" s="12"/>
      <c r="S120" s="1"/>
      <c r="T120" s="1"/>
      <c r="U120" s="1"/>
      <c r="V120" s="23"/>
      <c r="W120" s="12"/>
      <c r="X120" s="1"/>
    </row>
    <row r="121">
      <c r="A121" s="39">
        <v>167.0</v>
      </c>
      <c r="B121" s="39">
        <v>19622.0</v>
      </c>
      <c r="C121" s="76">
        <v>15.037</v>
      </c>
      <c r="D121" s="67">
        <v>12.215</v>
      </c>
      <c r="E121" s="67">
        <v>3.366</v>
      </c>
      <c r="F121" s="71">
        <v>1086.1</v>
      </c>
      <c r="G121" s="67">
        <v>0.83</v>
      </c>
      <c r="H121" s="67">
        <v>0.386</v>
      </c>
      <c r="I121" s="39">
        <v>382.8</v>
      </c>
      <c r="J121" s="39">
        <v>969.1</v>
      </c>
      <c r="K121" s="1">
        <v>26417.0</v>
      </c>
      <c r="L121" s="1">
        <v>100.0</v>
      </c>
      <c r="M121" s="23">
        <v>14.659</v>
      </c>
      <c r="N121" s="23">
        <f t="shared" si="6"/>
        <v>0.386</v>
      </c>
      <c r="O121" s="64">
        <f t="shared" si="7"/>
        <v>0.83</v>
      </c>
      <c r="P121" s="65"/>
      <c r="Q121" s="66"/>
      <c r="R121" s="12"/>
      <c r="S121" s="1"/>
      <c r="T121" s="1"/>
      <c r="U121" s="1"/>
      <c r="V121" s="23"/>
      <c r="W121" s="12"/>
      <c r="X121" s="1"/>
    </row>
    <row r="122">
      <c r="A122" s="65">
        <v>169.0</v>
      </c>
      <c r="B122" s="65">
        <v>19847.0</v>
      </c>
      <c r="C122" s="69">
        <v>15.048</v>
      </c>
      <c r="D122" s="66">
        <v>11.828</v>
      </c>
      <c r="E122" s="66">
        <v>3.366</v>
      </c>
      <c r="F122" s="68">
        <v>1101.1</v>
      </c>
      <c r="G122" s="66">
        <v>0.83</v>
      </c>
      <c r="H122" s="66">
        <v>0.386</v>
      </c>
      <c r="I122" s="65">
        <v>382.8</v>
      </c>
      <c r="J122" s="65">
        <v>969.1</v>
      </c>
      <c r="K122" s="1">
        <v>26417.0</v>
      </c>
      <c r="L122" s="1">
        <v>100.0</v>
      </c>
      <c r="M122" s="23">
        <v>14.638</v>
      </c>
      <c r="N122" s="23">
        <f t="shared" si="6"/>
        <v>0.386</v>
      </c>
      <c r="O122" s="64">
        <f t="shared" si="7"/>
        <v>0.83</v>
      </c>
      <c r="P122" s="65"/>
      <c r="Q122" s="66"/>
      <c r="R122" s="12"/>
      <c r="S122" s="1"/>
      <c r="T122" s="1"/>
      <c r="U122" s="1"/>
      <c r="V122" s="23"/>
      <c r="W122" s="12"/>
      <c r="X122" s="1"/>
    </row>
    <row r="123">
      <c r="A123" s="65">
        <v>171.0</v>
      </c>
      <c r="B123" s="65">
        <v>19847.0</v>
      </c>
      <c r="C123" s="66">
        <v>15.06</v>
      </c>
      <c r="D123" s="66">
        <v>11.936</v>
      </c>
      <c r="E123" s="66">
        <v>3.366</v>
      </c>
      <c r="F123" s="68">
        <v>1101.1</v>
      </c>
      <c r="G123" s="66">
        <v>0.83</v>
      </c>
      <c r="H123" s="66">
        <v>0.386</v>
      </c>
      <c r="I123" s="65">
        <v>382.8</v>
      </c>
      <c r="J123" s="65">
        <v>969.1</v>
      </c>
      <c r="K123" s="1">
        <v>26417.0</v>
      </c>
      <c r="L123" s="1">
        <v>100.0</v>
      </c>
      <c r="M123" s="26">
        <v>14.638</v>
      </c>
      <c r="N123" s="23">
        <f t="shared" si="6"/>
        <v>0.386</v>
      </c>
      <c r="O123" s="64">
        <f t="shared" si="7"/>
        <v>0.83</v>
      </c>
      <c r="P123" s="65"/>
      <c r="Q123" s="66"/>
      <c r="R123" s="12"/>
      <c r="S123" s="1"/>
      <c r="T123" s="1"/>
      <c r="U123" s="1"/>
      <c r="V123" s="23"/>
      <c r="W123" s="12"/>
      <c r="X123" s="1"/>
    </row>
    <row r="124">
      <c r="A124" s="65">
        <v>173.0</v>
      </c>
      <c r="B124" s="65">
        <v>19847.0</v>
      </c>
      <c r="C124" s="66">
        <v>14.811</v>
      </c>
      <c r="D124" s="66">
        <v>11.3</v>
      </c>
      <c r="E124" s="66">
        <v>3.216</v>
      </c>
      <c r="F124" s="68">
        <v>1101.1</v>
      </c>
      <c r="G124" s="66">
        <v>0.83</v>
      </c>
      <c r="H124" s="66">
        <v>0.376</v>
      </c>
      <c r="I124" s="65">
        <v>382.8</v>
      </c>
      <c r="J124" s="65">
        <v>969.1</v>
      </c>
      <c r="K124" s="1">
        <v>26417.0</v>
      </c>
      <c r="L124" s="1">
        <v>100.0</v>
      </c>
      <c r="M124" s="26">
        <v>14.635</v>
      </c>
      <c r="N124" s="23">
        <f t="shared" si="6"/>
        <v>0.376</v>
      </c>
      <c r="O124" s="64">
        <f t="shared" si="7"/>
        <v>0.83</v>
      </c>
      <c r="P124" s="65"/>
      <c r="Q124" s="66"/>
      <c r="R124" s="12"/>
      <c r="S124" s="1"/>
      <c r="T124" s="1"/>
      <c r="U124" s="1"/>
      <c r="V124" s="23"/>
      <c r="W124" s="12"/>
      <c r="X124" s="1"/>
    </row>
    <row r="125">
      <c r="A125" s="65">
        <v>175.0</v>
      </c>
      <c r="B125" s="65">
        <v>19182.0</v>
      </c>
      <c r="C125" s="66">
        <v>14.811</v>
      </c>
      <c r="D125" s="66">
        <v>11.272</v>
      </c>
      <c r="E125" s="66">
        <v>2.796</v>
      </c>
      <c r="F125" s="68">
        <v>1101.1</v>
      </c>
      <c r="G125" s="66">
        <v>0.83</v>
      </c>
      <c r="H125" s="66">
        <v>0.376</v>
      </c>
      <c r="I125" s="65">
        <v>382.8</v>
      </c>
      <c r="J125" s="65">
        <v>969.1</v>
      </c>
      <c r="K125" s="1">
        <v>26417.0</v>
      </c>
      <c r="L125" s="1">
        <v>100.0</v>
      </c>
      <c r="M125" s="23">
        <v>14.635</v>
      </c>
      <c r="N125" s="23">
        <f t="shared" si="6"/>
        <v>0.376</v>
      </c>
      <c r="O125" s="64">
        <f t="shared" si="7"/>
        <v>0.83</v>
      </c>
      <c r="P125" s="65"/>
      <c r="Q125" s="66"/>
      <c r="R125" s="12"/>
      <c r="S125" s="1"/>
      <c r="T125" s="1"/>
      <c r="U125" s="1"/>
      <c r="V125" s="23"/>
      <c r="W125" s="12"/>
      <c r="X125" s="1"/>
    </row>
    <row r="126">
      <c r="A126" s="65">
        <v>177.0</v>
      </c>
      <c r="B126" s="65">
        <v>19847.0</v>
      </c>
      <c r="C126" s="66">
        <v>15.037</v>
      </c>
      <c r="D126" s="66">
        <v>11.481</v>
      </c>
      <c r="E126" s="66">
        <v>2.983</v>
      </c>
      <c r="F126" s="68">
        <v>1101.1</v>
      </c>
      <c r="G126" s="66">
        <v>0.83</v>
      </c>
      <c r="H126" s="66">
        <v>0.376</v>
      </c>
      <c r="I126" s="65">
        <v>382.8</v>
      </c>
      <c r="J126" s="65">
        <v>969.1</v>
      </c>
      <c r="K126" s="1">
        <v>26417.0</v>
      </c>
      <c r="L126" s="1">
        <v>100.0</v>
      </c>
      <c r="M126" s="23">
        <v>14.587</v>
      </c>
      <c r="N126" s="23">
        <f t="shared" si="6"/>
        <v>0.376</v>
      </c>
      <c r="O126" s="64">
        <f t="shared" si="7"/>
        <v>0.83</v>
      </c>
      <c r="P126" s="65"/>
      <c r="Q126" s="66"/>
      <c r="R126" s="12"/>
      <c r="S126" s="1"/>
      <c r="T126" s="1"/>
      <c r="U126" s="1"/>
      <c r="V126" s="23"/>
      <c r="W126" s="12"/>
      <c r="X126" s="1"/>
    </row>
    <row r="127">
      <c r="A127" s="65">
        <v>179.0</v>
      </c>
      <c r="B127" s="65">
        <v>19847.0</v>
      </c>
      <c r="C127" s="66">
        <v>16.167</v>
      </c>
      <c r="D127" s="66">
        <v>12.301</v>
      </c>
      <c r="E127" s="66">
        <v>2.863</v>
      </c>
      <c r="F127" s="68">
        <v>1101.1</v>
      </c>
      <c r="G127" s="66">
        <v>0.8</v>
      </c>
      <c r="H127" s="66">
        <v>0.376</v>
      </c>
      <c r="I127" s="65">
        <v>382.8</v>
      </c>
      <c r="J127" s="65">
        <v>969.1</v>
      </c>
      <c r="K127" s="1">
        <v>26417.0</v>
      </c>
      <c r="L127" s="1">
        <v>100.0</v>
      </c>
      <c r="M127" s="23">
        <v>14.587</v>
      </c>
      <c r="N127" s="23">
        <f t="shared" si="6"/>
        <v>0.376</v>
      </c>
      <c r="O127" s="64">
        <f t="shared" si="7"/>
        <v>0.8</v>
      </c>
      <c r="P127" s="65"/>
      <c r="Q127" s="66"/>
      <c r="R127" s="12"/>
      <c r="S127" s="1"/>
      <c r="T127" s="1"/>
      <c r="U127" s="1"/>
      <c r="V127" s="23"/>
      <c r="W127" s="12"/>
      <c r="X127" s="1"/>
    </row>
    <row r="128">
      <c r="A128" s="65">
        <v>181.0</v>
      </c>
      <c r="B128" s="65">
        <v>21693.0</v>
      </c>
      <c r="C128" s="66">
        <v>16.337</v>
      </c>
      <c r="D128" s="66">
        <v>12.571</v>
      </c>
      <c r="E128" s="66">
        <v>2.933</v>
      </c>
      <c r="F128" s="68">
        <v>1086.1</v>
      </c>
      <c r="G128" s="66">
        <v>1.033</v>
      </c>
      <c r="H128" s="66">
        <v>0.376</v>
      </c>
      <c r="I128" s="65">
        <v>382.8</v>
      </c>
      <c r="J128" s="65">
        <v>887.1</v>
      </c>
      <c r="K128" s="1">
        <v>28874.0</v>
      </c>
      <c r="L128" s="1">
        <v>100.0</v>
      </c>
      <c r="M128" s="23">
        <v>14.654</v>
      </c>
      <c r="N128" s="23">
        <f t="shared" si="6"/>
        <v>0.376</v>
      </c>
      <c r="O128">
        <f t="shared" si="7"/>
        <v>1</v>
      </c>
      <c r="P128" s="65"/>
      <c r="Q128" s="66"/>
      <c r="R128" s="12"/>
      <c r="S128" s="1"/>
      <c r="T128" s="1"/>
      <c r="U128" s="1"/>
      <c r="V128" s="23"/>
      <c r="W128" s="12"/>
      <c r="X128" s="1"/>
    </row>
    <row r="129">
      <c r="A129" s="65" t="s">
        <v>507</v>
      </c>
      <c r="B129" s="65"/>
      <c r="C129" s="66"/>
      <c r="D129" s="66"/>
      <c r="E129" s="66"/>
      <c r="F129" s="68"/>
      <c r="G129" s="66"/>
      <c r="H129" s="66"/>
      <c r="I129" s="65"/>
      <c r="J129" s="65"/>
      <c r="K129" s="1"/>
      <c r="L129" s="1"/>
      <c r="M129" s="23"/>
      <c r="N129" s="23" t="str">
        <f t="shared" si="6"/>
        <v/>
      </c>
      <c r="O129" s="64" t="str">
        <f t="shared" si="7"/>
        <v/>
      </c>
      <c r="P129" s="65"/>
      <c r="Q129" s="66"/>
      <c r="R129" s="12"/>
      <c r="S129" s="1"/>
      <c r="T129" s="1"/>
      <c r="U129" s="1"/>
      <c r="V129" s="23"/>
      <c r="W129" s="12"/>
      <c r="X129" s="1"/>
    </row>
    <row r="130">
      <c r="A130" s="65">
        <v>183.0</v>
      </c>
      <c r="B130" s="65">
        <v>21693.0</v>
      </c>
      <c r="C130" s="66">
        <v>16.337</v>
      </c>
      <c r="D130" s="66">
        <v>12.59</v>
      </c>
      <c r="E130" s="66">
        <v>3.524</v>
      </c>
      <c r="F130" s="68">
        <v>1086.1</v>
      </c>
      <c r="G130" s="66">
        <v>1.033</v>
      </c>
      <c r="H130" s="66">
        <v>0.378</v>
      </c>
      <c r="I130" s="65">
        <v>382.8</v>
      </c>
      <c r="J130" s="65">
        <v>887.1</v>
      </c>
      <c r="K130" s="1">
        <v>28874.0</v>
      </c>
      <c r="L130" s="1">
        <v>100.0</v>
      </c>
      <c r="M130" s="23">
        <v>14.654</v>
      </c>
      <c r="N130" s="23">
        <f t="shared" si="6"/>
        <v>0.378</v>
      </c>
      <c r="O130">
        <f t="shared" si="7"/>
        <v>1</v>
      </c>
      <c r="P130" s="65"/>
      <c r="Q130" s="66"/>
      <c r="R130" s="12"/>
      <c r="S130" s="1"/>
      <c r="T130" s="1"/>
      <c r="U130" s="1"/>
      <c r="V130" s="23"/>
      <c r="W130" s="12"/>
      <c r="X130" s="1"/>
    </row>
    <row r="131">
      <c r="A131" s="65">
        <v>185.0</v>
      </c>
      <c r="B131" s="65">
        <v>21693.0</v>
      </c>
      <c r="C131" s="66">
        <v>16.354</v>
      </c>
      <c r="D131" s="66">
        <v>12.711</v>
      </c>
      <c r="E131" s="66">
        <v>3.633</v>
      </c>
      <c r="F131" s="68">
        <v>1101.1</v>
      </c>
      <c r="G131" s="66">
        <v>1.033</v>
      </c>
      <c r="H131" s="66">
        <v>0.378</v>
      </c>
      <c r="I131" s="65">
        <v>382.8</v>
      </c>
      <c r="J131" s="65">
        <v>887.1</v>
      </c>
      <c r="K131" s="1">
        <v>28874.0</v>
      </c>
      <c r="L131" s="1">
        <v>100.0</v>
      </c>
      <c r="M131" s="23">
        <v>14.695</v>
      </c>
      <c r="N131" s="23">
        <f t="shared" si="6"/>
        <v>0.378</v>
      </c>
      <c r="O131">
        <f t="shared" si="7"/>
        <v>1</v>
      </c>
      <c r="P131" s="65"/>
      <c r="Q131" s="66"/>
      <c r="R131" s="12"/>
      <c r="S131" s="1"/>
      <c r="T131" s="1"/>
      <c r="U131" s="1"/>
      <c r="V131" s="23"/>
      <c r="W131" s="12"/>
      <c r="X131" s="1"/>
    </row>
    <row r="132">
      <c r="A132" s="65">
        <v>187.0</v>
      </c>
      <c r="B132" s="65">
        <v>21693.0</v>
      </c>
      <c r="C132" s="66">
        <v>15.811</v>
      </c>
      <c r="D132" s="66">
        <v>12.77</v>
      </c>
      <c r="E132" s="66">
        <v>3.905</v>
      </c>
      <c r="F132" s="68">
        <v>1101.1</v>
      </c>
      <c r="G132" s="66">
        <v>1.033</v>
      </c>
      <c r="H132" s="66">
        <v>0.378</v>
      </c>
      <c r="I132" s="65">
        <v>382.8</v>
      </c>
      <c r="J132" s="65">
        <v>887.1</v>
      </c>
      <c r="K132" s="1">
        <v>28874.0</v>
      </c>
      <c r="L132" s="1">
        <v>100.0</v>
      </c>
      <c r="M132" s="26">
        <v>14.695</v>
      </c>
      <c r="N132" s="23">
        <f t="shared" si="6"/>
        <v>0.378</v>
      </c>
      <c r="O132">
        <f t="shared" si="7"/>
        <v>1</v>
      </c>
      <c r="P132" s="65"/>
      <c r="Q132" s="66"/>
      <c r="R132" s="12"/>
      <c r="S132" s="1"/>
      <c r="T132" s="1"/>
      <c r="U132" s="1"/>
      <c r="V132" s="23"/>
      <c r="W132" s="12"/>
      <c r="X132" s="1"/>
    </row>
    <row r="133">
      <c r="A133" s="65">
        <v>189.0</v>
      </c>
      <c r="B133" s="65">
        <v>21693.0</v>
      </c>
      <c r="C133" s="66">
        <v>15.133</v>
      </c>
      <c r="D133" s="66">
        <v>12.196</v>
      </c>
      <c r="E133" s="66">
        <v>3.905</v>
      </c>
      <c r="F133" s="68">
        <v>1101.1</v>
      </c>
      <c r="G133" s="66">
        <v>1.063</v>
      </c>
      <c r="H133" s="66">
        <v>0.378</v>
      </c>
      <c r="I133" s="65">
        <v>382.8</v>
      </c>
      <c r="J133" s="65">
        <v>887.1</v>
      </c>
      <c r="K133" s="1">
        <v>28874.0</v>
      </c>
      <c r="L133" s="1">
        <v>100.0</v>
      </c>
      <c r="M133" s="26">
        <v>14.654</v>
      </c>
      <c r="N133" s="23">
        <f t="shared" si="6"/>
        <v>0.378</v>
      </c>
      <c r="O133">
        <f t="shared" si="7"/>
        <v>1</v>
      </c>
      <c r="P133" s="39"/>
      <c r="Q133" s="67"/>
      <c r="R133" s="12"/>
      <c r="S133" s="1"/>
      <c r="T133" s="1"/>
      <c r="U133" s="1"/>
      <c r="V133" s="23"/>
      <c r="W133" s="12"/>
      <c r="X133" s="1"/>
    </row>
    <row r="134">
      <c r="A134" s="39">
        <v>191.0</v>
      </c>
      <c r="B134" s="39">
        <v>21693.0</v>
      </c>
      <c r="C134" s="67">
        <v>15.483</v>
      </c>
      <c r="D134" s="67">
        <v>12.225</v>
      </c>
      <c r="E134" s="67">
        <v>4.404</v>
      </c>
      <c r="F134" s="71">
        <v>1101.1</v>
      </c>
      <c r="G134" s="67">
        <v>1.063</v>
      </c>
      <c r="H134" s="67">
        <v>1.379</v>
      </c>
      <c r="I134" s="39">
        <v>382.8</v>
      </c>
      <c r="J134" s="39">
        <v>887.1</v>
      </c>
      <c r="K134" s="1">
        <v>28874.0</v>
      </c>
      <c r="L134" s="1">
        <v>100.0</v>
      </c>
      <c r="M134" s="26">
        <v>14.654</v>
      </c>
      <c r="N134" s="23">
        <f t="shared" si="6"/>
        <v>1</v>
      </c>
      <c r="O134">
        <f t="shared" si="7"/>
        <v>1</v>
      </c>
      <c r="P134" s="65"/>
      <c r="Q134" s="66"/>
      <c r="R134" s="12"/>
      <c r="S134" s="1"/>
      <c r="T134" s="1"/>
      <c r="U134" s="1"/>
      <c r="V134" s="23"/>
      <c r="W134" s="12"/>
      <c r="X134" s="1"/>
    </row>
    <row r="135">
      <c r="A135" s="65">
        <v>193.0</v>
      </c>
      <c r="B135" s="65">
        <v>21693.0</v>
      </c>
      <c r="C135" s="66">
        <v>15.822</v>
      </c>
      <c r="D135" s="66">
        <v>12.122</v>
      </c>
      <c r="E135" s="66">
        <v>4.404</v>
      </c>
      <c r="F135" s="68">
        <v>1101.1</v>
      </c>
      <c r="G135" s="66">
        <v>1.063</v>
      </c>
      <c r="H135" s="66">
        <v>1.386</v>
      </c>
      <c r="I135" s="65">
        <v>382.8</v>
      </c>
      <c r="J135" s="65">
        <v>887.1</v>
      </c>
      <c r="K135" s="1">
        <v>28874.0</v>
      </c>
      <c r="L135" s="1">
        <v>100.0</v>
      </c>
      <c r="M135" s="23">
        <v>14.654</v>
      </c>
      <c r="N135" s="23">
        <f t="shared" si="6"/>
        <v>1</v>
      </c>
      <c r="O135">
        <f t="shared" si="7"/>
        <v>1</v>
      </c>
      <c r="P135" s="65"/>
      <c r="Q135" s="66"/>
      <c r="R135" s="12"/>
      <c r="S135" s="1"/>
      <c r="T135" s="1"/>
      <c r="U135" s="1"/>
      <c r="V135" s="23"/>
      <c r="W135" s="12"/>
      <c r="X135" s="1"/>
    </row>
    <row r="136">
      <c r="A136" s="65">
        <v>195.0</v>
      </c>
      <c r="B136" s="65">
        <v>19847.0</v>
      </c>
      <c r="C136" s="66">
        <v>15.111</v>
      </c>
      <c r="D136" s="66">
        <v>11.85</v>
      </c>
      <c r="E136" s="69">
        <v>4.327</v>
      </c>
      <c r="F136" s="68">
        <v>1101.1</v>
      </c>
      <c r="G136" s="66">
        <v>0.83</v>
      </c>
      <c r="H136" s="66">
        <v>1.386</v>
      </c>
      <c r="I136" s="65">
        <v>382.8</v>
      </c>
      <c r="J136" s="65">
        <v>969.1</v>
      </c>
      <c r="K136" s="1">
        <v>26417.0</v>
      </c>
      <c r="L136" s="1">
        <v>100.0</v>
      </c>
      <c r="M136" s="23">
        <v>14.594</v>
      </c>
      <c r="N136" s="23">
        <f t="shared" si="6"/>
        <v>1</v>
      </c>
      <c r="O136" s="64">
        <f t="shared" si="7"/>
        <v>0.83</v>
      </c>
      <c r="P136" s="39"/>
      <c r="Q136" s="67"/>
      <c r="R136" s="12"/>
      <c r="S136" s="1"/>
      <c r="T136" s="1"/>
      <c r="U136" s="1"/>
      <c r="V136" s="23"/>
      <c r="W136" s="12"/>
      <c r="X136" s="1"/>
    </row>
    <row r="137">
      <c r="A137" s="65">
        <v>197.0</v>
      </c>
      <c r="B137" s="65">
        <v>19847.0</v>
      </c>
      <c r="C137" s="66">
        <v>15.156</v>
      </c>
      <c r="D137" s="66">
        <v>11.898</v>
      </c>
      <c r="E137" s="66">
        <v>4.327</v>
      </c>
      <c r="F137" s="68">
        <v>1086.1</v>
      </c>
      <c r="G137" s="66">
        <v>0.83</v>
      </c>
      <c r="H137" s="66">
        <v>0.376</v>
      </c>
      <c r="I137" s="65">
        <v>382.8</v>
      </c>
      <c r="J137" s="65">
        <v>969.1</v>
      </c>
      <c r="K137" s="1">
        <v>26417.0</v>
      </c>
      <c r="L137" s="1">
        <v>100.0</v>
      </c>
      <c r="M137" s="23">
        <v>14.594</v>
      </c>
      <c r="N137" s="23">
        <f t="shared" si="6"/>
        <v>0.376</v>
      </c>
      <c r="O137" s="64">
        <f t="shared" si="7"/>
        <v>0.83</v>
      </c>
      <c r="P137" s="65"/>
      <c r="Q137" s="66"/>
      <c r="R137" s="12"/>
      <c r="S137" s="1"/>
      <c r="T137" s="1"/>
      <c r="U137" s="1"/>
      <c r="V137" s="23"/>
      <c r="W137" s="12"/>
      <c r="X137" s="1"/>
    </row>
    <row r="138">
      <c r="A138" s="65">
        <v>199.0</v>
      </c>
      <c r="B138" s="65">
        <v>19847.0</v>
      </c>
      <c r="C138" s="66">
        <v>15.178</v>
      </c>
      <c r="D138" s="66">
        <v>14.786</v>
      </c>
      <c r="E138" s="66">
        <v>4.327</v>
      </c>
      <c r="F138" s="68">
        <v>1086.1</v>
      </c>
      <c r="G138" s="66">
        <v>0.83</v>
      </c>
      <c r="H138" s="66">
        <v>0.376</v>
      </c>
      <c r="I138" s="65">
        <v>382.8</v>
      </c>
      <c r="J138" s="65">
        <v>969.1</v>
      </c>
      <c r="K138" s="1">
        <v>26417.0</v>
      </c>
      <c r="L138" s="1">
        <v>100.0</v>
      </c>
      <c r="M138" s="23">
        <v>14.687</v>
      </c>
      <c r="N138" s="23">
        <f t="shared" si="6"/>
        <v>0.376</v>
      </c>
      <c r="O138" s="64">
        <f t="shared" si="7"/>
        <v>0.83</v>
      </c>
      <c r="P138" s="39"/>
      <c r="Q138" s="67"/>
      <c r="R138" s="12"/>
      <c r="S138" s="1"/>
      <c r="T138" s="1"/>
      <c r="U138" s="1"/>
      <c r="V138" s="23"/>
      <c r="W138" s="12"/>
      <c r="X138" s="1"/>
    </row>
    <row r="139">
      <c r="A139" s="65">
        <v>201.0</v>
      </c>
      <c r="B139" s="65">
        <v>19847.0</v>
      </c>
      <c r="C139" s="66">
        <v>15.201</v>
      </c>
      <c r="D139" s="66">
        <v>14.897</v>
      </c>
      <c r="E139" s="66">
        <v>3.95</v>
      </c>
      <c r="F139" s="68">
        <v>1086.1</v>
      </c>
      <c r="G139" s="66">
        <v>0.83</v>
      </c>
      <c r="H139" s="66">
        <v>1.376</v>
      </c>
      <c r="I139" s="65">
        <v>382.8</v>
      </c>
      <c r="J139" s="65">
        <v>969.1</v>
      </c>
      <c r="K139" s="1">
        <v>26417.0</v>
      </c>
      <c r="L139" s="1">
        <v>100.0</v>
      </c>
      <c r="M139" s="23">
        <v>14.687</v>
      </c>
      <c r="N139" s="23">
        <f t="shared" si="6"/>
        <v>1</v>
      </c>
      <c r="O139" s="64">
        <f t="shared" si="7"/>
        <v>0.83</v>
      </c>
      <c r="P139" s="39"/>
      <c r="Q139" s="67"/>
      <c r="R139" s="12"/>
      <c r="S139" s="1"/>
      <c r="T139" s="1"/>
      <c r="U139" s="1"/>
      <c r="V139" s="23"/>
      <c r="W139" s="12"/>
      <c r="X139" s="1"/>
    </row>
    <row r="140">
      <c r="A140" s="39">
        <v>203.0</v>
      </c>
      <c r="B140" s="39">
        <v>19847.0</v>
      </c>
      <c r="C140" s="67">
        <v>15.054</v>
      </c>
      <c r="D140" s="67">
        <v>14.947</v>
      </c>
      <c r="E140" s="67">
        <v>3.224</v>
      </c>
      <c r="F140" s="71">
        <v>1101.1</v>
      </c>
      <c r="G140" s="67">
        <v>0.83</v>
      </c>
      <c r="H140" s="67">
        <v>1.376</v>
      </c>
      <c r="I140" s="39">
        <v>382.8</v>
      </c>
      <c r="J140" s="39">
        <v>969.1</v>
      </c>
      <c r="K140" s="1">
        <v>26417.0</v>
      </c>
      <c r="L140" s="1">
        <v>100.0</v>
      </c>
      <c r="M140" s="23">
        <v>14.69</v>
      </c>
      <c r="N140" s="23">
        <f t="shared" si="6"/>
        <v>1</v>
      </c>
      <c r="O140" s="64">
        <f t="shared" si="7"/>
        <v>0.83</v>
      </c>
      <c r="P140" s="39"/>
      <c r="Q140" s="67"/>
      <c r="R140" s="12"/>
      <c r="S140" s="1"/>
      <c r="T140" s="1"/>
      <c r="U140" s="1"/>
      <c r="V140" s="23"/>
      <c r="W140" s="12"/>
      <c r="X140" s="1"/>
    </row>
    <row r="141">
      <c r="A141" s="65">
        <v>205.0</v>
      </c>
      <c r="B141" s="65">
        <v>19847.0</v>
      </c>
      <c r="C141" s="66">
        <v>15.065</v>
      </c>
      <c r="D141" s="66">
        <v>14.748</v>
      </c>
      <c r="E141" s="66">
        <v>3.644</v>
      </c>
      <c r="F141" s="68">
        <v>1101.1</v>
      </c>
      <c r="G141" s="66">
        <v>0.83</v>
      </c>
      <c r="H141" s="66">
        <v>1.379</v>
      </c>
      <c r="I141" s="65">
        <v>382.8</v>
      </c>
      <c r="J141" s="65">
        <v>969.1</v>
      </c>
      <c r="K141" s="1">
        <v>26417.0</v>
      </c>
      <c r="L141" s="1">
        <v>100.0</v>
      </c>
      <c r="M141" s="23">
        <v>14.69</v>
      </c>
      <c r="N141" s="23">
        <f t="shared" si="6"/>
        <v>1</v>
      </c>
      <c r="O141" s="64">
        <f t="shared" si="7"/>
        <v>0.83</v>
      </c>
      <c r="P141" s="39"/>
      <c r="Q141" s="67"/>
      <c r="R141" s="12"/>
      <c r="S141" s="1"/>
      <c r="T141" s="1"/>
      <c r="U141" s="1"/>
      <c r="V141" s="23"/>
      <c r="W141" s="12"/>
      <c r="X141" s="1"/>
    </row>
    <row r="142">
      <c r="A142" s="65">
        <v>207.0</v>
      </c>
      <c r="B142" s="65">
        <v>19847.0</v>
      </c>
      <c r="C142" s="66">
        <v>14.862</v>
      </c>
      <c r="D142" s="66">
        <v>14.464</v>
      </c>
      <c r="E142" s="66">
        <v>3.614</v>
      </c>
      <c r="F142" s="68">
        <v>1101.1</v>
      </c>
      <c r="G142" s="66">
        <v>0.83</v>
      </c>
      <c r="H142" s="66">
        <v>0.378</v>
      </c>
      <c r="I142" s="65">
        <v>382.8</v>
      </c>
      <c r="J142" s="65">
        <v>969.1</v>
      </c>
      <c r="K142" s="1">
        <v>26417.0</v>
      </c>
      <c r="L142" s="1">
        <v>100.0</v>
      </c>
      <c r="M142" s="23">
        <v>14.644</v>
      </c>
      <c r="N142" s="23">
        <f t="shared" si="6"/>
        <v>0.378</v>
      </c>
      <c r="O142" s="64">
        <f t="shared" si="7"/>
        <v>0.83</v>
      </c>
      <c r="P142" s="39"/>
      <c r="Q142" s="67"/>
      <c r="R142" s="12"/>
      <c r="S142" s="1"/>
      <c r="T142" s="1"/>
      <c r="U142" s="1"/>
      <c r="V142" s="23"/>
      <c r="W142" s="12"/>
      <c r="X142" s="1"/>
    </row>
    <row r="143">
      <c r="A143" s="65">
        <v>209.0</v>
      </c>
      <c r="B143" s="65">
        <v>19847.0</v>
      </c>
      <c r="C143" s="66">
        <v>14.297</v>
      </c>
      <c r="D143" s="66">
        <v>11.977</v>
      </c>
      <c r="E143" s="69">
        <v>3.614</v>
      </c>
      <c r="F143" s="68">
        <v>1101.1</v>
      </c>
      <c r="G143" s="66">
        <v>0.83</v>
      </c>
      <c r="H143" s="66">
        <v>0.386</v>
      </c>
      <c r="I143" s="65">
        <v>382.8</v>
      </c>
      <c r="J143" s="65">
        <v>969.1</v>
      </c>
      <c r="K143" s="1">
        <v>26417.0</v>
      </c>
      <c r="L143" s="1">
        <v>100.0</v>
      </c>
      <c r="M143" s="26">
        <v>14.644</v>
      </c>
      <c r="N143" s="23">
        <f t="shared" si="6"/>
        <v>0.386</v>
      </c>
      <c r="O143" s="64">
        <f t="shared" si="7"/>
        <v>0.83</v>
      </c>
      <c r="P143" s="39"/>
      <c r="Q143" s="67"/>
      <c r="R143" s="12"/>
      <c r="S143" s="1"/>
      <c r="T143" s="1"/>
      <c r="U143" s="1"/>
      <c r="V143" s="23"/>
      <c r="W143" s="12"/>
      <c r="X143" s="1"/>
    </row>
    <row r="144">
      <c r="A144" s="65">
        <v>212.0</v>
      </c>
      <c r="B144" s="65">
        <v>19847.0</v>
      </c>
      <c r="C144" s="66">
        <v>13.969</v>
      </c>
      <c r="D144" s="66">
        <v>11.787</v>
      </c>
      <c r="E144" s="69">
        <v>3.614</v>
      </c>
      <c r="F144" s="68">
        <v>1101.1</v>
      </c>
      <c r="G144" s="66">
        <v>0.83</v>
      </c>
      <c r="H144" s="66">
        <v>0.386</v>
      </c>
      <c r="I144" s="65">
        <v>382.8</v>
      </c>
      <c r="J144" s="65">
        <v>969.1</v>
      </c>
      <c r="K144" s="1">
        <v>26417.0</v>
      </c>
      <c r="L144" s="1">
        <v>100.0</v>
      </c>
      <c r="M144" s="26">
        <v>14.616</v>
      </c>
      <c r="N144" s="23">
        <f t="shared" si="6"/>
        <v>0.386</v>
      </c>
      <c r="O144" s="64">
        <f t="shared" si="7"/>
        <v>0.83</v>
      </c>
      <c r="P144" s="39"/>
      <c r="Q144" s="67"/>
      <c r="R144" s="12"/>
      <c r="S144" s="1"/>
      <c r="T144" s="1"/>
      <c r="U144" s="1"/>
      <c r="V144" s="23"/>
      <c r="W144" s="12"/>
      <c r="X144" s="1"/>
    </row>
    <row r="145">
      <c r="A145" s="65">
        <v>214.0</v>
      </c>
      <c r="B145" s="65">
        <v>19847.0</v>
      </c>
      <c r="C145" s="66">
        <v>14.297</v>
      </c>
      <c r="D145" s="66">
        <v>12.111</v>
      </c>
      <c r="E145" s="69">
        <v>3.614</v>
      </c>
      <c r="F145" s="68">
        <v>1101.1</v>
      </c>
      <c r="G145" s="66">
        <v>0.813</v>
      </c>
      <c r="H145" s="66">
        <v>0.386</v>
      </c>
      <c r="I145" s="65">
        <v>382.8</v>
      </c>
      <c r="J145" s="65">
        <v>887.1</v>
      </c>
      <c r="K145" s="1">
        <v>26417.0</v>
      </c>
      <c r="L145" s="1">
        <v>100.0</v>
      </c>
      <c r="M145" s="23">
        <v>14.616</v>
      </c>
      <c r="N145" s="23">
        <f t="shared" si="6"/>
        <v>0.386</v>
      </c>
      <c r="O145" s="64">
        <f t="shared" si="7"/>
        <v>0.813</v>
      </c>
      <c r="P145" s="39"/>
      <c r="Q145" s="67"/>
      <c r="R145" s="12"/>
      <c r="S145" s="1"/>
      <c r="T145" s="1"/>
      <c r="U145" s="1"/>
      <c r="V145" s="23"/>
      <c r="W145" s="12"/>
      <c r="X145" s="1"/>
    </row>
    <row r="146">
      <c r="A146" s="65">
        <v>216.0</v>
      </c>
      <c r="B146" s="65">
        <v>21693.0</v>
      </c>
      <c r="C146" s="66">
        <v>15.596</v>
      </c>
      <c r="D146" s="66">
        <v>13.222</v>
      </c>
      <c r="E146" s="69">
        <v>3.684</v>
      </c>
      <c r="F146" s="68">
        <v>1101.1</v>
      </c>
      <c r="G146" s="66">
        <v>0.813</v>
      </c>
      <c r="H146" s="66">
        <v>0.386</v>
      </c>
      <c r="I146" s="65">
        <v>382.8</v>
      </c>
      <c r="J146" s="65">
        <v>887.1</v>
      </c>
      <c r="K146" s="1">
        <v>28874.0</v>
      </c>
      <c r="L146" s="1">
        <v>100.0</v>
      </c>
      <c r="M146" s="23">
        <v>14.734</v>
      </c>
      <c r="N146" s="23">
        <f t="shared" si="6"/>
        <v>0.386</v>
      </c>
      <c r="O146" s="64">
        <f t="shared" si="7"/>
        <v>0.813</v>
      </c>
      <c r="P146" s="65"/>
      <c r="Q146" s="66"/>
      <c r="R146" s="12"/>
      <c r="S146" s="1"/>
      <c r="T146" s="1"/>
      <c r="U146" s="1"/>
      <c r="V146" s="23"/>
      <c r="W146" s="12"/>
      <c r="X146" s="1"/>
    </row>
    <row r="147">
      <c r="A147" s="65">
        <v>218.0</v>
      </c>
      <c r="B147" s="65">
        <v>25385.0</v>
      </c>
      <c r="C147" s="66">
        <v>16.602</v>
      </c>
      <c r="D147" s="66">
        <v>13.9</v>
      </c>
      <c r="E147" s="66">
        <v>3.984</v>
      </c>
      <c r="F147" s="68">
        <v>1101.1</v>
      </c>
      <c r="G147" s="66">
        <v>1.063</v>
      </c>
      <c r="H147" s="66">
        <v>0.376</v>
      </c>
      <c r="I147" s="65">
        <v>382.8</v>
      </c>
      <c r="J147" s="65">
        <v>887.1</v>
      </c>
      <c r="K147" s="1">
        <v>33789.0</v>
      </c>
      <c r="L147" s="1">
        <v>100.0</v>
      </c>
      <c r="M147" s="23">
        <v>14.734</v>
      </c>
      <c r="N147" s="23">
        <f t="shared" si="6"/>
        <v>0.376</v>
      </c>
      <c r="O147">
        <f t="shared" si="7"/>
        <v>1</v>
      </c>
      <c r="P147" s="1"/>
      <c r="Q147" s="26"/>
      <c r="R147" s="12"/>
      <c r="S147" s="1"/>
      <c r="T147" s="1"/>
      <c r="U147" s="1"/>
      <c r="V147" s="23"/>
      <c r="W147" s="12"/>
      <c r="X147" s="1"/>
    </row>
    <row r="148">
      <c r="A148" s="65">
        <v>220.0</v>
      </c>
      <c r="B148" s="65">
        <v>24462.0</v>
      </c>
      <c r="C148" s="69">
        <v>16.342</v>
      </c>
      <c r="D148" s="66">
        <v>13.681</v>
      </c>
      <c r="E148" s="66">
        <v>3.944</v>
      </c>
      <c r="F148" s="68">
        <v>1101.1</v>
      </c>
      <c r="G148" s="66">
        <v>1.063</v>
      </c>
      <c r="H148" s="66">
        <v>0.376</v>
      </c>
      <c r="I148" s="65">
        <v>382.8</v>
      </c>
      <c r="J148" s="65">
        <v>887.1</v>
      </c>
      <c r="K148" s="1">
        <v>32560.0</v>
      </c>
      <c r="L148" s="1">
        <v>100.0</v>
      </c>
      <c r="M148" s="23">
        <v>14.734</v>
      </c>
      <c r="N148" s="23">
        <f t="shared" si="6"/>
        <v>0.376</v>
      </c>
      <c r="O148">
        <f t="shared" si="7"/>
        <v>1</v>
      </c>
      <c r="P148" s="1"/>
      <c r="Q148" s="26"/>
      <c r="R148" s="12"/>
      <c r="S148" s="1"/>
      <c r="T148" s="1"/>
      <c r="U148" s="1"/>
      <c r="V148" s="23"/>
      <c r="W148" s="12"/>
      <c r="X148" s="1"/>
    </row>
    <row r="149">
      <c r="A149" s="65">
        <v>222.0</v>
      </c>
      <c r="B149" s="65">
        <v>23643.0</v>
      </c>
      <c r="C149" s="66">
        <v>15.209</v>
      </c>
      <c r="D149" s="66">
        <v>13.437</v>
      </c>
      <c r="E149" s="66">
        <v>3.195</v>
      </c>
      <c r="F149" s="68">
        <v>1046.8</v>
      </c>
      <c r="G149" s="66">
        <v>1.051</v>
      </c>
      <c r="H149" s="66">
        <v>0.376</v>
      </c>
      <c r="I149" s="65">
        <v>382.8</v>
      </c>
      <c r="J149" s="65">
        <v>847.9</v>
      </c>
      <c r="K149" s="1">
        <v>32560.0</v>
      </c>
      <c r="L149" s="1">
        <v>100.0</v>
      </c>
      <c r="M149" s="23">
        <v>14.91</v>
      </c>
      <c r="N149" s="23">
        <f t="shared" si="6"/>
        <v>0.376</v>
      </c>
      <c r="O149">
        <f t="shared" si="7"/>
        <v>1</v>
      </c>
      <c r="P149" s="1"/>
      <c r="Q149" s="26"/>
      <c r="R149" s="12"/>
      <c r="S149" s="1"/>
      <c r="T149" s="1"/>
      <c r="U149" s="1"/>
      <c r="V149" s="23"/>
      <c r="W149" s="12"/>
      <c r="X149" s="1"/>
    </row>
    <row r="150">
      <c r="A150" s="65">
        <v>224.0</v>
      </c>
      <c r="B150" s="65">
        <v>24462.0</v>
      </c>
      <c r="C150" s="66">
        <v>16.297</v>
      </c>
      <c r="D150" s="66">
        <v>13.982</v>
      </c>
      <c r="E150" s="66">
        <v>3.195</v>
      </c>
      <c r="F150" s="68">
        <v>1086.1</v>
      </c>
      <c r="G150" s="66">
        <v>1.063</v>
      </c>
      <c r="H150" s="66">
        <v>0.376</v>
      </c>
      <c r="I150" s="65">
        <v>382.8</v>
      </c>
      <c r="J150" s="65">
        <v>887.1</v>
      </c>
      <c r="K150" s="1">
        <v>32560.0</v>
      </c>
      <c r="L150" s="1">
        <v>100.0</v>
      </c>
      <c r="M150" s="23">
        <v>14.91</v>
      </c>
      <c r="N150" s="23">
        <f t="shared" si="6"/>
        <v>0.376</v>
      </c>
      <c r="O150">
        <f t="shared" si="7"/>
        <v>1</v>
      </c>
      <c r="P150" s="1"/>
      <c r="Q150" s="26"/>
      <c r="R150" s="12"/>
      <c r="S150" s="1"/>
      <c r="T150" s="1"/>
      <c r="U150" s="1"/>
      <c r="V150" s="23"/>
      <c r="W150" s="12"/>
      <c r="X150" s="1"/>
    </row>
    <row r="151">
      <c r="A151" s="65">
        <v>226.0</v>
      </c>
      <c r="B151" s="65">
        <v>24462.0</v>
      </c>
      <c r="C151" s="66">
        <v>16.286</v>
      </c>
      <c r="D151" s="66">
        <v>13.982</v>
      </c>
      <c r="E151" s="66">
        <v>3.195</v>
      </c>
      <c r="F151" s="68">
        <v>1086.1</v>
      </c>
      <c r="G151" s="66">
        <v>1.063</v>
      </c>
      <c r="H151" s="66">
        <v>0.376</v>
      </c>
      <c r="I151" s="65">
        <v>382.8</v>
      </c>
      <c r="J151" s="65">
        <v>887.1</v>
      </c>
      <c r="K151" s="1">
        <v>32560.0</v>
      </c>
      <c r="L151" s="1">
        <v>100.0</v>
      </c>
      <c r="M151" s="23">
        <v>14.908</v>
      </c>
      <c r="N151" s="23">
        <f t="shared" si="6"/>
        <v>0.376</v>
      </c>
      <c r="O151">
        <f t="shared" si="7"/>
        <v>1</v>
      </c>
      <c r="P151" s="1"/>
      <c r="Q151" s="23"/>
      <c r="R151" s="12"/>
      <c r="S151" s="1"/>
      <c r="T151" s="1"/>
      <c r="U151" s="1"/>
      <c r="V151" s="23"/>
      <c r="W151" s="12"/>
      <c r="X151" s="1"/>
    </row>
    <row r="152">
      <c r="A152" s="65">
        <v>228.0</v>
      </c>
      <c r="B152" s="65">
        <v>24462.0</v>
      </c>
      <c r="C152" s="69">
        <v>16.806</v>
      </c>
      <c r="D152" s="66">
        <v>13.973</v>
      </c>
      <c r="E152" s="66">
        <v>2.945</v>
      </c>
      <c r="F152" s="68">
        <v>1086.1</v>
      </c>
      <c r="G152" s="66">
        <v>1.08</v>
      </c>
      <c r="H152" s="66">
        <v>0.386</v>
      </c>
      <c r="I152" s="65">
        <v>382.8</v>
      </c>
      <c r="J152" s="65">
        <v>969.1</v>
      </c>
      <c r="K152" s="1">
        <v>32560.0</v>
      </c>
      <c r="L152" s="1">
        <v>100.0</v>
      </c>
      <c r="M152" s="23">
        <v>14.908</v>
      </c>
      <c r="N152" s="23">
        <f t="shared" si="6"/>
        <v>0.386</v>
      </c>
      <c r="O152">
        <f t="shared" si="7"/>
        <v>1</v>
      </c>
      <c r="P152" s="1"/>
      <c r="Q152" s="23"/>
      <c r="R152" s="12"/>
      <c r="S152" s="1"/>
      <c r="T152" s="1"/>
      <c r="U152" s="1"/>
      <c r="V152" s="23"/>
      <c r="W152" s="12"/>
      <c r="X152" s="1"/>
    </row>
    <row r="153">
      <c r="A153" s="39">
        <v>230.0</v>
      </c>
      <c r="B153" s="39">
        <v>22616.0</v>
      </c>
      <c r="C153" s="67">
        <v>15.868</v>
      </c>
      <c r="D153" s="67">
        <v>12.653</v>
      </c>
      <c r="E153" s="67">
        <v>2.945</v>
      </c>
      <c r="F153" s="71">
        <v>1086.1</v>
      </c>
      <c r="G153" s="67">
        <v>1.05</v>
      </c>
      <c r="H153" s="67">
        <v>0.386</v>
      </c>
      <c r="I153" s="39">
        <v>382.8</v>
      </c>
      <c r="J153" s="39">
        <v>969.1</v>
      </c>
      <c r="K153" s="1">
        <v>30103.0</v>
      </c>
      <c r="L153" s="1">
        <v>100.0</v>
      </c>
      <c r="M153" s="23">
        <v>14.844</v>
      </c>
      <c r="N153" s="23">
        <f t="shared" si="6"/>
        <v>0.386</v>
      </c>
      <c r="O153">
        <f t="shared" si="7"/>
        <v>1</v>
      </c>
      <c r="P153" s="1"/>
      <c r="Q153" s="23"/>
      <c r="R153" s="12"/>
      <c r="S153" s="1"/>
      <c r="T153" s="1"/>
      <c r="U153" s="1"/>
      <c r="V153" s="23"/>
      <c r="W153" s="12"/>
      <c r="X153" s="1"/>
    </row>
    <row r="154">
      <c r="A154" s="39">
        <v>232.0</v>
      </c>
      <c r="B154" s="39">
        <v>20770.0</v>
      </c>
      <c r="C154" s="67">
        <v>15.404</v>
      </c>
      <c r="D154" s="67">
        <v>12.265</v>
      </c>
      <c r="E154" s="67">
        <v>2.795</v>
      </c>
      <c r="F154" s="71">
        <v>1086.1</v>
      </c>
      <c r="G154" s="67">
        <v>1.05</v>
      </c>
      <c r="H154" s="67">
        <v>0.378</v>
      </c>
      <c r="I154" s="39">
        <v>382.8</v>
      </c>
      <c r="J154" s="39">
        <v>969.1</v>
      </c>
      <c r="K154" s="1">
        <v>27645.0</v>
      </c>
      <c r="L154" s="1">
        <v>100.0</v>
      </c>
      <c r="M154" s="23">
        <v>14.844</v>
      </c>
      <c r="N154" s="23">
        <f t="shared" si="6"/>
        <v>0.378</v>
      </c>
      <c r="O154">
        <f t="shared" si="7"/>
        <v>1</v>
      </c>
      <c r="P154" s="1"/>
      <c r="Q154" s="23"/>
      <c r="R154" s="12"/>
      <c r="S154" s="1"/>
      <c r="T154" s="1"/>
      <c r="U154" s="1"/>
      <c r="V154" s="23"/>
      <c r="W154" s="12"/>
      <c r="X154" s="1"/>
    </row>
    <row r="155">
      <c r="A155" s="39">
        <v>234.0</v>
      </c>
      <c r="B155" s="39">
        <v>19847.0</v>
      </c>
      <c r="C155" s="67">
        <v>14.343</v>
      </c>
      <c r="D155" s="67">
        <v>11.144</v>
      </c>
      <c r="E155" s="67">
        <v>2.835</v>
      </c>
      <c r="F155" s="71">
        <v>1086.1</v>
      </c>
      <c r="G155" s="67">
        <v>0.8</v>
      </c>
      <c r="H155" s="67">
        <v>0.378</v>
      </c>
      <c r="I155" s="39">
        <v>382.8</v>
      </c>
      <c r="J155" s="39">
        <v>969.1</v>
      </c>
      <c r="K155" s="1">
        <v>26417.0</v>
      </c>
      <c r="L155" s="1">
        <v>100.0</v>
      </c>
      <c r="M155" s="23">
        <v>14.643</v>
      </c>
      <c r="N155" s="23">
        <f t="shared" si="6"/>
        <v>0.378</v>
      </c>
      <c r="O155" s="64">
        <f t="shared" si="7"/>
        <v>0.8</v>
      </c>
      <c r="P155" s="1"/>
      <c r="Q155" s="23"/>
      <c r="R155" s="12"/>
      <c r="S155" s="1"/>
      <c r="T155" s="1"/>
      <c r="U155" s="1"/>
      <c r="V155" s="23"/>
      <c r="W155" s="12"/>
      <c r="X155" s="1"/>
    </row>
    <row r="156">
      <c r="A156" s="65">
        <v>236.0</v>
      </c>
      <c r="B156" s="65">
        <v>19847.0</v>
      </c>
      <c r="C156" s="66">
        <v>14.174</v>
      </c>
      <c r="D156" s="66">
        <v>10.706</v>
      </c>
      <c r="E156" s="66">
        <v>2.802</v>
      </c>
      <c r="F156" s="68">
        <v>1086.1</v>
      </c>
      <c r="G156" s="66">
        <v>0.83</v>
      </c>
      <c r="H156" s="66">
        <v>0.378</v>
      </c>
      <c r="I156" s="65">
        <v>382.8</v>
      </c>
      <c r="J156" s="65">
        <v>969.1</v>
      </c>
      <c r="K156" s="1">
        <v>26417.0</v>
      </c>
      <c r="L156" s="1">
        <v>100.0</v>
      </c>
      <c r="M156" s="23">
        <v>14.643</v>
      </c>
      <c r="N156" s="23">
        <f t="shared" si="6"/>
        <v>0.378</v>
      </c>
      <c r="O156" s="64">
        <f t="shared" si="7"/>
        <v>0.83</v>
      </c>
      <c r="P156" s="40"/>
      <c r="Q156" s="40"/>
      <c r="X156" s="1"/>
    </row>
    <row r="157">
      <c r="A157" s="65">
        <v>238.0</v>
      </c>
      <c r="B157" s="65">
        <v>19847.0</v>
      </c>
      <c r="C157" s="66">
        <v>14.841</v>
      </c>
      <c r="D157" s="66">
        <v>11.364</v>
      </c>
      <c r="E157" s="66">
        <v>2.802</v>
      </c>
      <c r="F157" s="68">
        <v>1086.1</v>
      </c>
      <c r="G157" s="66">
        <v>0.83</v>
      </c>
      <c r="H157" s="66">
        <v>0.386</v>
      </c>
      <c r="I157" s="65">
        <v>382.8</v>
      </c>
      <c r="J157" s="65">
        <v>969.1</v>
      </c>
      <c r="K157" s="1">
        <v>26417.0</v>
      </c>
      <c r="L157" s="1">
        <v>100.0</v>
      </c>
      <c r="M157" s="23">
        <v>14.587</v>
      </c>
      <c r="N157" s="23">
        <f t="shared" si="6"/>
        <v>0.386</v>
      </c>
      <c r="O157" s="64">
        <f t="shared" si="7"/>
        <v>0.83</v>
      </c>
      <c r="P157" s="40"/>
      <c r="Q157" s="40"/>
      <c r="T157" s="23"/>
      <c r="U157" s="1"/>
      <c r="V157" s="23"/>
      <c r="W157" s="1"/>
      <c r="X157" s="1"/>
    </row>
    <row r="158">
      <c r="A158" s="65">
        <v>240.0</v>
      </c>
      <c r="B158" s="65">
        <v>19847.0</v>
      </c>
      <c r="C158" s="66">
        <v>14.841</v>
      </c>
      <c r="D158" s="66">
        <v>11.442</v>
      </c>
      <c r="E158" s="66">
        <v>2.419</v>
      </c>
      <c r="F158" s="68">
        <v>1086.1</v>
      </c>
      <c r="G158" s="66">
        <v>0.826</v>
      </c>
      <c r="H158" s="66">
        <v>0.386</v>
      </c>
      <c r="I158" s="65">
        <v>382.8</v>
      </c>
      <c r="J158" s="65">
        <v>949.3</v>
      </c>
      <c r="K158" s="1">
        <v>26417.0</v>
      </c>
      <c r="L158" s="1">
        <v>100.0</v>
      </c>
      <c r="M158" s="26">
        <v>14.587</v>
      </c>
      <c r="N158" s="23">
        <f t="shared" si="6"/>
        <v>0.386</v>
      </c>
      <c r="O158" s="64">
        <f t="shared" si="7"/>
        <v>0.826</v>
      </c>
      <c r="P158" s="40"/>
      <c r="Q158" s="40"/>
      <c r="T158" s="23"/>
      <c r="U158" s="1"/>
      <c r="V158" s="23"/>
      <c r="W158" s="1"/>
      <c r="X158" s="1"/>
    </row>
    <row r="159">
      <c r="A159" s="65">
        <v>242.0</v>
      </c>
      <c r="B159" s="65">
        <v>19847.0</v>
      </c>
      <c r="C159" s="66">
        <v>14.841</v>
      </c>
      <c r="D159" s="66">
        <v>11.443</v>
      </c>
      <c r="E159" s="66">
        <v>2.419</v>
      </c>
      <c r="F159" s="68">
        <v>1086.1</v>
      </c>
      <c r="G159" s="66">
        <v>0.83</v>
      </c>
      <c r="H159" s="66">
        <v>0.386</v>
      </c>
      <c r="I159" s="65">
        <v>382.8</v>
      </c>
      <c r="J159" s="65">
        <v>969.1</v>
      </c>
      <c r="K159" s="1">
        <v>26417.0</v>
      </c>
      <c r="L159" s="1">
        <v>100.0</v>
      </c>
      <c r="M159" s="23">
        <v>14.595</v>
      </c>
      <c r="N159" s="23">
        <f t="shared" si="6"/>
        <v>0.386</v>
      </c>
      <c r="O159" s="64">
        <f t="shared" si="7"/>
        <v>0.83</v>
      </c>
      <c r="P159" s="73"/>
      <c r="Q159" s="72"/>
      <c r="T159" s="23"/>
      <c r="U159" s="1"/>
      <c r="V159" s="23"/>
      <c r="W159" s="1"/>
      <c r="X159" s="1"/>
    </row>
    <row r="160">
      <c r="A160" s="65" t="s">
        <v>501</v>
      </c>
      <c r="B160" s="65"/>
      <c r="C160" s="66"/>
      <c r="D160" s="66"/>
      <c r="E160" s="66"/>
      <c r="F160" s="68"/>
      <c r="G160" s="66"/>
      <c r="H160" s="66"/>
      <c r="I160" s="65"/>
      <c r="J160" s="65"/>
      <c r="K160" s="1"/>
      <c r="L160" s="1"/>
      <c r="M160" s="26"/>
      <c r="N160" s="23" t="str">
        <f t="shared" si="6"/>
        <v/>
      </c>
      <c r="O160" s="64" t="str">
        <f t="shared" si="7"/>
        <v/>
      </c>
      <c r="P160" s="40"/>
      <c r="Q160" s="74"/>
      <c r="T160" s="23"/>
      <c r="U160" s="1"/>
      <c r="V160" s="23"/>
      <c r="W160" s="1"/>
      <c r="X160" s="1"/>
    </row>
    <row r="161">
      <c r="A161" s="65">
        <v>244.0</v>
      </c>
      <c r="B161" s="65">
        <v>19622.0</v>
      </c>
      <c r="C161" s="66">
        <v>14.818</v>
      </c>
      <c r="D161" s="66">
        <v>11.186</v>
      </c>
      <c r="E161" s="66">
        <v>2.419</v>
      </c>
      <c r="F161" s="68">
        <v>1086.1</v>
      </c>
      <c r="G161" s="66">
        <v>0.813</v>
      </c>
      <c r="H161" s="66">
        <v>0.386</v>
      </c>
      <c r="I161" s="65">
        <v>382.8</v>
      </c>
      <c r="J161" s="65">
        <v>887.1</v>
      </c>
      <c r="K161" s="1">
        <v>26417.0</v>
      </c>
      <c r="L161" s="1">
        <v>100.0</v>
      </c>
      <c r="M161" s="23">
        <v>14.595</v>
      </c>
      <c r="N161" s="23">
        <f t="shared" si="6"/>
        <v>0.386</v>
      </c>
      <c r="O161" s="64">
        <f t="shared" si="7"/>
        <v>0.813</v>
      </c>
      <c r="P161" s="40"/>
      <c r="Q161" s="40"/>
      <c r="S161" s="1"/>
      <c r="T161" s="23"/>
      <c r="U161" s="23"/>
      <c r="V161" s="1"/>
      <c r="W161" s="1"/>
      <c r="X161" s="1"/>
    </row>
    <row r="162">
      <c r="A162" s="65" t="s">
        <v>504</v>
      </c>
      <c r="B162" s="65"/>
      <c r="C162" s="69"/>
      <c r="D162" s="66"/>
      <c r="E162" s="66"/>
      <c r="F162" s="68"/>
      <c r="G162" s="66"/>
      <c r="H162" s="66"/>
      <c r="I162" s="65"/>
      <c r="J162" s="65"/>
      <c r="K162" s="1"/>
      <c r="L162" s="1"/>
      <c r="M162" s="23"/>
      <c r="N162" s="23" t="str">
        <f t="shared" si="6"/>
        <v/>
      </c>
      <c r="O162" s="64" t="str">
        <f t="shared" si="7"/>
        <v/>
      </c>
      <c r="P162" s="40"/>
      <c r="Q162" s="74"/>
      <c r="S162" s="1"/>
      <c r="T162" s="23"/>
      <c r="U162" s="23"/>
      <c r="V162" s="1"/>
      <c r="W162" s="1"/>
      <c r="X162" s="1"/>
    </row>
    <row r="163">
      <c r="A163" s="65">
        <v>246.0</v>
      </c>
      <c r="B163" s="65">
        <v>19847.0</v>
      </c>
      <c r="C163" s="66">
        <v>14.864</v>
      </c>
      <c r="D163" s="66">
        <v>11.186</v>
      </c>
      <c r="E163" s="66">
        <v>2.419</v>
      </c>
      <c r="F163" s="68">
        <v>1086.1</v>
      </c>
      <c r="G163" s="66">
        <v>0.783</v>
      </c>
      <c r="H163" s="66">
        <v>0.386</v>
      </c>
      <c r="I163" s="65">
        <v>382.8</v>
      </c>
      <c r="J163" s="65">
        <v>887.1</v>
      </c>
      <c r="K163" s="1">
        <v>26417.0</v>
      </c>
      <c r="L163" s="1">
        <v>100.0</v>
      </c>
      <c r="M163" s="23">
        <v>14.594</v>
      </c>
      <c r="N163" s="23">
        <f t="shared" si="6"/>
        <v>0.386</v>
      </c>
      <c r="O163" s="64">
        <f t="shared" si="7"/>
        <v>0.783</v>
      </c>
      <c r="P163" s="39"/>
      <c r="Q163" s="39"/>
      <c r="R163" s="1"/>
      <c r="S163" s="1"/>
      <c r="T163" s="23"/>
      <c r="U163" s="1"/>
      <c r="V163" s="1"/>
      <c r="W163" s="1"/>
      <c r="X163" s="1"/>
      <c r="Y163" s="26"/>
      <c r="Z163" s="26"/>
    </row>
    <row r="164">
      <c r="A164" s="65">
        <v>248.0</v>
      </c>
      <c r="B164" s="65">
        <v>19847.0</v>
      </c>
      <c r="C164" s="66">
        <v>14.186</v>
      </c>
      <c r="D164" s="66">
        <v>10.653</v>
      </c>
      <c r="E164" s="66">
        <v>2.839</v>
      </c>
      <c r="F164" s="68">
        <v>1101.1</v>
      </c>
      <c r="G164" s="66">
        <v>0.783</v>
      </c>
      <c r="H164" s="66">
        <v>0.386</v>
      </c>
      <c r="I164" s="65">
        <v>382.8</v>
      </c>
      <c r="J164" s="65">
        <v>887.1</v>
      </c>
      <c r="K164" s="1">
        <v>26417.0</v>
      </c>
      <c r="L164" s="1">
        <v>100.0</v>
      </c>
      <c r="M164" s="26">
        <v>14.594</v>
      </c>
      <c r="N164" s="23">
        <f t="shared" si="6"/>
        <v>0.386</v>
      </c>
      <c r="O164" s="64">
        <f t="shared" si="7"/>
        <v>0.783</v>
      </c>
      <c r="P164" s="65"/>
      <c r="Q164" s="69"/>
      <c r="R164" s="12"/>
      <c r="S164" s="26"/>
      <c r="T164" s="12"/>
      <c r="U164" s="26"/>
      <c r="V164" s="26"/>
      <c r="W164" s="23"/>
      <c r="X164" s="1"/>
      <c r="Y164" s="26"/>
      <c r="Z164" s="26"/>
    </row>
    <row r="165">
      <c r="A165" s="65">
        <v>250.0</v>
      </c>
      <c r="B165" s="65">
        <v>19847.0</v>
      </c>
      <c r="C165" s="66">
        <v>13.983</v>
      </c>
      <c r="D165" s="66">
        <v>10.962</v>
      </c>
      <c r="E165" s="66">
        <v>2.839</v>
      </c>
      <c r="F165" s="68">
        <v>1101.1</v>
      </c>
      <c r="G165" s="66">
        <v>0.783</v>
      </c>
      <c r="H165" s="66">
        <v>0.386</v>
      </c>
      <c r="I165" s="65">
        <v>382.8</v>
      </c>
      <c r="J165" s="65">
        <v>887.1</v>
      </c>
      <c r="K165" s="1">
        <v>26417.0</v>
      </c>
      <c r="L165" s="1">
        <v>100.0</v>
      </c>
      <c r="M165" s="26">
        <v>14.594</v>
      </c>
      <c r="N165" s="23">
        <f t="shared" si="6"/>
        <v>0.386</v>
      </c>
      <c r="O165" s="64">
        <f t="shared" si="7"/>
        <v>0.783</v>
      </c>
      <c r="P165" s="39"/>
      <c r="Q165" s="76"/>
      <c r="R165" s="12"/>
      <c r="S165" s="26"/>
      <c r="T165" s="12"/>
      <c r="U165" s="26"/>
      <c r="V165" s="26"/>
      <c r="W165" s="23"/>
      <c r="X165" s="1"/>
      <c r="Y165" s="26"/>
      <c r="Z165" s="26"/>
    </row>
    <row r="166">
      <c r="A166" s="65">
        <v>252.0</v>
      </c>
      <c r="B166" s="65">
        <v>19847.0</v>
      </c>
      <c r="C166" s="66">
        <v>15.124</v>
      </c>
      <c r="D166" s="66">
        <v>12.092</v>
      </c>
      <c r="E166" s="66">
        <v>2.839</v>
      </c>
      <c r="F166" s="68">
        <v>1101.1</v>
      </c>
      <c r="G166" s="66">
        <v>0.783</v>
      </c>
      <c r="H166" s="66">
        <v>0.386</v>
      </c>
      <c r="I166" s="65">
        <v>382.8</v>
      </c>
      <c r="J166" s="65">
        <v>887.1</v>
      </c>
      <c r="K166" s="1">
        <v>26417.0</v>
      </c>
      <c r="L166" s="1">
        <v>100.0</v>
      </c>
      <c r="M166" s="26">
        <v>14.577</v>
      </c>
      <c r="N166" s="23">
        <f t="shared" si="6"/>
        <v>0.386</v>
      </c>
      <c r="O166" s="64">
        <f t="shared" si="7"/>
        <v>0.783</v>
      </c>
      <c r="P166" s="39"/>
      <c r="Q166" s="76"/>
      <c r="R166" s="12"/>
      <c r="S166" s="26"/>
      <c r="T166" s="12"/>
      <c r="U166" s="26"/>
      <c r="V166" s="26"/>
      <c r="W166" s="23"/>
      <c r="X166" s="1"/>
      <c r="Y166" s="26"/>
      <c r="Z166" s="26"/>
    </row>
    <row r="167">
      <c r="A167" s="65">
        <v>254.0</v>
      </c>
      <c r="B167" s="65">
        <v>21693.0</v>
      </c>
      <c r="C167" s="69">
        <v>15.667</v>
      </c>
      <c r="D167" s="66">
        <v>12.457</v>
      </c>
      <c r="E167" s="66">
        <v>2.909</v>
      </c>
      <c r="F167" s="68">
        <v>1101.1</v>
      </c>
      <c r="G167" s="66">
        <v>0.783</v>
      </c>
      <c r="H167" s="66">
        <v>0.386</v>
      </c>
      <c r="I167" s="65">
        <v>382.8</v>
      </c>
      <c r="J167" s="65">
        <v>887.1</v>
      </c>
      <c r="K167" s="1">
        <v>28874.0</v>
      </c>
      <c r="L167" s="1">
        <v>100.0</v>
      </c>
      <c r="M167" s="23">
        <v>14.577</v>
      </c>
      <c r="N167" s="23">
        <f t="shared" si="6"/>
        <v>0.386</v>
      </c>
      <c r="O167" s="64">
        <f t="shared" si="7"/>
        <v>0.783</v>
      </c>
      <c r="P167" s="39"/>
      <c r="Q167" s="76"/>
      <c r="R167" s="12"/>
      <c r="S167" s="26"/>
      <c r="T167" s="12"/>
      <c r="U167" s="26"/>
      <c r="V167" s="26"/>
      <c r="W167" s="23"/>
      <c r="X167" s="1"/>
      <c r="Y167" s="26"/>
      <c r="Z167" s="26"/>
    </row>
    <row r="168">
      <c r="A168" s="65">
        <v>256.0</v>
      </c>
      <c r="B168" s="65">
        <v>21693.0</v>
      </c>
      <c r="C168" s="66">
        <v>16.232</v>
      </c>
      <c r="D168" s="66">
        <v>13.337</v>
      </c>
      <c r="E168" s="66">
        <v>2.909</v>
      </c>
      <c r="F168" s="68">
        <v>1101.1</v>
      </c>
      <c r="G168" s="66">
        <v>0.813</v>
      </c>
      <c r="H168" s="66">
        <v>0.386</v>
      </c>
      <c r="I168" s="65">
        <v>382.8</v>
      </c>
      <c r="J168" s="65">
        <v>887.1</v>
      </c>
      <c r="K168" s="1">
        <v>28874.0</v>
      </c>
      <c r="L168" s="1">
        <v>100.0</v>
      </c>
      <c r="M168" s="23">
        <v>14.706</v>
      </c>
      <c r="N168" s="23">
        <f t="shared" si="6"/>
        <v>0.386</v>
      </c>
      <c r="O168" s="64">
        <f t="shared" si="7"/>
        <v>0.813</v>
      </c>
      <c r="P168" s="39"/>
      <c r="Q168" s="76"/>
      <c r="R168" s="12"/>
      <c r="S168" s="26"/>
      <c r="T168" s="12"/>
      <c r="U168" s="26"/>
      <c r="V168" s="26"/>
      <c r="W168" s="23"/>
      <c r="X168" s="1"/>
      <c r="Y168" s="26"/>
      <c r="Z168" s="26"/>
    </row>
    <row r="169">
      <c r="A169" s="65" t="s">
        <v>505</v>
      </c>
      <c r="B169" s="65"/>
      <c r="C169" s="66"/>
      <c r="D169" s="66"/>
      <c r="E169" s="66"/>
      <c r="F169" s="68"/>
      <c r="G169" s="66"/>
      <c r="H169" s="66"/>
      <c r="I169" s="65"/>
      <c r="J169" s="65"/>
      <c r="K169" s="1"/>
      <c r="L169" s="1"/>
      <c r="M169" s="23"/>
      <c r="N169" s="23" t="str">
        <f t="shared" si="6"/>
        <v/>
      </c>
      <c r="O169" s="64" t="str">
        <f t="shared" si="7"/>
        <v/>
      </c>
      <c r="P169" s="39"/>
      <c r="Q169" s="76"/>
      <c r="R169" s="12"/>
      <c r="S169" s="26"/>
      <c r="T169" s="12"/>
      <c r="U169" s="26"/>
      <c r="V169" s="26"/>
      <c r="W169" s="23"/>
      <c r="X169" s="1"/>
      <c r="Y169" s="26"/>
      <c r="Z169" s="26"/>
    </row>
    <row r="170">
      <c r="A170" s="65">
        <v>258.0</v>
      </c>
      <c r="B170" s="65">
        <v>21693.0</v>
      </c>
      <c r="C170" s="66">
        <v>16.278</v>
      </c>
      <c r="D170" s="66">
        <v>13.7</v>
      </c>
      <c r="E170" s="66">
        <v>2.946</v>
      </c>
      <c r="F170" s="68">
        <v>1101.1</v>
      </c>
      <c r="G170" s="66">
        <v>1.063</v>
      </c>
      <c r="H170" s="66">
        <v>0.386</v>
      </c>
      <c r="I170" s="65">
        <v>382.8</v>
      </c>
      <c r="J170" s="65">
        <v>887.1</v>
      </c>
      <c r="K170" s="1">
        <v>28874.0</v>
      </c>
      <c r="L170" s="1">
        <v>100.0</v>
      </c>
      <c r="M170" s="23">
        <v>14.706</v>
      </c>
      <c r="N170" s="23">
        <f t="shared" si="6"/>
        <v>0.386</v>
      </c>
      <c r="O170">
        <f t="shared" si="7"/>
        <v>1</v>
      </c>
      <c r="P170" s="39"/>
      <c r="Q170" s="76"/>
      <c r="R170" s="12"/>
      <c r="S170" s="26"/>
      <c r="T170" s="12"/>
      <c r="U170" s="26"/>
      <c r="V170" s="26"/>
      <c r="W170" s="23"/>
      <c r="X170" s="1"/>
      <c r="Y170" s="26"/>
      <c r="Z170" s="26"/>
    </row>
    <row r="171">
      <c r="A171" s="65">
        <v>261.0</v>
      </c>
      <c r="B171" s="65">
        <v>21693.0</v>
      </c>
      <c r="C171" s="66">
        <v>16.3</v>
      </c>
      <c r="D171" s="66">
        <v>13.71</v>
      </c>
      <c r="E171" s="66">
        <v>2.946</v>
      </c>
      <c r="F171" s="68">
        <v>1086.1</v>
      </c>
      <c r="G171" s="66">
        <v>1.063</v>
      </c>
      <c r="H171" s="66">
        <v>0.386</v>
      </c>
      <c r="I171" s="65">
        <v>382.8</v>
      </c>
      <c r="J171" s="65">
        <v>887.1</v>
      </c>
      <c r="K171" s="1">
        <v>28874.0</v>
      </c>
      <c r="L171" s="1">
        <v>100.0</v>
      </c>
      <c r="M171" s="23">
        <v>14.78</v>
      </c>
      <c r="N171" s="23">
        <f t="shared" si="6"/>
        <v>0.386</v>
      </c>
      <c r="O171">
        <f t="shared" si="7"/>
        <v>1</v>
      </c>
      <c r="P171" s="39"/>
      <c r="Q171" s="76"/>
      <c r="R171" s="12"/>
      <c r="S171" s="26"/>
      <c r="T171" s="12"/>
      <c r="U171" s="26"/>
      <c r="V171" s="26"/>
      <c r="W171" s="23"/>
      <c r="X171" s="1"/>
      <c r="Y171" s="26"/>
      <c r="Z171" s="26"/>
    </row>
    <row r="172">
      <c r="A172" s="65">
        <v>263.0</v>
      </c>
      <c r="B172" s="65">
        <v>21693.0</v>
      </c>
      <c r="C172" s="66">
        <v>16.312</v>
      </c>
      <c r="D172" s="66">
        <v>14.345</v>
      </c>
      <c r="E172" s="66">
        <v>2.946</v>
      </c>
      <c r="F172" s="68">
        <v>1086.1</v>
      </c>
      <c r="G172" s="66">
        <v>1.08</v>
      </c>
      <c r="H172" s="66">
        <v>0.378</v>
      </c>
      <c r="I172" s="65">
        <v>382.8</v>
      </c>
      <c r="J172" s="65">
        <v>969.1</v>
      </c>
      <c r="K172" s="1">
        <v>28874.0</v>
      </c>
      <c r="L172" s="1">
        <v>100.0</v>
      </c>
      <c r="M172" s="23">
        <v>14.78</v>
      </c>
      <c r="N172" s="23">
        <f t="shared" si="6"/>
        <v>0.378</v>
      </c>
      <c r="O172">
        <f t="shared" si="7"/>
        <v>1</v>
      </c>
      <c r="P172" s="39"/>
      <c r="Q172" s="76"/>
      <c r="R172" s="12"/>
      <c r="S172" s="26"/>
      <c r="T172" s="12"/>
      <c r="U172" s="26"/>
      <c r="V172" s="26"/>
      <c r="W172" s="23"/>
      <c r="X172" s="1"/>
      <c r="Y172" s="26"/>
      <c r="Z172" s="26"/>
    </row>
    <row r="173">
      <c r="A173" s="39">
        <v>265.0</v>
      </c>
      <c r="B173" s="39">
        <v>21693.0</v>
      </c>
      <c r="C173" s="67">
        <v>16.346</v>
      </c>
      <c r="D173" s="67">
        <v>16.355</v>
      </c>
      <c r="E173" s="67">
        <v>2.946</v>
      </c>
      <c r="F173" s="71">
        <v>1086.1</v>
      </c>
      <c r="G173" s="67">
        <v>1.08</v>
      </c>
      <c r="H173" s="67">
        <v>1.379</v>
      </c>
      <c r="I173" s="39">
        <v>382.8</v>
      </c>
      <c r="J173" s="39">
        <v>969.1</v>
      </c>
      <c r="K173" s="1">
        <v>28874.0</v>
      </c>
      <c r="L173" s="1">
        <v>100.0</v>
      </c>
      <c r="M173" s="23">
        <v>14.794</v>
      </c>
      <c r="N173" s="23">
        <f t="shared" si="6"/>
        <v>1</v>
      </c>
      <c r="O173">
        <f t="shared" si="7"/>
        <v>1</v>
      </c>
      <c r="P173" s="65"/>
      <c r="Q173" s="69"/>
      <c r="R173" s="12"/>
      <c r="S173" s="26"/>
      <c r="T173" s="12"/>
      <c r="U173" s="26"/>
      <c r="V173" s="26"/>
      <c r="W173" s="23"/>
      <c r="X173" s="1"/>
      <c r="Y173" s="26"/>
      <c r="Z173" s="26"/>
    </row>
    <row r="174">
      <c r="A174" s="65">
        <v>267.0</v>
      </c>
      <c r="B174" s="65">
        <v>21693.0</v>
      </c>
      <c r="C174" s="66">
        <v>16.007</v>
      </c>
      <c r="D174" s="66">
        <v>17.487</v>
      </c>
      <c r="E174" s="66">
        <v>3.75</v>
      </c>
      <c r="F174" s="68">
        <v>1086.1</v>
      </c>
      <c r="G174" s="66">
        <v>1.08</v>
      </c>
      <c r="H174" s="66">
        <v>1.379</v>
      </c>
      <c r="I174" s="65">
        <v>382.8</v>
      </c>
      <c r="J174" s="65">
        <v>969.1</v>
      </c>
      <c r="K174" s="1">
        <v>28874.0</v>
      </c>
      <c r="L174" s="1">
        <v>100.0</v>
      </c>
      <c r="M174" s="23">
        <v>14.794</v>
      </c>
      <c r="N174" s="23">
        <f t="shared" si="6"/>
        <v>1</v>
      </c>
      <c r="O174">
        <f t="shared" si="7"/>
        <v>1</v>
      </c>
      <c r="P174" s="65"/>
      <c r="Q174" s="69"/>
      <c r="R174" s="12"/>
      <c r="S174" s="26"/>
      <c r="T174" s="12"/>
      <c r="U174" s="26"/>
      <c r="V174" s="26"/>
      <c r="W174" s="23"/>
      <c r="X174" s="1"/>
      <c r="Y174" s="26"/>
      <c r="Z174" s="26"/>
    </row>
    <row r="175">
      <c r="A175" s="65">
        <v>269.0</v>
      </c>
      <c r="B175" s="65">
        <v>20967.0</v>
      </c>
      <c r="C175" s="69">
        <v>14.82</v>
      </c>
      <c r="D175" s="66">
        <v>16.345</v>
      </c>
      <c r="E175" s="66">
        <v>3.75</v>
      </c>
      <c r="F175" s="68">
        <v>1086.1</v>
      </c>
      <c r="G175" s="66">
        <v>1.08</v>
      </c>
      <c r="H175" s="66">
        <v>0.368</v>
      </c>
      <c r="I175" s="65">
        <v>382.8</v>
      </c>
      <c r="J175" s="65">
        <v>969.1</v>
      </c>
      <c r="K175" s="1">
        <v>28874.0</v>
      </c>
      <c r="L175" s="1">
        <v>100.0</v>
      </c>
      <c r="M175" s="23">
        <v>14.75</v>
      </c>
      <c r="N175" s="23">
        <f t="shared" si="6"/>
        <v>0.368</v>
      </c>
      <c r="O175">
        <f t="shared" si="7"/>
        <v>1</v>
      </c>
      <c r="P175" s="65"/>
      <c r="Q175" s="69"/>
      <c r="R175" s="12"/>
      <c r="S175" s="26"/>
      <c r="T175" s="12"/>
      <c r="U175" s="26"/>
      <c r="V175" s="26"/>
      <c r="W175" s="23"/>
      <c r="X175" s="1"/>
      <c r="Y175" s="26"/>
      <c r="Z175" s="26"/>
    </row>
    <row r="176">
      <c r="A176" s="39">
        <v>271.0</v>
      </c>
      <c r="B176" s="39">
        <v>19847.0</v>
      </c>
      <c r="C176" s="76">
        <v>14.696</v>
      </c>
      <c r="D176" s="67">
        <v>15.662</v>
      </c>
      <c r="E176" s="67">
        <v>3.673</v>
      </c>
      <c r="F176" s="71">
        <v>1086.1</v>
      </c>
      <c r="G176" s="67">
        <v>0.83</v>
      </c>
      <c r="H176" s="67">
        <v>0.368</v>
      </c>
      <c r="I176" s="39">
        <v>382.8</v>
      </c>
      <c r="J176" s="39">
        <v>969.1</v>
      </c>
      <c r="K176" s="1">
        <v>26417.0</v>
      </c>
      <c r="L176" s="1">
        <v>100.0</v>
      </c>
      <c r="M176" s="23">
        <v>14.75</v>
      </c>
      <c r="N176" s="23">
        <f t="shared" si="6"/>
        <v>0.368</v>
      </c>
      <c r="O176" s="64">
        <f t="shared" si="7"/>
        <v>0.83</v>
      </c>
      <c r="P176" s="65"/>
      <c r="Q176" s="69"/>
      <c r="R176" s="12"/>
      <c r="S176" s="26"/>
      <c r="T176" s="12"/>
      <c r="U176" s="26"/>
      <c r="V176" s="26"/>
      <c r="W176" s="23"/>
      <c r="X176" s="1"/>
      <c r="Y176" s="26"/>
      <c r="Z176" s="26"/>
    </row>
    <row r="177">
      <c r="A177" s="65">
        <v>273.0</v>
      </c>
      <c r="B177" s="65">
        <v>19847.0</v>
      </c>
      <c r="C177" s="69">
        <v>14.392</v>
      </c>
      <c r="D177" s="66">
        <v>15.32</v>
      </c>
      <c r="E177" s="66">
        <v>3.673</v>
      </c>
      <c r="F177" s="68">
        <v>1086.1</v>
      </c>
      <c r="G177" s="66">
        <v>0.83</v>
      </c>
      <c r="H177" s="66">
        <v>0.378</v>
      </c>
      <c r="I177" s="65">
        <v>382.8</v>
      </c>
      <c r="J177" s="65">
        <v>969.1</v>
      </c>
      <c r="K177" s="1">
        <v>26417.0</v>
      </c>
      <c r="L177" s="1">
        <v>100.0</v>
      </c>
      <c r="M177" s="23">
        <v>14.712</v>
      </c>
      <c r="N177" s="23">
        <f t="shared" si="6"/>
        <v>0.378</v>
      </c>
      <c r="O177" s="64">
        <f t="shared" si="7"/>
        <v>0.83</v>
      </c>
      <c r="P177" s="65"/>
      <c r="Q177" s="69"/>
      <c r="R177" s="12"/>
      <c r="S177" s="26"/>
      <c r="T177" s="12"/>
      <c r="U177" s="26"/>
      <c r="V177" s="26"/>
      <c r="W177" s="23"/>
      <c r="X177" s="1"/>
      <c r="Y177" s="26"/>
      <c r="Z177" s="26"/>
    </row>
    <row r="178">
      <c r="A178" s="39">
        <v>275.0</v>
      </c>
      <c r="B178" s="39">
        <v>19847.0</v>
      </c>
      <c r="C178" s="76">
        <v>14.742</v>
      </c>
      <c r="D178" s="67">
        <v>13.812</v>
      </c>
      <c r="E178" s="67">
        <v>3.714</v>
      </c>
      <c r="F178" s="71">
        <v>1101.1</v>
      </c>
      <c r="G178" s="67">
        <v>0.83</v>
      </c>
      <c r="H178" s="67">
        <v>0.378</v>
      </c>
      <c r="I178" s="39">
        <v>382.8</v>
      </c>
      <c r="J178" s="39">
        <v>969.1</v>
      </c>
      <c r="K178" s="1">
        <v>26417.0</v>
      </c>
      <c r="L178" s="1">
        <v>100.0</v>
      </c>
      <c r="M178" s="23">
        <v>14.712</v>
      </c>
      <c r="N178" s="23">
        <f t="shared" si="6"/>
        <v>0.378</v>
      </c>
      <c r="O178" s="64">
        <f t="shared" si="7"/>
        <v>0.83</v>
      </c>
      <c r="P178" s="65"/>
      <c r="Q178" s="69"/>
      <c r="R178" s="12"/>
      <c r="S178" s="26"/>
      <c r="T178" s="12"/>
      <c r="U178" s="26"/>
      <c r="V178" s="26"/>
      <c r="W178" s="23"/>
      <c r="X178" s="1"/>
      <c r="Y178" s="26"/>
      <c r="Z178" s="26"/>
    </row>
    <row r="179">
      <c r="A179" s="39">
        <v>277.0</v>
      </c>
      <c r="B179" s="39">
        <v>19847.0</v>
      </c>
      <c r="C179" s="76">
        <v>14.777</v>
      </c>
      <c r="D179" s="67">
        <v>13.966</v>
      </c>
      <c r="E179" s="67">
        <v>3.863</v>
      </c>
      <c r="F179" s="71">
        <v>1101.1</v>
      </c>
      <c r="G179" s="67">
        <v>0.83</v>
      </c>
      <c r="H179" s="67">
        <v>0.386</v>
      </c>
      <c r="I179" s="39">
        <v>382.8</v>
      </c>
      <c r="J179" s="39">
        <v>969.1</v>
      </c>
      <c r="K179" s="1">
        <v>26417.0</v>
      </c>
      <c r="L179" s="1">
        <v>100.0</v>
      </c>
      <c r="M179" s="23">
        <v>14.747</v>
      </c>
      <c r="N179" s="23">
        <f t="shared" si="6"/>
        <v>0.386</v>
      </c>
      <c r="O179" s="64">
        <f t="shared" si="7"/>
        <v>0.83</v>
      </c>
      <c r="P179" s="65"/>
      <c r="Q179" s="69"/>
      <c r="R179" s="12"/>
      <c r="S179" s="26"/>
      <c r="T179" s="12"/>
      <c r="U179" s="26"/>
      <c r="V179" s="26"/>
      <c r="W179" s="23"/>
      <c r="X179" s="1"/>
      <c r="Y179" s="26"/>
      <c r="Z179" s="26"/>
    </row>
    <row r="180">
      <c r="A180" s="39">
        <v>279.0</v>
      </c>
      <c r="B180" s="39">
        <v>19847.0</v>
      </c>
      <c r="C180" s="76">
        <v>14.789</v>
      </c>
      <c r="D180" s="67">
        <v>13.974</v>
      </c>
      <c r="E180" s="67">
        <v>4.135</v>
      </c>
      <c r="F180" s="71">
        <v>1101.1</v>
      </c>
      <c r="G180" s="67">
        <v>0.813</v>
      </c>
      <c r="H180" s="67">
        <v>0.386</v>
      </c>
      <c r="I180" s="39">
        <v>382.8</v>
      </c>
      <c r="J180" s="39">
        <v>887.1</v>
      </c>
      <c r="K180" s="1">
        <v>26417.0</v>
      </c>
      <c r="L180" s="1">
        <v>100.0</v>
      </c>
      <c r="M180" s="23">
        <v>14.747</v>
      </c>
      <c r="N180" s="23">
        <f t="shared" si="6"/>
        <v>0.386</v>
      </c>
      <c r="O180" s="64">
        <f t="shared" si="7"/>
        <v>0.813</v>
      </c>
      <c r="P180" s="65"/>
      <c r="Q180" s="69"/>
      <c r="R180" s="12"/>
      <c r="S180" s="26"/>
      <c r="T180" s="12"/>
      <c r="U180" s="26"/>
      <c r="V180" s="26"/>
      <c r="W180" s="23"/>
      <c r="X180" s="1"/>
      <c r="Y180" s="26"/>
      <c r="Z180" s="26"/>
    </row>
    <row r="181">
      <c r="A181" s="39">
        <v>281.0</v>
      </c>
      <c r="B181" s="39">
        <v>19847.0</v>
      </c>
      <c r="C181" s="76">
        <v>14.789</v>
      </c>
      <c r="D181" s="67">
        <v>12.901</v>
      </c>
      <c r="E181" s="67">
        <v>4.005</v>
      </c>
      <c r="F181" s="71">
        <v>1101.1</v>
      </c>
      <c r="G181" s="67">
        <v>0.813</v>
      </c>
      <c r="H181" s="67">
        <v>0.386</v>
      </c>
      <c r="I181" s="39">
        <v>382.8</v>
      </c>
      <c r="J181" s="39">
        <v>887.1</v>
      </c>
      <c r="K181" s="1">
        <v>26417.0</v>
      </c>
      <c r="L181" s="1">
        <v>100.0</v>
      </c>
      <c r="M181" s="23">
        <v>14.747</v>
      </c>
      <c r="N181" s="23">
        <f t="shared" si="6"/>
        <v>0.386</v>
      </c>
      <c r="O181" s="64">
        <f t="shared" si="7"/>
        <v>0.813</v>
      </c>
      <c r="P181" s="65"/>
      <c r="Q181" s="69"/>
      <c r="R181" s="12"/>
      <c r="S181" s="26"/>
      <c r="T181" s="12"/>
      <c r="U181" s="26"/>
      <c r="V181" s="26"/>
      <c r="W181" s="23"/>
      <c r="X181" s="1"/>
      <c r="Y181" s="26"/>
      <c r="Z181" s="26"/>
    </row>
    <row r="182">
      <c r="A182" s="39">
        <v>283.0</v>
      </c>
      <c r="B182" s="39">
        <v>19847.0</v>
      </c>
      <c r="C182" s="67">
        <v>14.822</v>
      </c>
      <c r="D182" s="67">
        <v>12.679</v>
      </c>
      <c r="E182" s="67">
        <v>4.005</v>
      </c>
      <c r="F182" s="71">
        <v>1101.1</v>
      </c>
      <c r="G182" s="67">
        <v>0.813</v>
      </c>
      <c r="H182" s="67">
        <v>0.376</v>
      </c>
      <c r="I182" s="39">
        <v>382.8</v>
      </c>
      <c r="J182" s="39">
        <v>887.1</v>
      </c>
      <c r="K182" s="1">
        <v>26417.0</v>
      </c>
      <c r="L182" s="1">
        <v>100.0</v>
      </c>
      <c r="M182" s="23">
        <v>14.676</v>
      </c>
      <c r="N182" s="23">
        <f t="shared" si="6"/>
        <v>0.376</v>
      </c>
      <c r="O182" s="64">
        <f t="shared" si="7"/>
        <v>0.813</v>
      </c>
      <c r="P182" s="65"/>
      <c r="Q182" s="69"/>
      <c r="R182" s="12"/>
      <c r="S182" s="26"/>
      <c r="T182" s="12"/>
      <c r="U182" s="26"/>
      <c r="V182" s="26"/>
      <c r="W182" s="23"/>
      <c r="X182" s="1"/>
      <c r="Y182" s="26"/>
      <c r="Z182" s="26"/>
    </row>
    <row r="183">
      <c r="A183" s="39">
        <v>285.0</v>
      </c>
      <c r="B183" s="39">
        <v>19847.0</v>
      </c>
      <c r="C183" s="67">
        <v>16.28</v>
      </c>
      <c r="D183" s="67">
        <v>14.083</v>
      </c>
      <c r="E183" s="67">
        <v>4.005</v>
      </c>
      <c r="F183" s="71">
        <v>1101.1</v>
      </c>
      <c r="G183" s="67">
        <v>0.813</v>
      </c>
      <c r="H183" s="67">
        <v>0.376</v>
      </c>
      <c r="I183" s="39">
        <v>382.8</v>
      </c>
      <c r="J183" s="39">
        <v>887.1</v>
      </c>
      <c r="K183" s="1">
        <v>26417.0</v>
      </c>
      <c r="L183" s="1">
        <v>100.0</v>
      </c>
      <c r="M183" s="26">
        <v>14.676</v>
      </c>
      <c r="N183" s="23">
        <f t="shared" si="6"/>
        <v>0.376</v>
      </c>
      <c r="O183" s="64">
        <f t="shared" si="7"/>
        <v>0.813</v>
      </c>
      <c r="P183" s="65"/>
      <c r="Q183" s="69"/>
      <c r="R183" s="12"/>
      <c r="S183" s="26"/>
      <c r="T183" s="12"/>
      <c r="U183" s="26"/>
      <c r="V183" s="26"/>
      <c r="W183" s="23"/>
      <c r="X183" s="1"/>
      <c r="Y183" s="26"/>
      <c r="Z183" s="26"/>
    </row>
    <row r="184">
      <c r="A184" s="39">
        <v>287.0</v>
      </c>
      <c r="B184" s="39">
        <v>24462.0</v>
      </c>
      <c r="C184" s="67">
        <v>17.163</v>
      </c>
      <c r="D184" s="67">
        <v>13.689</v>
      </c>
      <c r="E184" s="67">
        <v>3.554</v>
      </c>
      <c r="F184" s="71">
        <v>1101.1</v>
      </c>
      <c r="G184" s="67">
        <v>0.813</v>
      </c>
      <c r="H184" s="67">
        <v>0.376</v>
      </c>
      <c r="I184" s="39">
        <v>382.8</v>
      </c>
      <c r="J184" s="39">
        <v>887.1</v>
      </c>
      <c r="K184" s="1">
        <v>32560.0</v>
      </c>
      <c r="L184" s="1">
        <v>100.0</v>
      </c>
      <c r="M184" s="26">
        <v>14.883</v>
      </c>
      <c r="N184" s="23">
        <f t="shared" si="6"/>
        <v>0.376</v>
      </c>
      <c r="O184" s="64">
        <f t="shared" si="7"/>
        <v>0.813</v>
      </c>
      <c r="P184" s="39"/>
      <c r="Q184" s="76"/>
      <c r="R184" s="12"/>
      <c r="S184" s="26"/>
      <c r="T184" s="12"/>
      <c r="U184" s="26"/>
      <c r="V184" s="26"/>
      <c r="W184" s="23"/>
      <c r="X184" s="1"/>
      <c r="Y184" s="26"/>
      <c r="Z184" s="26"/>
    </row>
    <row r="185">
      <c r="A185" s="39">
        <v>289.0</v>
      </c>
      <c r="B185" s="39">
        <v>24462.0</v>
      </c>
      <c r="C185" s="67">
        <v>17.117</v>
      </c>
      <c r="D185" s="67">
        <v>13.897</v>
      </c>
      <c r="E185" s="67">
        <v>3.591</v>
      </c>
      <c r="F185" s="71">
        <v>1101.1</v>
      </c>
      <c r="G185" s="67">
        <v>0.813</v>
      </c>
      <c r="H185" s="67">
        <v>0.376</v>
      </c>
      <c r="I185" s="39">
        <v>382.8</v>
      </c>
      <c r="J185" s="39">
        <v>887.1</v>
      </c>
      <c r="K185" s="1">
        <v>32560.0</v>
      </c>
      <c r="L185" s="1">
        <v>100.0</v>
      </c>
      <c r="M185" s="23">
        <v>14.883</v>
      </c>
      <c r="N185" s="23">
        <f t="shared" si="6"/>
        <v>0.376</v>
      </c>
      <c r="O185" s="64">
        <f t="shared" si="7"/>
        <v>0.813</v>
      </c>
      <c r="P185" s="65"/>
      <c r="Q185" s="69"/>
      <c r="R185" s="12"/>
      <c r="S185" s="26"/>
      <c r="T185" s="12"/>
      <c r="U185" s="26"/>
      <c r="V185" s="26"/>
      <c r="W185" s="23"/>
      <c r="X185" s="1"/>
      <c r="Y185" s="26"/>
      <c r="Z185" s="26"/>
    </row>
    <row r="186">
      <c r="A186" s="65">
        <v>291.0</v>
      </c>
      <c r="B186" s="65">
        <v>24462.0</v>
      </c>
      <c r="C186" s="66">
        <v>17.084</v>
      </c>
      <c r="D186" s="66">
        <v>14.276</v>
      </c>
      <c r="E186" s="66">
        <v>3.628</v>
      </c>
      <c r="F186" s="68">
        <v>1101.1</v>
      </c>
      <c r="G186" s="66">
        <v>1.063</v>
      </c>
      <c r="H186" s="66">
        <v>0.376</v>
      </c>
      <c r="I186" s="65">
        <v>382.8</v>
      </c>
      <c r="J186" s="65">
        <v>887.1</v>
      </c>
      <c r="K186" s="1">
        <v>32560.0</v>
      </c>
      <c r="L186" s="1">
        <v>100.0</v>
      </c>
      <c r="M186" s="23">
        <v>14.88</v>
      </c>
      <c r="N186" s="23">
        <f t="shared" si="6"/>
        <v>0.376</v>
      </c>
      <c r="O186">
        <f t="shared" si="7"/>
        <v>1</v>
      </c>
      <c r="P186" s="65"/>
      <c r="Q186" s="69"/>
      <c r="R186" s="12"/>
      <c r="S186" s="26"/>
      <c r="T186" s="12"/>
      <c r="U186" s="26"/>
      <c r="V186" s="26"/>
      <c r="W186" s="23"/>
      <c r="X186" s="1"/>
      <c r="Y186" s="26"/>
      <c r="Z186" s="26"/>
    </row>
    <row r="187">
      <c r="A187" s="1">
        <v>293.0</v>
      </c>
      <c r="B187" s="1">
        <v>24462.0</v>
      </c>
      <c r="C187" s="23">
        <v>16.192</v>
      </c>
      <c r="D187" s="23">
        <v>13.946</v>
      </c>
      <c r="E187" s="26">
        <v>3.628</v>
      </c>
      <c r="F187" s="61">
        <v>1086.1</v>
      </c>
      <c r="G187" s="23">
        <v>1.08</v>
      </c>
      <c r="H187" s="23">
        <v>0.376</v>
      </c>
      <c r="I187" s="1">
        <v>382.8</v>
      </c>
      <c r="J187" s="1">
        <v>969.1</v>
      </c>
      <c r="K187" s="1">
        <v>32560.0</v>
      </c>
      <c r="L187" s="1">
        <v>99.0</v>
      </c>
      <c r="M187" s="26">
        <v>14.88</v>
      </c>
      <c r="N187" s="23">
        <f t="shared" si="6"/>
        <v>0.376</v>
      </c>
      <c r="O187">
        <f t="shared" si="7"/>
        <v>1</v>
      </c>
      <c r="P187" s="65"/>
      <c r="Q187" s="69"/>
      <c r="R187" s="12"/>
      <c r="S187" s="26"/>
      <c r="T187" s="12"/>
      <c r="U187" s="26"/>
      <c r="V187" s="26"/>
      <c r="W187" s="23"/>
      <c r="X187" s="1"/>
      <c r="Y187" s="26"/>
      <c r="Z187" s="26"/>
    </row>
    <row r="188">
      <c r="A188" s="1">
        <v>295.0</v>
      </c>
      <c r="B188" s="1">
        <v>24462.0</v>
      </c>
      <c r="C188" s="23">
        <v>15.83</v>
      </c>
      <c r="D188" s="23">
        <v>12.913</v>
      </c>
      <c r="E188" s="26">
        <v>3.528</v>
      </c>
      <c r="F188" s="61">
        <v>1086.1</v>
      </c>
      <c r="G188" s="23">
        <v>1.08</v>
      </c>
      <c r="H188" s="23">
        <v>0.376</v>
      </c>
      <c r="I188" s="1">
        <v>382.8</v>
      </c>
      <c r="J188" s="1">
        <v>969.1</v>
      </c>
      <c r="K188" s="1">
        <v>32560.0</v>
      </c>
      <c r="L188" s="1">
        <v>100.0</v>
      </c>
      <c r="M188" s="26">
        <v>14.913</v>
      </c>
      <c r="N188" s="23">
        <f t="shared" si="6"/>
        <v>0.376</v>
      </c>
      <c r="O188">
        <f t="shared" si="7"/>
        <v>1</v>
      </c>
      <c r="P188" s="65"/>
      <c r="Q188" s="69"/>
      <c r="R188" s="12"/>
      <c r="S188" s="26"/>
      <c r="T188" s="12"/>
      <c r="U188" s="26"/>
      <c r="V188" s="26"/>
      <c r="W188" s="23"/>
      <c r="X188" s="1"/>
      <c r="Y188" s="26"/>
      <c r="Z188" s="26"/>
    </row>
    <row r="189">
      <c r="A189" s="1">
        <v>297.0</v>
      </c>
      <c r="B189" s="1">
        <v>24462.0</v>
      </c>
      <c r="C189" s="23">
        <v>16.678</v>
      </c>
      <c r="D189" s="23">
        <v>13.291</v>
      </c>
      <c r="E189" s="26">
        <v>3.528</v>
      </c>
      <c r="F189" s="61">
        <v>1086.1</v>
      </c>
      <c r="G189" s="23">
        <v>1.08</v>
      </c>
      <c r="H189" s="23">
        <v>0.386</v>
      </c>
      <c r="I189" s="1">
        <v>382.8</v>
      </c>
      <c r="J189" s="1">
        <v>969.1</v>
      </c>
      <c r="K189" s="1">
        <v>32560.0</v>
      </c>
      <c r="L189" s="1">
        <v>100.0</v>
      </c>
      <c r="M189" s="23">
        <v>14.913</v>
      </c>
      <c r="N189" s="23">
        <f t="shared" si="6"/>
        <v>0.386</v>
      </c>
      <c r="O189">
        <f t="shared" si="7"/>
        <v>1</v>
      </c>
      <c r="P189" s="39"/>
      <c r="Q189" s="76"/>
      <c r="R189" s="12"/>
      <c r="S189" s="26"/>
      <c r="T189" s="12"/>
      <c r="U189" s="26"/>
      <c r="V189" s="26"/>
      <c r="W189" s="23"/>
      <c r="X189" s="1"/>
      <c r="Y189" s="26"/>
      <c r="Z189" s="26"/>
    </row>
    <row r="190">
      <c r="A190" s="1">
        <v>299.0</v>
      </c>
      <c r="B190" s="1">
        <v>24462.0</v>
      </c>
      <c r="C190" s="23">
        <v>17.096</v>
      </c>
      <c r="D190" s="23">
        <v>13.796</v>
      </c>
      <c r="E190" s="26">
        <v>3.145</v>
      </c>
      <c r="F190" s="61">
        <v>1086.1</v>
      </c>
      <c r="G190" s="23">
        <v>1.08</v>
      </c>
      <c r="H190" s="23">
        <v>0.386</v>
      </c>
      <c r="I190" s="1">
        <v>382.8</v>
      </c>
      <c r="J190" s="1">
        <v>969.1</v>
      </c>
      <c r="K190" s="1">
        <v>32560.0</v>
      </c>
      <c r="L190" s="1">
        <v>100.0</v>
      </c>
      <c r="M190" s="23">
        <v>14.864</v>
      </c>
      <c r="N190" s="23">
        <f t="shared" si="6"/>
        <v>0.386</v>
      </c>
      <c r="O190">
        <f t="shared" si="7"/>
        <v>1</v>
      </c>
      <c r="P190" s="39"/>
      <c r="Q190" s="76"/>
      <c r="R190" s="12"/>
      <c r="S190" s="26"/>
      <c r="T190" s="12"/>
      <c r="U190" s="26"/>
      <c r="V190" s="26"/>
      <c r="W190" s="23"/>
      <c r="X190" s="1"/>
      <c r="Y190" s="26"/>
      <c r="Z190" s="26"/>
    </row>
    <row r="191">
      <c r="A191" s="1">
        <v>301.0</v>
      </c>
      <c r="B191" s="1">
        <v>21693.0</v>
      </c>
      <c r="C191" s="23">
        <v>15.717</v>
      </c>
      <c r="D191" s="23">
        <v>12.763</v>
      </c>
      <c r="E191" s="23">
        <v>3.035</v>
      </c>
      <c r="F191" s="61">
        <v>1086.1</v>
      </c>
      <c r="G191" s="23">
        <v>1.05</v>
      </c>
      <c r="H191" s="23">
        <v>0.386</v>
      </c>
      <c r="I191" s="1">
        <v>382.8</v>
      </c>
      <c r="J191" s="1">
        <v>969.1</v>
      </c>
      <c r="K191" s="1">
        <v>28874.0</v>
      </c>
      <c r="L191" s="1">
        <v>100.0</v>
      </c>
      <c r="M191" s="23">
        <v>14.864</v>
      </c>
      <c r="N191" s="23">
        <f t="shared" si="6"/>
        <v>0.386</v>
      </c>
      <c r="O191">
        <f t="shared" si="7"/>
        <v>1</v>
      </c>
      <c r="P191" s="39"/>
      <c r="Q191" s="76"/>
      <c r="R191" s="12"/>
      <c r="S191" s="26"/>
      <c r="T191" s="12"/>
      <c r="U191" s="26"/>
      <c r="V191" s="26"/>
      <c r="W191" s="23"/>
      <c r="X191" s="1"/>
      <c r="Y191" s="26"/>
      <c r="Z191" s="26"/>
    </row>
    <row r="192">
      <c r="A192" s="1">
        <v>303.0</v>
      </c>
      <c r="B192" s="1">
        <v>19847.0</v>
      </c>
      <c r="C192" s="23">
        <v>14.983</v>
      </c>
      <c r="D192" s="23">
        <v>11.462</v>
      </c>
      <c r="E192" s="23">
        <v>3.385</v>
      </c>
      <c r="F192" s="61">
        <v>1086.1</v>
      </c>
      <c r="G192" s="23">
        <v>0.8</v>
      </c>
      <c r="H192" s="23">
        <v>0.378</v>
      </c>
      <c r="I192" s="1">
        <v>382.8</v>
      </c>
      <c r="J192" s="1">
        <v>969.1</v>
      </c>
      <c r="K192" s="1">
        <v>26417.0</v>
      </c>
      <c r="L192" s="1">
        <v>100.0</v>
      </c>
      <c r="M192" s="23">
        <v>14.669</v>
      </c>
      <c r="N192" s="23">
        <f t="shared" si="6"/>
        <v>0.378</v>
      </c>
      <c r="O192" s="64">
        <f t="shared" si="7"/>
        <v>0.8</v>
      </c>
      <c r="P192" s="39"/>
      <c r="Q192" s="76"/>
      <c r="R192" s="12"/>
      <c r="S192" s="26"/>
      <c r="T192" s="12"/>
      <c r="U192" s="26"/>
      <c r="V192" s="26"/>
      <c r="W192" s="23"/>
      <c r="X192" s="1"/>
      <c r="Y192" s="26"/>
      <c r="Z192" s="26"/>
    </row>
    <row r="193">
      <c r="A193" s="1">
        <v>305.0</v>
      </c>
      <c r="B193" s="1">
        <v>19847.0</v>
      </c>
      <c r="C193" s="23">
        <v>14.983</v>
      </c>
      <c r="D193" s="23">
        <v>11.773</v>
      </c>
      <c r="E193" s="23">
        <v>3.422</v>
      </c>
      <c r="F193" s="61">
        <v>1086.1</v>
      </c>
      <c r="G193" s="23">
        <v>1.05</v>
      </c>
      <c r="H193" s="23">
        <v>0.378</v>
      </c>
      <c r="I193" s="1">
        <v>382.8</v>
      </c>
      <c r="J193" s="1">
        <v>969.1</v>
      </c>
      <c r="K193" s="1">
        <v>26417.0</v>
      </c>
      <c r="L193" s="1">
        <v>100.0</v>
      </c>
      <c r="M193" s="26">
        <v>14.669</v>
      </c>
      <c r="N193" s="23">
        <f t="shared" si="6"/>
        <v>0.378</v>
      </c>
      <c r="O193">
        <f t="shared" si="7"/>
        <v>1</v>
      </c>
      <c r="P193" s="39"/>
      <c r="Q193" s="76"/>
      <c r="R193" s="12"/>
      <c r="S193" s="26"/>
      <c r="T193" s="12"/>
      <c r="U193" s="26"/>
      <c r="V193" s="26"/>
      <c r="W193" s="23"/>
      <c r="X193" s="1"/>
      <c r="Y193" s="26"/>
      <c r="Z193" s="26"/>
    </row>
    <row r="194">
      <c r="A194" s="1">
        <v>307.0</v>
      </c>
      <c r="B194" s="1">
        <v>19847.0</v>
      </c>
      <c r="C194" s="23">
        <v>15.007</v>
      </c>
      <c r="D194" s="23">
        <v>11.759</v>
      </c>
      <c r="E194" s="23">
        <v>3.422</v>
      </c>
      <c r="F194" s="61">
        <v>1086.1</v>
      </c>
      <c r="G194" s="23">
        <v>1.05</v>
      </c>
      <c r="H194" s="23">
        <v>0.378</v>
      </c>
      <c r="I194" s="1">
        <v>382.8</v>
      </c>
      <c r="J194" s="1">
        <v>969.1</v>
      </c>
      <c r="K194" s="1">
        <v>26417.0</v>
      </c>
      <c r="L194" s="1">
        <v>100.0</v>
      </c>
      <c r="M194" s="26">
        <v>14.601</v>
      </c>
      <c r="N194" s="23">
        <f t="shared" si="6"/>
        <v>0.378</v>
      </c>
      <c r="O194">
        <f t="shared" si="7"/>
        <v>1</v>
      </c>
      <c r="P194" s="39"/>
      <c r="Q194" s="76"/>
      <c r="R194" s="12"/>
      <c r="S194" s="26"/>
      <c r="T194" s="12"/>
      <c r="U194" s="26"/>
      <c r="V194" s="26"/>
      <c r="W194" s="23"/>
      <c r="X194" s="1"/>
      <c r="Y194" s="26"/>
      <c r="Z194" s="26"/>
    </row>
    <row r="195">
      <c r="A195" s="1">
        <v>309.0</v>
      </c>
      <c r="B195" s="1">
        <v>19847.0</v>
      </c>
      <c r="C195" s="23">
        <v>14.668</v>
      </c>
      <c r="D195" s="23">
        <v>11.141</v>
      </c>
      <c r="E195" s="23">
        <v>3.422</v>
      </c>
      <c r="F195" s="61">
        <v>1086.1</v>
      </c>
      <c r="G195" s="23">
        <v>1.05</v>
      </c>
      <c r="H195" s="23">
        <v>0.378</v>
      </c>
      <c r="I195" s="1">
        <v>382.8</v>
      </c>
      <c r="J195" s="1">
        <v>969.1</v>
      </c>
      <c r="K195" s="1">
        <v>26417.0</v>
      </c>
      <c r="L195" s="1">
        <v>100.0</v>
      </c>
      <c r="M195" s="23">
        <v>14.601</v>
      </c>
      <c r="N195" s="23">
        <f t="shared" si="6"/>
        <v>0.378</v>
      </c>
      <c r="O195">
        <f t="shared" si="7"/>
        <v>1</v>
      </c>
      <c r="P195" s="39"/>
      <c r="Q195" s="76"/>
      <c r="R195" s="12"/>
      <c r="S195" s="26"/>
      <c r="T195" s="12"/>
      <c r="U195" s="26"/>
      <c r="V195" s="26"/>
      <c r="W195" s="23"/>
      <c r="X195" s="1"/>
      <c r="Y195" s="26"/>
      <c r="Z195" s="26"/>
    </row>
    <row r="196">
      <c r="A196" s="1" t="s">
        <v>500</v>
      </c>
      <c r="B196" s="1"/>
      <c r="C196" s="23"/>
      <c r="D196" s="23"/>
      <c r="E196" s="23"/>
      <c r="F196" s="61"/>
      <c r="G196" s="23"/>
      <c r="H196" s="23"/>
      <c r="I196" s="1"/>
      <c r="J196" s="1"/>
      <c r="K196" s="1"/>
      <c r="L196" s="1"/>
      <c r="M196" s="23"/>
      <c r="N196" s="23" t="str">
        <f t="shared" si="6"/>
        <v/>
      </c>
      <c r="O196" s="64" t="str">
        <f t="shared" si="7"/>
        <v/>
      </c>
      <c r="P196" s="39"/>
      <c r="Q196" s="76"/>
      <c r="R196" s="12"/>
      <c r="S196" s="26"/>
      <c r="T196" s="12"/>
      <c r="U196" s="26"/>
      <c r="V196" s="26"/>
      <c r="W196" s="23"/>
      <c r="X196" s="1"/>
      <c r="Y196" s="26"/>
      <c r="Z196" s="26"/>
    </row>
    <row r="197">
      <c r="A197" s="1">
        <v>311.0</v>
      </c>
      <c r="B197" s="1">
        <v>19847.0</v>
      </c>
      <c r="C197" s="26">
        <v>15.03</v>
      </c>
      <c r="D197" s="23">
        <v>11.502</v>
      </c>
      <c r="E197" s="23">
        <v>3.422</v>
      </c>
      <c r="F197" s="53">
        <v>1086.1</v>
      </c>
      <c r="G197" s="23">
        <v>1.033</v>
      </c>
      <c r="H197" s="23">
        <v>0.378</v>
      </c>
      <c r="I197" s="1">
        <v>382.8</v>
      </c>
      <c r="J197" s="1">
        <v>887.1</v>
      </c>
      <c r="K197" s="1">
        <v>26417.0</v>
      </c>
      <c r="L197" s="1">
        <v>100.0</v>
      </c>
      <c r="M197" s="23">
        <v>14.601</v>
      </c>
      <c r="N197" s="23">
        <f t="shared" si="6"/>
        <v>0.378</v>
      </c>
      <c r="O197">
        <f t="shared" si="7"/>
        <v>1</v>
      </c>
      <c r="P197" s="65"/>
      <c r="Q197" s="69"/>
      <c r="R197" s="12"/>
      <c r="S197" s="26"/>
      <c r="T197" s="12"/>
      <c r="U197" s="26"/>
      <c r="V197" s="26"/>
      <c r="W197" s="23"/>
      <c r="X197" s="1"/>
      <c r="Y197" s="26"/>
      <c r="Z197" s="26"/>
    </row>
    <row r="198">
      <c r="A198" s="1">
        <v>313.0</v>
      </c>
      <c r="B198" s="1">
        <v>19847.0</v>
      </c>
      <c r="C198" s="67">
        <v>15.054</v>
      </c>
      <c r="D198" s="67">
        <v>11.557</v>
      </c>
      <c r="E198" s="23">
        <v>3.422</v>
      </c>
      <c r="F198" s="71">
        <v>1101.1</v>
      </c>
      <c r="G198" s="23">
        <v>1.133</v>
      </c>
      <c r="H198" s="23">
        <v>0.408</v>
      </c>
      <c r="I198" s="1">
        <v>382.8</v>
      </c>
      <c r="J198" s="1">
        <v>887.1</v>
      </c>
      <c r="K198" s="1">
        <v>26417.0</v>
      </c>
      <c r="L198" s="1">
        <v>100.0</v>
      </c>
      <c r="M198" s="26">
        <v>14.59</v>
      </c>
      <c r="N198" s="23">
        <f t="shared" si="6"/>
        <v>0.408</v>
      </c>
      <c r="O198">
        <f t="shared" si="7"/>
        <v>1</v>
      </c>
      <c r="P198" s="65"/>
      <c r="Q198" s="69"/>
      <c r="R198" s="12"/>
      <c r="S198" s="26"/>
      <c r="T198" s="12"/>
      <c r="U198" s="26"/>
      <c r="V198" s="26"/>
      <c r="W198" s="23"/>
      <c r="X198" s="1"/>
      <c r="Y198" s="26"/>
      <c r="Z198" s="26"/>
    </row>
    <row r="199">
      <c r="A199" s="65">
        <v>315.0</v>
      </c>
      <c r="B199" s="1">
        <v>19847.0</v>
      </c>
      <c r="C199" s="66">
        <v>14.455</v>
      </c>
      <c r="D199" s="66">
        <v>11.609</v>
      </c>
      <c r="E199" s="26">
        <v>3.422</v>
      </c>
      <c r="F199" s="61">
        <v>1101.1</v>
      </c>
      <c r="G199" s="23">
        <v>1.163</v>
      </c>
      <c r="H199" s="23">
        <v>0.408</v>
      </c>
      <c r="I199" s="1">
        <v>382.8</v>
      </c>
      <c r="J199" s="1">
        <v>887.1</v>
      </c>
      <c r="K199" s="1">
        <v>26417.0</v>
      </c>
      <c r="L199" s="1">
        <v>100.0</v>
      </c>
      <c r="M199" s="26">
        <v>14.59</v>
      </c>
      <c r="N199" s="23">
        <f t="shared" si="6"/>
        <v>0.408</v>
      </c>
      <c r="O199">
        <f t="shared" si="7"/>
        <v>1</v>
      </c>
      <c r="P199" s="65"/>
      <c r="Q199" s="69"/>
      <c r="R199" s="12"/>
      <c r="S199" s="26"/>
      <c r="T199" s="12"/>
      <c r="U199" s="26"/>
      <c r="V199" s="26"/>
      <c r="W199" s="23"/>
      <c r="X199" s="1"/>
      <c r="Y199" s="26"/>
      <c r="Z199" s="26"/>
    </row>
    <row r="200">
      <c r="A200" s="39">
        <v>318.0</v>
      </c>
      <c r="B200" s="1">
        <v>19847.0</v>
      </c>
      <c r="C200" s="67">
        <v>14.207</v>
      </c>
      <c r="D200" s="67">
        <v>12.171</v>
      </c>
      <c r="E200" s="26">
        <v>3.422</v>
      </c>
      <c r="F200" s="61">
        <v>1101.1</v>
      </c>
      <c r="G200" s="23">
        <v>1.157</v>
      </c>
      <c r="H200" s="23">
        <v>0.416</v>
      </c>
      <c r="I200" s="1">
        <v>382.8</v>
      </c>
      <c r="J200" s="1">
        <v>867.3</v>
      </c>
      <c r="K200" s="1">
        <v>26417.0</v>
      </c>
      <c r="L200" s="1">
        <v>100.0</v>
      </c>
      <c r="M200" s="23">
        <v>14.569</v>
      </c>
      <c r="N200" s="23">
        <f t="shared" si="6"/>
        <v>0.416</v>
      </c>
      <c r="O200">
        <f t="shared" si="7"/>
        <v>1</v>
      </c>
      <c r="P200" s="65"/>
      <c r="Q200" s="69"/>
      <c r="R200" s="12"/>
      <c r="S200" s="26"/>
      <c r="T200" s="12"/>
      <c r="U200" s="26"/>
      <c r="V200" s="26"/>
      <c r="W200" s="23"/>
      <c r="X200" s="1"/>
      <c r="Y200" s="26"/>
      <c r="Z200" s="26"/>
    </row>
    <row r="201">
      <c r="A201" s="39">
        <v>320.0</v>
      </c>
      <c r="B201" s="1">
        <v>19847.0</v>
      </c>
      <c r="C201" s="67">
        <v>15.111</v>
      </c>
      <c r="D201" s="67">
        <v>13.042</v>
      </c>
      <c r="E201" s="26">
        <v>3.292</v>
      </c>
      <c r="F201" s="61">
        <v>1101.1</v>
      </c>
      <c r="G201" s="23">
        <v>1.163</v>
      </c>
      <c r="H201" s="23">
        <v>0.406</v>
      </c>
      <c r="I201" s="1">
        <v>382.8</v>
      </c>
      <c r="J201" s="1">
        <v>887.1</v>
      </c>
      <c r="K201" s="1">
        <v>26417.0</v>
      </c>
      <c r="L201" s="1">
        <v>100.0</v>
      </c>
      <c r="M201" s="23">
        <v>14.569</v>
      </c>
      <c r="N201" s="23">
        <f t="shared" si="6"/>
        <v>0.406</v>
      </c>
      <c r="O201">
        <f t="shared" si="7"/>
        <v>1</v>
      </c>
      <c r="P201" s="65"/>
      <c r="Q201" s="69"/>
      <c r="R201" s="12"/>
      <c r="S201" s="26"/>
      <c r="T201" s="12"/>
      <c r="U201" s="26"/>
      <c r="V201" s="26"/>
      <c r="W201" s="23"/>
      <c r="X201" s="1"/>
      <c r="Y201" s="26"/>
      <c r="Z201" s="26"/>
    </row>
    <row r="202">
      <c r="A202" s="39">
        <v>322.0</v>
      </c>
      <c r="B202" s="1">
        <v>19847.0</v>
      </c>
      <c r="C202" s="67">
        <v>15.935</v>
      </c>
      <c r="D202" s="67">
        <v>13.073</v>
      </c>
      <c r="E202" s="26">
        <v>3.329</v>
      </c>
      <c r="F202" s="61">
        <v>1101.1</v>
      </c>
      <c r="G202" s="23">
        <v>0.913</v>
      </c>
      <c r="H202" s="23">
        <v>0.406</v>
      </c>
      <c r="I202" s="1">
        <v>382.8</v>
      </c>
      <c r="J202" s="1">
        <v>887.1</v>
      </c>
      <c r="K202" s="1">
        <v>26417.0</v>
      </c>
      <c r="L202" s="1">
        <v>100.0</v>
      </c>
      <c r="M202" s="23">
        <v>14.709</v>
      </c>
      <c r="N202" s="23">
        <f t="shared" si="6"/>
        <v>0.406</v>
      </c>
      <c r="O202" s="64">
        <f t="shared" si="7"/>
        <v>0.913</v>
      </c>
      <c r="P202" s="65"/>
      <c r="Q202" s="69"/>
      <c r="R202" s="12"/>
      <c r="S202" s="26"/>
      <c r="T202" s="12"/>
      <c r="U202" s="26"/>
      <c r="V202" s="26"/>
      <c r="W202" s="23"/>
      <c r="X202" s="1"/>
      <c r="Y202" s="26"/>
      <c r="Z202" s="26"/>
    </row>
    <row r="203">
      <c r="A203" s="39">
        <v>324.0</v>
      </c>
      <c r="B203" s="1">
        <v>19622.0</v>
      </c>
      <c r="C203" s="67">
        <v>16.274</v>
      </c>
      <c r="D203" s="67">
        <v>13.119</v>
      </c>
      <c r="E203" s="26">
        <v>3.329</v>
      </c>
      <c r="F203" s="61">
        <v>1086.1</v>
      </c>
      <c r="G203" s="23">
        <v>0.813</v>
      </c>
      <c r="H203" s="23">
        <v>0.376</v>
      </c>
      <c r="I203" s="1">
        <v>382.8</v>
      </c>
      <c r="J203" s="1">
        <v>887.1</v>
      </c>
      <c r="K203" s="1">
        <v>26417.0</v>
      </c>
      <c r="L203" s="1">
        <v>100.0</v>
      </c>
      <c r="M203" s="23">
        <v>14.709</v>
      </c>
      <c r="N203" s="23">
        <f t="shared" si="6"/>
        <v>0.376</v>
      </c>
      <c r="O203" s="64">
        <f t="shared" si="7"/>
        <v>0.813</v>
      </c>
      <c r="P203" s="65"/>
      <c r="Q203" s="69"/>
      <c r="R203" s="12"/>
      <c r="S203" s="26"/>
      <c r="T203" s="12"/>
      <c r="U203" s="26"/>
      <c r="V203" s="26"/>
      <c r="W203" s="23"/>
      <c r="X203" s="1"/>
      <c r="Y203" s="26"/>
      <c r="Z203" s="26"/>
    </row>
    <row r="204">
      <c r="A204" s="39">
        <v>326.0</v>
      </c>
      <c r="B204" s="1">
        <v>21448.0</v>
      </c>
      <c r="C204" s="67">
        <v>16.455</v>
      </c>
      <c r="D204" s="67">
        <v>13.727</v>
      </c>
      <c r="E204" s="26">
        <v>3.399</v>
      </c>
      <c r="F204" s="61">
        <v>1086.1</v>
      </c>
      <c r="G204" s="26">
        <v>0.8</v>
      </c>
      <c r="H204" s="23">
        <v>1.376</v>
      </c>
      <c r="I204" s="1">
        <v>382.8</v>
      </c>
      <c r="J204" s="1">
        <v>969.1</v>
      </c>
      <c r="K204" s="1">
        <v>28874.0</v>
      </c>
      <c r="L204" s="1">
        <v>100.0</v>
      </c>
      <c r="M204" s="23">
        <v>14.699</v>
      </c>
      <c r="N204" s="23">
        <f t="shared" si="6"/>
        <v>1</v>
      </c>
      <c r="O204" s="12">
        <f t="shared" si="7"/>
        <v>0.8</v>
      </c>
      <c r="P204" s="65"/>
      <c r="Q204" s="69"/>
      <c r="R204" s="12"/>
      <c r="S204" s="26"/>
      <c r="T204" s="12"/>
      <c r="U204" s="26"/>
      <c r="V204" s="26"/>
      <c r="W204" s="23"/>
      <c r="X204" s="1"/>
      <c r="Y204" s="26"/>
      <c r="Z204" s="26"/>
    </row>
    <row r="205">
      <c r="A205" s="39">
        <v>328.0</v>
      </c>
      <c r="B205" s="1">
        <v>21448.0</v>
      </c>
      <c r="C205" s="67">
        <v>16.139</v>
      </c>
      <c r="D205" s="67">
        <v>13.592</v>
      </c>
      <c r="E205" s="26">
        <v>2.979</v>
      </c>
      <c r="F205" s="61">
        <v>1086.1</v>
      </c>
      <c r="G205" s="26">
        <v>0.8</v>
      </c>
      <c r="H205" s="23">
        <v>1.369</v>
      </c>
      <c r="I205" s="1">
        <v>382.8</v>
      </c>
      <c r="J205" s="1">
        <v>969.1</v>
      </c>
      <c r="K205" s="1">
        <v>28874.0</v>
      </c>
      <c r="L205" s="1">
        <v>100.0</v>
      </c>
      <c r="M205" s="23">
        <v>14.699</v>
      </c>
      <c r="N205" s="23">
        <f t="shared" si="6"/>
        <v>1</v>
      </c>
      <c r="O205" s="12">
        <f t="shared" si="7"/>
        <v>0.8</v>
      </c>
      <c r="P205" s="65"/>
      <c r="Q205" s="69"/>
      <c r="R205" s="12"/>
      <c r="S205" s="26"/>
      <c r="T205" s="12"/>
      <c r="U205" s="26"/>
      <c r="V205" s="26"/>
      <c r="W205" s="23"/>
      <c r="X205" s="1"/>
      <c r="Y205" s="26"/>
      <c r="Z205" s="26"/>
    </row>
    <row r="206">
      <c r="A206" s="39">
        <v>330.0</v>
      </c>
      <c r="B206" s="1">
        <v>21448.0</v>
      </c>
      <c r="C206" s="67">
        <v>15.834</v>
      </c>
      <c r="D206" s="67">
        <v>15.481</v>
      </c>
      <c r="E206" s="26">
        <v>2.979</v>
      </c>
      <c r="F206" s="61">
        <v>1086.1</v>
      </c>
      <c r="G206" s="26">
        <v>1.05</v>
      </c>
      <c r="H206" s="23">
        <v>0.378</v>
      </c>
      <c r="I206" s="1">
        <v>382.8</v>
      </c>
      <c r="J206" s="1">
        <v>969.1</v>
      </c>
      <c r="K206" s="1">
        <v>28874.0</v>
      </c>
      <c r="L206" s="1">
        <v>100.0</v>
      </c>
      <c r="M206" s="23">
        <v>14.766</v>
      </c>
      <c r="N206" s="23">
        <f t="shared" si="6"/>
        <v>0.378</v>
      </c>
      <c r="O206">
        <f t="shared" si="7"/>
        <v>1</v>
      </c>
      <c r="P206" s="65"/>
      <c r="Q206" s="69"/>
      <c r="R206" s="12"/>
      <c r="S206" s="26"/>
      <c r="T206" s="12"/>
      <c r="U206" s="26"/>
      <c r="V206" s="26"/>
      <c r="W206" s="23"/>
      <c r="X206" s="1"/>
      <c r="Y206" s="26"/>
      <c r="Z206" s="26"/>
    </row>
    <row r="207">
      <c r="A207" s="39">
        <v>332.0</v>
      </c>
      <c r="B207" s="1">
        <v>21693.0</v>
      </c>
      <c r="C207" s="67">
        <v>15.687</v>
      </c>
      <c r="D207" s="67">
        <v>15.946</v>
      </c>
      <c r="E207" s="26">
        <v>2.979</v>
      </c>
      <c r="F207" s="61">
        <v>1086.1</v>
      </c>
      <c r="G207" s="26">
        <v>1.08</v>
      </c>
      <c r="H207" s="23">
        <v>0.378</v>
      </c>
      <c r="I207" s="1">
        <v>382.8</v>
      </c>
      <c r="J207" s="1">
        <v>969.1</v>
      </c>
      <c r="K207" s="1">
        <v>28874.0</v>
      </c>
      <c r="L207" s="1">
        <v>100.0</v>
      </c>
      <c r="M207" s="23">
        <v>14.766</v>
      </c>
      <c r="N207" s="23">
        <f t="shared" si="6"/>
        <v>0.378</v>
      </c>
      <c r="O207">
        <f t="shared" si="7"/>
        <v>1</v>
      </c>
      <c r="P207" s="65"/>
      <c r="Q207" s="69"/>
      <c r="R207" s="12"/>
      <c r="S207" s="26"/>
      <c r="T207" s="12"/>
      <c r="U207" s="26"/>
      <c r="V207" s="26"/>
      <c r="W207" s="23"/>
      <c r="X207" s="1"/>
      <c r="Y207" s="26"/>
      <c r="Z207" s="26"/>
    </row>
    <row r="208">
      <c r="A208" s="65">
        <v>334.0</v>
      </c>
      <c r="B208" s="1">
        <v>21693.0</v>
      </c>
      <c r="C208" s="66">
        <v>15.099</v>
      </c>
      <c r="D208" s="66">
        <v>15.45</v>
      </c>
      <c r="E208" s="26">
        <v>2.859</v>
      </c>
      <c r="F208" s="61">
        <v>1101.1</v>
      </c>
      <c r="G208" s="26">
        <v>1.08</v>
      </c>
      <c r="H208" s="23">
        <v>0.378</v>
      </c>
      <c r="I208" s="1">
        <v>382.8</v>
      </c>
      <c r="J208" s="1">
        <v>969.1</v>
      </c>
      <c r="K208" s="1">
        <v>28874.0</v>
      </c>
      <c r="L208" s="1">
        <v>100.0</v>
      </c>
      <c r="M208" s="23">
        <v>14.738</v>
      </c>
      <c r="N208" s="23">
        <f t="shared" si="6"/>
        <v>0.378</v>
      </c>
      <c r="O208">
        <f t="shared" si="7"/>
        <v>1</v>
      </c>
      <c r="P208" s="65"/>
      <c r="Q208" s="69"/>
      <c r="R208" s="12"/>
      <c r="S208" s="26"/>
      <c r="T208" s="12"/>
      <c r="U208" s="26"/>
      <c r="V208" s="26"/>
      <c r="W208" s="23"/>
      <c r="X208" s="1"/>
      <c r="Y208" s="26"/>
      <c r="Z208" s="26"/>
    </row>
    <row r="209">
      <c r="A209" s="65">
        <v>336.0</v>
      </c>
      <c r="B209" s="1">
        <v>21693.0</v>
      </c>
      <c r="C209" s="66">
        <v>14.546</v>
      </c>
      <c r="D209" s="66">
        <v>14.613</v>
      </c>
      <c r="E209" s="26">
        <v>3.279</v>
      </c>
      <c r="F209" s="61">
        <v>1101.1</v>
      </c>
      <c r="G209" s="26">
        <v>1.08</v>
      </c>
      <c r="H209" s="23">
        <v>0.386</v>
      </c>
      <c r="I209" s="1">
        <v>382.8</v>
      </c>
      <c r="J209" s="1">
        <v>969.1</v>
      </c>
      <c r="K209" s="1">
        <v>28874.0</v>
      </c>
      <c r="L209" s="1">
        <v>100.0</v>
      </c>
      <c r="M209" s="23">
        <v>14.738</v>
      </c>
      <c r="N209" s="23">
        <f t="shared" si="6"/>
        <v>0.386</v>
      </c>
      <c r="O209">
        <f t="shared" si="7"/>
        <v>1</v>
      </c>
      <c r="P209" s="65"/>
      <c r="Q209" s="69"/>
      <c r="R209" s="12"/>
      <c r="S209" s="26"/>
      <c r="T209" s="12"/>
      <c r="U209" s="26"/>
      <c r="V209" s="26"/>
      <c r="W209" s="23"/>
      <c r="X209" s="1"/>
      <c r="Y209" s="26"/>
      <c r="Z209" s="26"/>
    </row>
    <row r="210">
      <c r="A210" s="65">
        <v>338.0</v>
      </c>
      <c r="B210" s="1">
        <v>21693.0</v>
      </c>
      <c r="C210" s="66">
        <v>15.382</v>
      </c>
      <c r="D210" s="66">
        <v>12.402</v>
      </c>
      <c r="E210" s="26">
        <v>3.316</v>
      </c>
      <c r="F210" s="61">
        <v>1101.1</v>
      </c>
      <c r="G210" s="26">
        <v>1.08</v>
      </c>
      <c r="H210" s="23">
        <v>0.386</v>
      </c>
      <c r="I210" s="1">
        <v>382.8</v>
      </c>
      <c r="J210" s="1">
        <v>969.1</v>
      </c>
      <c r="K210" s="1">
        <v>28874.0</v>
      </c>
      <c r="L210" s="1">
        <v>100.0</v>
      </c>
      <c r="M210" s="23">
        <v>14.646</v>
      </c>
      <c r="N210" s="23">
        <f t="shared" si="6"/>
        <v>0.386</v>
      </c>
      <c r="O210">
        <f t="shared" si="7"/>
        <v>1</v>
      </c>
      <c r="P210" s="65"/>
      <c r="Q210" s="69"/>
      <c r="R210" s="12"/>
      <c r="S210" s="26"/>
      <c r="T210" s="12"/>
      <c r="U210" s="26"/>
      <c r="V210" s="26"/>
      <c r="W210" s="23"/>
      <c r="X210" s="1"/>
      <c r="Y210" s="26"/>
      <c r="Z210" s="26"/>
    </row>
    <row r="211">
      <c r="A211" s="65" t="s">
        <v>501</v>
      </c>
      <c r="B211" s="1"/>
      <c r="C211" s="65"/>
      <c r="D211" s="66"/>
      <c r="E211" s="12"/>
      <c r="F211" s="1"/>
      <c r="G211" s="1"/>
      <c r="H211" s="1"/>
      <c r="I211" s="23"/>
      <c r="J211" s="12"/>
      <c r="K211" s="1"/>
      <c r="N211" s="23" t="str">
        <f t="shared" si="6"/>
        <v/>
      </c>
      <c r="O211" t="str">
        <f t="shared" si="7"/>
        <v/>
      </c>
      <c r="P211" s="65"/>
      <c r="Q211" s="69"/>
      <c r="R211" s="12"/>
      <c r="S211" s="26"/>
      <c r="T211" s="12"/>
      <c r="U211" s="26"/>
      <c r="V211" s="26"/>
      <c r="W211" s="23"/>
      <c r="X211" s="1"/>
      <c r="Y211" s="26"/>
      <c r="Z211" s="26"/>
    </row>
    <row r="212">
      <c r="A212" s="65">
        <v>340.0</v>
      </c>
      <c r="B212" s="1">
        <v>21693.0</v>
      </c>
      <c r="C212" s="66">
        <v>15.404</v>
      </c>
      <c r="D212" s="69">
        <v>12.488</v>
      </c>
      <c r="E212" s="26">
        <v>3.316</v>
      </c>
      <c r="F212" s="61">
        <v>1101.1</v>
      </c>
      <c r="G212" s="26">
        <v>1.08</v>
      </c>
      <c r="H212" s="23">
        <v>0.376</v>
      </c>
      <c r="I212" s="1">
        <v>382.8</v>
      </c>
      <c r="J212" s="1">
        <v>969.1</v>
      </c>
      <c r="K212" s="1">
        <v>28874.0</v>
      </c>
      <c r="L212" s="1">
        <v>100.0</v>
      </c>
      <c r="M212" s="23">
        <v>14.646</v>
      </c>
      <c r="N212" s="23">
        <f t="shared" si="6"/>
        <v>0.376</v>
      </c>
      <c r="O212">
        <f t="shared" si="7"/>
        <v>1</v>
      </c>
      <c r="P212" s="65"/>
      <c r="Q212" s="69"/>
      <c r="R212" s="12"/>
      <c r="S212" s="26"/>
      <c r="T212" s="12"/>
      <c r="U212" s="26"/>
      <c r="V212" s="26"/>
      <c r="W212" s="23"/>
      <c r="X212" s="1"/>
      <c r="Y212" s="26"/>
      <c r="Z212" s="26"/>
    </row>
    <row r="213">
      <c r="A213" s="65" t="s">
        <v>502</v>
      </c>
      <c r="B213" s="1"/>
      <c r="C213" s="65"/>
      <c r="D213" s="66"/>
      <c r="E213" s="12"/>
      <c r="F213" s="1"/>
      <c r="G213" s="1"/>
      <c r="H213" s="1"/>
      <c r="I213" s="23"/>
      <c r="J213" s="12"/>
      <c r="K213" s="1"/>
      <c r="N213" s="23" t="str">
        <f t="shared" si="6"/>
        <v/>
      </c>
      <c r="O213" t="str">
        <f t="shared" si="7"/>
        <v/>
      </c>
      <c r="P213" s="65"/>
      <c r="Q213" s="69"/>
      <c r="R213" s="12"/>
      <c r="S213" s="26"/>
      <c r="T213" s="12"/>
      <c r="U213" s="26"/>
      <c r="V213" s="26"/>
      <c r="W213" s="23"/>
      <c r="X213" s="1"/>
      <c r="Y213" s="26"/>
      <c r="Z213" s="26"/>
    </row>
    <row r="214">
      <c r="A214" s="65" t="s">
        <v>502</v>
      </c>
      <c r="B214" s="1"/>
      <c r="C214" s="65"/>
      <c r="D214" s="66"/>
      <c r="E214" s="12"/>
      <c r="F214" s="1"/>
      <c r="G214" s="1"/>
      <c r="H214" s="1"/>
      <c r="I214" s="23"/>
      <c r="J214" s="12"/>
      <c r="K214" s="1"/>
      <c r="N214" s="23" t="str">
        <f t="shared" si="6"/>
        <v/>
      </c>
      <c r="O214" t="str">
        <f t="shared" si="7"/>
        <v/>
      </c>
      <c r="P214" s="65"/>
      <c r="Q214" s="69"/>
      <c r="R214" s="12"/>
      <c r="S214" s="26"/>
      <c r="T214" s="12"/>
      <c r="U214" s="26"/>
      <c r="V214" s="26"/>
      <c r="W214" s="23"/>
      <c r="X214" s="1"/>
      <c r="Y214" s="26"/>
      <c r="Z214" s="26"/>
    </row>
    <row r="215">
      <c r="A215" s="65" t="s">
        <v>508</v>
      </c>
      <c r="B215" s="1"/>
      <c r="C215" s="65"/>
      <c r="D215" s="66"/>
      <c r="E215" s="12"/>
      <c r="F215" s="1"/>
      <c r="G215" s="1"/>
      <c r="H215" s="1"/>
      <c r="I215" s="23"/>
      <c r="J215" s="12"/>
      <c r="K215" s="1"/>
      <c r="N215" s="23" t="str">
        <f t="shared" si="6"/>
        <v/>
      </c>
      <c r="O215" t="str">
        <f t="shared" si="7"/>
        <v/>
      </c>
      <c r="P215" s="65"/>
      <c r="Q215" s="69"/>
      <c r="R215" s="12"/>
      <c r="S215" s="26"/>
      <c r="T215" s="12"/>
      <c r="U215" s="26"/>
      <c r="V215" s="26"/>
      <c r="W215" s="23"/>
      <c r="X215" s="1"/>
      <c r="Y215" s="26"/>
      <c r="Z215" s="26"/>
    </row>
    <row r="216">
      <c r="A216" s="65" t="s">
        <v>502</v>
      </c>
      <c r="B216" s="1"/>
      <c r="C216" s="65"/>
      <c r="D216" s="66"/>
      <c r="E216" s="12"/>
      <c r="F216" s="1"/>
      <c r="G216" s="1"/>
      <c r="H216" s="1"/>
      <c r="I216" s="23"/>
      <c r="J216" s="12"/>
      <c r="K216" s="1"/>
      <c r="N216" s="23" t="str">
        <f t="shared" si="6"/>
        <v/>
      </c>
      <c r="O216" t="str">
        <f t="shared" si="7"/>
        <v/>
      </c>
      <c r="P216" s="65"/>
      <c r="Q216" s="69"/>
      <c r="R216" s="12"/>
      <c r="S216" s="26"/>
      <c r="T216" s="12"/>
      <c r="U216" s="26"/>
      <c r="V216" s="26"/>
      <c r="W216" s="23"/>
      <c r="X216" s="1"/>
      <c r="Y216" s="26"/>
      <c r="Z216" s="26"/>
    </row>
    <row r="217">
      <c r="A217" s="65" t="s">
        <v>504</v>
      </c>
      <c r="B217" s="1"/>
      <c r="C217" s="65"/>
      <c r="D217" s="66"/>
      <c r="E217" s="12"/>
      <c r="F217" s="1"/>
      <c r="G217" s="1"/>
      <c r="H217" s="1"/>
      <c r="I217" s="23"/>
      <c r="J217" s="12"/>
      <c r="K217" s="1"/>
      <c r="N217" s="23" t="str">
        <f t="shared" si="6"/>
        <v/>
      </c>
      <c r="O217" t="str">
        <f t="shared" si="7"/>
        <v/>
      </c>
      <c r="P217" s="65"/>
      <c r="Q217" s="69"/>
      <c r="R217" s="12"/>
      <c r="S217" s="26"/>
      <c r="T217" s="12"/>
      <c r="U217" s="26"/>
      <c r="V217" s="26"/>
      <c r="W217" s="23"/>
      <c r="X217" s="1"/>
      <c r="Y217" s="26"/>
      <c r="Z217" s="26"/>
    </row>
    <row r="218">
      <c r="A218" s="65">
        <v>342.0</v>
      </c>
      <c r="B218" s="1">
        <v>19847.0</v>
      </c>
      <c r="C218" s="66">
        <v>14.907</v>
      </c>
      <c r="D218" s="66">
        <v>12.155</v>
      </c>
      <c r="E218" s="26">
        <v>3.246</v>
      </c>
      <c r="F218" s="61">
        <v>1101.1</v>
      </c>
      <c r="G218" s="23">
        <v>1.063</v>
      </c>
      <c r="H218" s="23">
        <v>0.376</v>
      </c>
      <c r="I218" s="1">
        <v>382.8</v>
      </c>
      <c r="J218" s="1">
        <v>887.1</v>
      </c>
      <c r="K218" s="1">
        <v>26417.0</v>
      </c>
      <c r="L218" s="1">
        <v>100.0</v>
      </c>
      <c r="M218" s="23">
        <v>14.622</v>
      </c>
      <c r="N218" s="23">
        <f t="shared" si="6"/>
        <v>0.376</v>
      </c>
      <c r="O218">
        <f t="shared" si="7"/>
        <v>1</v>
      </c>
      <c r="P218" s="39"/>
      <c r="Q218" s="76"/>
      <c r="R218" s="12"/>
      <c r="S218" s="26"/>
      <c r="T218" s="12"/>
      <c r="U218" s="26"/>
      <c r="V218" s="26"/>
      <c r="W218" s="23"/>
      <c r="X218" s="1"/>
      <c r="Y218" s="26"/>
      <c r="Z218" s="26"/>
    </row>
    <row r="219">
      <c r="A219" s="39">
        <v>344.0</v>
      </c>
      <c r="B219" s="1">
        <v>19847.0</v>
      </c>
      <c r="C219" s="67">
        <v>14.896</v>
      </c>
      <c r="D219" s="67">
        <v>12.212</v>
      </c>
      <c r="E219" s="26">
        <v>3.283</v>
      </c>
      <c r="F219" s="61">
        <v>1101.1</v>
      </c>
      <c r="G219" s="23">
        <v>1.063</v>
      </c>
      <c r="H219" s="23">
        <v>0.376</v>
      </c>
      <c r="I219" s="1">
        <v>382.8</v>
      </c>
      <c r="J219" s="1">
        <v>887.1</v>
      </c>
      <c r="K219" s="1">
        <v>26417.0</v>
      </c>
      <c r="L219" s="1">
        <v>100.0</v>
      </c>
      <c r="M219" s="23">
        <v>14.622</v>
      </c>
      <c r="N219" s="23">
        <f t="shared" si="6"/>
        <v>0.376</v>
      </c>
      <c r="O219">
        <f t="shared" si="7"/>
        <v>1</v>
      </c>
      <c r="P219" s="39"/>
      <c r="Q219" s="76"/>
      <c r="R219" s="12"/>
      <c r="S219" s="26"/>
      <c r="T219" s="12"/>
      <c r="U219" s="26"/>
      <c r="V219" s="26"/>
      <c r="W219" s="23"/>
      <c r="X219" s="1"/>
      <c r="Y219" s="26"/>
      <c r="Z219" s="26"/>
    </row>
    <row r="220">
      <c r="A220" s="65" t="s">
        <v>509</v>
      </c>
      <c r="B220" s="1"/>
      <c r="C220" s="65"/>
      <c r="D220" s="66"/>
      <c r="E220" s="12"/>
      <c r="F220" s="1"/>
      <c r="G220" s="1"/>
      <c r="H220" s="1"/>
      <c r="I220" s="23"/>
      <c r="J220" s="12"/>
      <c r="K220" s="1"/>
      <c r="N220" s="23" t="str">
        <f t="shared" si="6"/>
        <v/>
      </c>
      <c r="O220" t="str">
        <f t="shared" si="7"/>
        <v/>
      </c>
      <c r="P220" s="39"/>
      <c r="Q220" s="76"/>
      <c r="R220" s="12"/>
      <c r="S220" s="26"/>
      <c r="T220" s="12"/>
      <c r="U220" s="26"/>
      <c r="V220" s="26"/>
      <c r="W220" s="23"/>
      <c r="X220" s="1"/>
      <c r="Y220" s="26"/>
      <c r="Z220" s="26"/>
    </row>
    <row r="221">
      <c r="A221" s="65">
        <v>346.0</v>
      </c>
      <c r="B221" s="1">
        <v>19847.0</v>
      </c>
      <c r="C221" s="66">
        <v>14.873</v>
      </c>
      <c r="D221" s="66">
        <v>12.325</v>
      </c>
      <c r="E221" s="26">
        <v>3.283</v>
      </c>
      <c r="F221" s="61">
        <v>1086.1</v>
      </c>
      <c r="G221" s="23">
        <v>1.063</v>
      </c>
      <c r="H221" s="23">
        <v>0.376</v>
      </c>
      <c r="I221" s="1">
        <v>382.8</v>
      </c>
      <c r="J221" s="1">
        <v>887.1</v>
      </c>
      <c r="K221" s="1">
        <v>26417.0</v>
      </c>
      <c r="L221" s="1">
        <v>100.0</v>
      </c>
      <c r="M221" s="23">
        <v>14.622</v>
      </c>
      <c r="N221" s="23">
        <f t="shared" si="6"/>
        <v>0.376</v>
      </c>
      <c r="O221">
        <f t="shared" si="7"/>
        <v>1</v>
      </c>
      <c r="P221" s="65"/>
      <c r="Q221" s="69"/>
      <c r="R221" s="12"/>
      <c r="S221" s="26"/>
      <c r="T221" s="12"/>
      <c r="U221" s="26"/>
      <c r="V221" s="26"/>
      <c r="W221" s="23"/>
      <c r="X221" s="1"/>
      <c r="Y221" s="26"/>
      <c r="Z221" s="26"/>
    </row>
    <row r="222">
      <c r="A222" s="65">
        <v>348.0</v>
      </c>
      <c r="B222" s="1">
        <v>19847.0</v>
      </c>
      <c r="C222" s="66">
        <v>14.308</v>
      </c>
      <c r="D222" s="66">
        <v>12.083</v>
      </c>
      <c r="E222" s="26">
        <v>3.905</v>
      </c>
      <c r="F222" s="61">
        <v>1086.1</v>
      </c>
      <c r="G222" s="23">
        <v>1.063</v>
      </c>
      <c r="H222" s="23">
        <v>0.376</v>
      </c>
      <c r="I222" s="1">
        <v>382.8</v>
      </c>
      <c r="J222" s="1">
        <v>887.1</v>
      </c>
      <c r="K222" s="1">
        <v>26417.0</v>
      </c>
      <c r="L222" s="1">
        <v>100.0</v>
      </c>
      <c r="M222" s="23">
        <v>14.663</v>
      </c>
      <c r="N222" s="23">
        <f t="shared" si="6"/>
        <v>0.376</v>
      </c>
      <c r="O222">
        <f t="shared" si="7"/>
        <v>1</v>
      </c>
      <c r="P222" s="65"/>
      <c r="Q222" s="69"/>
      <c r="R222" s="12"/>
      <c r="S222" s="26"/>
      <c r="T222" s="12"/>
      <c r="U222" s="26"/>
      <c r="V222" s="26"/>
      <c r="W222" s="23"/>
      <c r="X222" s="1"/>
      <c r="Y222" s="26"/>
      <c r="Z222" s="26"/>
    </row>
    <row r="223">
      <c r="A223" s="65">
        <v>350.0</v>
      </c>
      <c r="B223" s="1">
        <v>19847.0</v>
      </c>
      <c r="C223" s="66">
        <v>15.992</v>
      </c>
      <c r="D223" s="66">
        <v>13.703</v>
      </c>
      <c r="E223" s="26">
        <v>3.905</v>
      </c>
      <c r="F223" s="61">
        <v>1086.1</v>
      </c>
      <c r="G223" s="23">
        <v>1.033</v>
      </c>
      <c r="H223" s="23">
        <v>0.376</v>
      </c>
      <c r="I223" s="1">
        <v>382.8</v>
      </c>
      <c r="J223" s="1">
        <v>887.1</v>
      </c>
      <c r="K223" s="1">
        <v>26417.0</v>
      </c>
      <c r="L223" s="1">
        <v>100.0</v>
      </c>
      <c r="M223" s="23">
        <v>14.663</v>
      </c>
      <c r="N223" s="23">
        <f t="shared" si="6"/>
        <v>0.376</v>
      </c>
      <c r="O223">
        <f t="shared" si="7"/>
        <v>1</v>
      </c>
      <c r="P223" s="65"/>
      <c r="Q223" s="69"/>
      <c r="R223" s="12"/>
      <c r="S223" s="26"/>
      <c r="T223" s="12"/>
      <c r="U223" s="26"/>
      <c r="V223" s="26"/>
      <c r="W223" s="23"/>
      <c r="X223" s="1"/>
      <c r="Y223" s="26"/>
      <c r="Z223" s="26"/>
    </row>
    <row r="224">
      <c r="A224" s="39">
        <v>352.0</v>
      </c>
      <c r="B224" s="1">
        <v>24462.0</v>
      </c>
      <c r="C224" s="67">
        <v>16.625</v>
      </c>
      <c r="D224" s="67">
        <v>14.051</v>
      </c>
      <c r="E224" s="26">
        <v>4.102</v>
      </c>
      <c r="F224" s="61">
        <v>1086.1</v>
      </c>
      <c r="G224" s="23">
        <v>1.033</v>
      </c>
      <c r="H224" s="23">
        <v>0.376</v>
      </c>
      <c r="I224" s="1">
        <v>382.8</v>
      </c>
      <c r="J224" s="1">
        <v>887.1</v>
      </c>
      <c r="K224" s="1">
        <v>32560.0</v>
      </c>
      <c r="L224" s="1">
        <v>100.0</v>
      </c>
      <c r="M224" s="23">
        <v>14.773</v>
      </c>
      <c r="N224" s="23">
        <f t="shared" si="6"/>
        <v>0.376</v>
      </c>
      <c r="O224">
        <f t="shared" si="7"/>
        <v>1</v>
      </c>
      <c r="P224" s="65"/>
      <c r="Q224" s="69"/>
      <c r="R224" s="12"/>
      <c r="S224" s="26"/>
      <c r="T224" s="12"/>
      <c r="U224" s="26"/>
      <c r="V224" s="26"/>
      <c r="W224" s="23"/>
      <c r="X224" s="1"/>
      <c r="Y224" s="26"/>
      <c r="Z224" s="26"/>
    </row>
    <row r="225">
      <c r="A225" s="39">
        <v>354.0</v>
      </c>
      <c r="B225" s="1">
        <v>24462.0</v>
      </c>
      <c r="C225" s="67">
        <v>16.613</v>
      </c>
      <c r="D225" s="67">
        <v>14.105</v>
      </c>
      <c r="E225" s="26">
        <v>4.102</v>
      </c>
      <c r="F225" s="61">
        <v>1086.1</v>
      </c>
      <c r="G225" s="23">
        <v>1.063</v>
      </c>
      <c r="H225" s="23">
        <v>0.376</v>
      </c>
      <c r="I225" s="1">
        <v>382.8</v>
      </c>
      <c r="J225" s="1">
        <v>887.1</v>
      </c>
      <c r="K225" s="1">
        <v>32560.0</v>
      </c>
      <c r="L225" s="1">
        <v>100.0</v>
      </c>
      <c r="M225" s="23">
        <v>14.773</v>
      </c>
      <c r="N225" s="23">
        <f t="shared" si="6"/>
        <v>0.376</v>
      </c>
      <c r="O225">
        <f t="shared" si="7"/>
        <v>1</v>
      </c>
      <c r="P225" s="65"/>
      <c r="Q225" s="69"/>
      <c r="R225" s="12"/>
      <c r="S225" s="26"/>
      <c r="T225" s="12"/>
      <c r="U225" s="26"/>
      <c r="V225" s="26"/>
      <c r="W225" s="23"/>
      <c r="X225" s="1"/>
      <c r="Y225" s="26"/>
      <c r="Z225" s="26"/>
    </row>
    <row r="226">
      <c r="A226" s="39" t="s">
        <v>505</v>
      </c>
      <c r="B226" s="1"/>
      <c r="C226" s="39"/>
      <c r="D226" s="67"/>
      <c r="E226" s="12"/>
      <c r="F226" s="1"/>
      <c r="G226" s="1"/>
      <c r="H226" s="1"/>
      <c r="I226" s="23"/>
      <c r="J226" s="12"/>
      <c r="K226" s="1"/>
      <c r="N226" s="23" t="str">
        <f t="shared" si="6"/>
        <v/>
      </c>
      <c r="O226" t="str">
        <f t="shared" si="7"/>
        <v/>
      </c>
      <c r="P226" s="65"/>
      <c r="Q226" s="69"/>
      <c r="R226" s="12"/>
      <c r="S226" s="26"/>
      <c r="T226" s="12"/>
      <c r="U226" s="26"/>
      <c r="V226" s="26"/>
      <c r="W226" s="23"/>
      <c r="X226" s="1"/>
      <c r="Y226" s="26"/>
      <c r="Z226" s="26"/>
    </row>
    <row r="227">
      <c r="A227" s="39">
        <v>356.0</v>
      </c>
      <c r="B227" s="1">
        <v>24462.0</v>
      </c>
      <c r="C227" s="67">
        <v>16.331</v>
      </c>
      <c r="D227" s="67">
        <v>14.247</v>
      </c>
      <c r="E227" s="26">
        <v>4.102</v>
      </c>
      <c r="F227" s="61">
        <v>1086.1</v>
      </c>
      <c r="G227" s="23">
        <v>1.063</v>
      </c>
      <c r="H227" s="23">
        <v>0.376</v>
      </c>
      <c r="I227" s="1">
        <v>382.8</v>
      </c>
      <c r="J227" s="1">
        <v>887.1</v>
      </c>
      <c r="K227" s="1">
        <v>32560.0</v>
      </c>
      <c r="L227" s="1">
        <v>100.0</v>
      </c>
      <c r="M227" s="23">
        <v>14.928</v>
      </c>
      <c r="N227" s="23">
        <f t="shared" si="6"/>
        <v>0.376</v>
      </c>
      <c r="O227">
        <f t="shared" si="7"/>
        <v>1</v>
      </c>
      <c r="P227" s="65"/>
      <c r="Q227" s="69"/>
      <c r="R227" s="12"/>
      <c r="S227" s="26"/>
      <c r="T227" s="12"/>
      <c r="U227" s="26"/>
      <c r="V227" s="26"/>
      <c r="W227" s="23"/>
      <c r="X227" s="1"/>
      <c r="Y227" s="26"/>
      <c r="Z227" s="26"/>
    </row>
    <row r="228">
      <c r="A228" s="39">
        <v>358.0</v>
      </c>
      <c r="B228" s="1">
        <v>24462.0</v>
      </c>
      <c r="C228" s="67">
        <v>16.332</v>
      </c>
      <c r="D228" s="67">
        <v>13.779</v>
      </c>
      <c r="E228" s="26">
        <v>3.684</v>
      </c>
      <c r="F228" s="61">
        <v>1086.1</v>
      </c>
      <c r="G228" s="26">
        <v>1.08</v>
      </c>
      <c r="H228" s="23">
        <v>0.386</v>
      </c>
      <c r="I228" s="1">
        <v>382.8</v>
      </c>
      <c r="J228" s="1">
        <v>969.1</v>
      </c>
      <c r="K228" s="1">
        <v>32560.0</v>
      </c>
      <c r="L228" s="1">
        <v>100.0</v>
      </c>
      <c r="M228" s="23">
        <v>14.928</v>
      </c>
      <c r="N228" s="23">
        <f t="shared" si="6"/>
        <v>0.386</v>
      </c>
      <c r="O228">
        <f t="shared" si="7"/>
        <v>1</v>
      </c>
      <c r="P228" s="65"/>
      <c r="Q228" s="69"/>
      <c r="R228" s="12"/>
      <c r="S228" s="26"/>
      <c r="T228" s="12"/>
      <c r="U228" s="26"/>
      <c r="V228" s="26"/>
      <c r="W228" s="23"/>
      <c r="X228" s="1"/>
      <c r="Y228" s="26"/>
      <c r="Z228" s="26"/>
    </row>
    <row r="229">
      <c r="A229" s="39">
        <v>360.0</v>
      </c>
      <c r="B229" s="1">
        <v>24462.0</v>
      </c>
      <c r="C229" s="67">
        <v>15.621</v>
      </c>
      <c r="D229" s="67">
        <v>14.449</v>
      </c>
      <c r="E229" s="26">
        <v>4.182</v>
      </c>
      <c r="F229" s="61">
        <v>1061.8</v>
      </c>
      <c r="G229" s="23">
        <v>1.073</v>
      </c>
      <c r="H229" s="23">
        <v>0.386</v>
      </c>
      <c r="I229" s="1">
        <v>382.8</v>
      </c>
      <c r="J229" s="1">
        <v>929.8</v>
      </c>
      <c r="K229" s="1">
        <v>32560.0</v>
      </c>
      <c r="L229" s="1">
        <v>100.0</v>
      </c>
      <c r="M229" s="23">
        <v>14.941</v>
      </c>
      <c r="N229" s="23">
        <f t="shared" si="6"/>
        <v>0.386</v>
      </c>
      <c r="O229">
        <f t="shared" si="7"/>
        <v>1</v>
      </c>
      <c r="P229" s="65"/>
      <c r="Q229" s="69"/>
      <c r="R229" s="12"/>
      <c r="S229" s="26"/>
      <c r="T229" s="12"/>
      <c r="U229" s="26"/>
      <c r="V229" s="26"/>
      <c r="W229" s="23"/>
      <c r="X229" s="1"/>
      <c r="Y229" s="26"/>
      <c r="Z229" s="26"/>
    </row>
    <row r="230">
      <c r="A230" s="39">
        <v>362.0</v>
      </c>
      <c r="B230" s="1">
        <v>23643.0</v>
      </c>
      <c r="C230" s="67">
        <v>16.289</v>
      </c>
      <c r="D230" s="67">
        <v>14.519</v>
      </c>
      <c r="E230" s="26">
        <v>4.182</v>
      </c>
      <c r="F230" s="61">
        <v>1101.1</v>
      </c>
      <c r="G230" s="26">
        <v>1.08</v>
      </c>
      <c r="H230" s="23">
        <v>0.386</v>
      </c>
      <c r="I230" s="1">
        <v>382.8</v>
      </c>
      <c r="J230" s="1">
        <v>969.1</v>
      </c>
      <c r="K230" s="1">
        <v>32560.0</v>
      </c>
      <c r="L230" s="1">
        <v>100.0</v>
      </c>
      <c r="M230" s="23">
        <v>14.941</v>
      </c>
      <c r="N230" s="23">
        <f t="shared" si="6"/>
        <v>0.386</v>
      </c>
      <c r="O230">
        <f t="shared" si="7"/>
        <v>1</v>
      </c>
      <c r="P230" s="65"/>
      <c r="Q230" s="69"/>
      <c r="R230" s="12"/>
      <c r="S230" s="26"/>
      <c r="T230" s="12"/>
      <c r="U230" s="26"/>
      <c r="V230" s="26"/>
      <c r="W230" s="23"/>
      <c r="X230" s="1"/>
      <c r="Y230" s="26"/>
      <c r="Z230" s="26"/>
    </row>
    <row r="231">
      <c r="A231" s="39">
        <v>364.0</v>
      </c>
      <c r="B231" s="1">
        <v>24462.0</v>
      </c>
      <c r="C231" s="67">
        <v>16.278</v>
      </c>
      <c r="D231" s="67">
        <v>14.559</v>
      </c>
      <c r="E231" s="26">
        <v>4.223</v>
      </c>
      <c r="F231" s="61">
        <v>1101.1</v>
      </c>
      <c r="G231" s="26">
        <v>1.08</v>
      </c>
      <c r="H231" s="23">
        <v>0.386</v>
      </c>
      <c r="I231" s="1">
        <v>382.8</v>
      </c>
      <c r="J231" s="1">
        <v>969.1</v>
      </c>
      <c r="K231" s="1">
        <v>32560.0</v>
      </c>
      <c r="L231" s="1">
        <v>100.0</v>
      </c>
      <c r="M231" s="23">
        <v>14.864</v>
      </c>
      <c r="N231" s="23">
        <f t="shared" si="6"/>
        <v>0.386</v>
      </c>
      <c r="O231">
        <f t="shared" si="7"/>
        <v>1</v>
      </c>
      <c r="P231" s="65"/>
      <c r="Q231" s="69"/>
      <c r="R231" s="12"/>
      <c r="S231" s="26"/>
      <c r="T231" s="12"/>
      <c r="U231" s="26"/>
      <c r="V231" s="26"/>
      <c r="W231" s="23"/>
      <c r="X231" s="1"/>
      <c r="Y231" s="26"/>
      <c r="Z231" s="26"/>
    </row>
    <row r="232">
      <c r="A232" s="65">
        <v>366.0</v>
      </c>
      <c r="B232" s="1">
        <v>18924.0</v>
      </c>
      <c r="C232" s="69">
        <v>14.82</v>
      </c>
      <c r="D232" s="66">
        <v>12.478</v>
      </c>
      <c r="E232" s="26">
        <v>4.386</v>
      </c>
      <c r="F232" s="61">
        <v>1101.1</v>
      </c>
      <c r="G232" s="26">
        <v>0.8</v>
      </c>
      <c r="H232" s="23">
        <v>0.378</v>
      </c>
      <c r="I232" s="1">
        <v>382.8</v>
      </c>
      <c r="J232" s="1">
        <v>969.1</v>
      </c>
      <c r="K232" s="1">
        <v>25188.0</v>
      </c>
      <c r="L232" s="1">
        <v>100.0</v>
      </c>
      <c r="M232" s="23">
        <v>14.864</v>
      </c>
      <c r="N232" s="23">
        <f t="shared" si="6"/>
        <v>0.378</v>
      </c>
      <c r="O232" s="12">
        <f t="shared" si="7"/>
        <v>0.8</v>
      </c>
      <c r="P232" s="65"/>
      <c r="Q232" s="69"/>
      <c r="R232" s="12"/>
      <c r="S232" s="26"/>
      <c r="T232" s="12"/>
      <c r="U232" s="26"/>
      <c r="V232" s="26"/>
      <c r="W232" s="23"/>
      <c r="X232" s="1"/>
      <c r="Y232" s="26"/>
      <c r="Z232" s="26"/>
    </row>
    <row r="233">
      <c r="A233" s="65">
        <v>368.0</v>
      </c>
      <c r="B233" s="1">
        <v>19847.0</v>
      </c>
      <c r="C233" s="66">
        <v>14.346</v>
      </c>
      <c r="D233" s="66">
        <v>12.308</v>
      </c>
      <c r="E233" s="26">
        <v>3.614</v>
      </c>
      <c r="F233" s="61">
        <v>1101.1</v>
      </c>
      <c r="G233" s="26">
        <v>0.8</v>
      </c>
      <c r="H233" s="23">
        <v>0.386</v>
      </c>
      <c r="I233" s="1">
        <v>382.8</v>
      </c>
      <c r="J233" s="1">
        <v>969.1</v>
      </c>
      <c r="K233" s="1">
        <v>26417.0</v>
      </c>
      <c r="L233" s="1">
        <v>100.0</v>
      </c>
      <c r="M233" s="23">
        <v>14.669</v>
      </c>
      <c r="N233" s="23">
        <f t="shared" si="6"/>
        <v>0.386</v>
      </c>
      <c r="O233" s="12">
        <f t="shared" si="7"/>
        <v>0.8</v>
      </c>
      <c r="P233" s="65"/>
      <c r="Q233" s="69"/>
      <c r="R233" s="12"/>
      <c r="S233" s="26"/>
      <c r="T233" s="12"/>
      <c r="U233" s="26"/>
      <c r="V233" s="26"/>
      <c r="W233" s="23"/>
      <c r="X233" s="1"/>
      <c r="Y233" s="26"/>
      <c r="Z233" s="26"/>
    </row>
    <row r="234">
      <c r="A234" s="65">
        <v>370.0</v>
      </c>
      <c r="B234" s="1">
        <v>19847.0</v>
      </c>
      <c r="C234" s="66">
        <v>14.369</v>
      </c>
      <c r="D234" s="66">
        <v>12.368</v>
      </c>
      <c r="E234" s="26">
        <v>3.864</v>
      </c>
      <c r="F234" s="61">
        <v>1101.1</v>
      </c>
      <c r="G234" s="26">
        <v>0.8</v>
      </c>
      <c r="H234" s="23">
        <v>0.386</v>
      </c>
      <c r="I234" s="1">
        <v>382.8</v>
      </c>
      <c r="J234" s="1">
        <v>969.1</v>
      </c>
      <c r="K234" s="1">
        <v>26417.0</v>
      </c>
      <c r="L234" s="1">
        <v>100.0</v>
      </c>
      <c r="M234" s="23">
        <v>14.669</v>
      </c>
      <c r="N234" s="23">
        <f t="shared" si="6"/>
        <v>0.386</v>
      </c>
      <c r="O234" s="12">
        <f t="shared" si="7"/>
        <v>0.8</v>
      </c>
      <c r="P234" s="65"/>
      <c r="Q234" s="69"/>
      <c r="R234" s="12"/>
      <c r="S234" s="26"/>
      <c r="T234" s="12"/>
      <c r="U234" s="26"/>
      <c r="V234" s="26"/>
      <c r="W234" s="23"/>
      <c r="X234" s="1"/>
      <c r="Y234" s="26"/>
      <c r="Z234" s="26"/>
    </row>
    <row r="235">
      <c r="A235" s="65">
        <v>372.0</v>
      </c>
      <c r="B235" s="1">
        <v>19847.0</v>
      </c>
      <c r="C235" s="66">
        <v>14.573</v>
      </c>
      <c r="D235" s="66">
        <v>11.471</v>
      </c>
      <c r="E235" s="26">
        <v>3.864</v>
      </c>
      <c r="F235" s="61">
        <v>1086.1</v>
      </c>
      <c r="G235" s="26">
        <v>1.05</v>
      </c>
      <c r="H235" s="23">
        <v>0.386</v>
      </c>
      <c r="I235" s="1">
        <v>382.8</v>
      </c>
      <c r="J235" s="1">
        <v>969.1</v>
      </c>
      <c r="K235" s="1">
        <v>26417.0</v>
      </c>
      <c r="L235" s="1">
        <v>100.0</v>
      </c>
      <c r="M235" s="23">
        <v>14.592</v>
      </c>
      <c r="N235" s="23">
        <f t="shared" si="6"/>
        <v>0.386</v>
      </c>
      <c r="O235">
        <f t="shared" si="7"/>
        <v>1</v>
      </c>
      <c r="P235" s="65"/>
      <c r="Q235" s="69"/>
      <c r="R235" s="12"/>
      <c r="S235" s="26"/>
      <c r="T235" s="12"/>
      <c r="U235" s="26"/>
      <c r="V235" s="26"/>
      <c r="W235" s="23"/>
      <c r="X235" s="1"/>
      <c r="Y235" s="26"/>
      <c r="Z235" s="26"/>
    </row>
    <row r="236">
      <c r="A236" s="65">
        <v>374.0</v>
      </c>
      <c r="B236" s="1">
        <v>19847.0</v>
      </c>
      <c r="C236" s="66">
        <v>14.935</v>
      </c>
      <c r="D236" s="69">
        <v>11.522</v>
      </c>
      <c r="E236" s="26">
        <v>3.864</v>
      </c>
      <c r="F236" s="61">
        <v>1086.1</v>
      </c>
      <c r="G236" s="26">
        <v>1.05</v>
      </c>
      <c r="H236" s="23">
        <v>0.386</v>
      </c>
      <c r="I236" s="1">
        <v>382.8</v>
      </c>
      <c r="J236" s="1">
        <v>969.1</v>
      </c>
      <c r="K236" s="1">
        <v>26417.0</v>
      </c>
      <c r="L236" s="1">
        <v>100.0</v>
      </c>
      <c r="M236" s="23">
        <v>14.592</v>
      </c>
      <c r="N236" s="23">
        <f t="shared" si="6"/>
        <v>0.386</v>
      </c>
      <c r="O236">
        <f t="shared" si="7"/>
        <v>1</v>
      </c>
      <c r="P236" s="65"/>
      <c r="Q236" s="69"/>
      <c r="R236" s="12"/>
      <c r="S236" s="26"/>
      <c r="T236" s="12"/>
      <c r="U236" s="26"/>
      <c r="V236" s="26"/>
      <c r="W236" s="23"/>
      <c r="X236" s="1"/>
      <c r="Y236" s="26"/>
      <c r="Z236" s="26"/>
    </row>
    <row r="237">
      <c r="A237" s="65">
        <v>376.0</v>
      </c>
      <c r="B237" s="1">
        <v>19847.0</v>
      </c>
      <c r="C237" s="66">
        <v>14.935</v>
      </c>
      <c r="D237" s="69">
        <v>11.576</v>
      </c>
      <c r="E237" s="26">
        <v>3.901</v>
      </c>
      <c r="F237" s="61">
        <v>1086.1</v>
      </c>
      <c r="G237" s="23">
        <v>1.063</v>
      </c>
      <c r="H237" s="23">
        <v>0.386</v>
      </c>
      <c r="I237" s="1">
        <v>382.8</v>
      </c>
      <c r="J237" s="1">
        <v>887.1</v>
      </c>
      <c r="K237" s="1">
        <v>26417.0</v>
      </c>
      <c r="L237" s="1">
        <v>100.0</v>
      </c>
      <c r="M237" s="23">
        <v>14.592</v>
      </c>
      <c r="N237" s="23">
        <f t="shared" si="6"/>
        <v>0.386</v>
      </c>
      <c r="O237">
        <f t="shared" si="7"/>
        <v>1</v>
      </c>
      <c r="P237" s="65"/>
      <c r="Q237" s="69"/>
      <c r="R237" s="12"/>
      <c r="S237" s="26"/>
      <c r="T237" s="12"/>
      <c r="U237" s="26"/>
      <c r="V237" s="26"/>
      <c r="W237" s="23"/>
      <c r="X237" s="1"/>
      <c r="Y237" s="26"/>
      <c r="Z237" s="26"/>
    </row>
    <row r="238">
      <c r="A238" s="65">
        <v>378.0</v>
      </c>
      <c r="B238" s="1">
        <v>19847.0</v>
      </c>
      <c r="C238" s="66">
        <v>14.596</v>
      </c>
      <c r="D238" s="69">
        <v>11.375</v>
      </c>
      <c r="E238" s="26">
        <v>3.901</v>
      </c>
      <c r="F238" s="61">
        <v>1101.1</v>
      </c>
      <c r="G238" s="23">
        <v>1.163</v>
      </c>
      <c r="H238" s="23">
        <v>0.406</v>
      </c>
      <c r="I238" s="1">
        <v>382.8</v>
      </c>
      <c r="J238" s="1">
        <v>887.1</v>
      </c>
      <c r="K238" s="1">
        <v>26417.0</v>
      </c>
      <c r="L238" s="1">
        <v>100.0</v>
      </c>
      <c r="M238" s="23">
        <v>14.591</v>
      </c>
      <c r="N238" s="23">
        <f t="shared" si="6"/>
        <v>0.406</v>
      </c>
      <c r="O238">
        <f t="shared" si="7"/>
        <v>1</v>
      </c>
      <c r="P238" s="39"/>
      <c r="Q238" s="76"/>
      <c r="R238" s="12"/>
      <c r="S238" s="26"/>
      <c r="T238" s="12"/>
      <c r="U238" s="26"/>
      <c r="V238" s="26"/>
      <c r="W238" s="23"/>
      <c r="X238" s="1"/>
      <c r="Y238" s="26"/>
      <c r="Z238" s="26"/>
    </row>
    <row r="239">
      <c r="A239" s="65">
        <v>380.0</v>
      </c>
      <c r="B239" s="1">
        <v>19847.0</v>
      </c>
      <c r="C239" s="66">
        <v>14.947</v>
      </c>
      <c r="D239" s="69">
        <v>12.803</v>
      </c>
      <c r="E239" s="26">
        <v>3.781</v>
      </c>
      <c r="F239" s="61">
        <v>1101.1</v>
      </c>
      <c r="G239" s="23">
        <v>1.163</v>
      </c>
      <c r="H239" s="23">
        <v>0.406</v>
      </c>
      <c r="I239" s="1">
        <v>382.8</v>
      </c>
      <c r="J239" s="1">
        <v>887.1</v>
      </c>
      <c r="K239" s="1">
        <v>26417.0</v>
      </c>
      <c r="L239" s="1">
        <v>100.0</v>
      </c>
      <c r="M239" s="23">
        <v>14.591</v>
      </c>
      <c r="N239" s="23">
        <f t="shared" si="6"/>
        <v>0.406</v>
      </c>
      <c r="O239">
        <f t="shared" si="7"/>
        <v>1</v>
      </c>
      <c r="P239" s="65"/>
      <c r="Q239" s="69"/>
      <c r="R239" s="12"/>
      <c r="S239" s="26"/>
      <c r="T239" s="12"/>
      <c r="U239" s="26"/>
      <c r="V239" s="26"/>
      <c r="W239" s="23"/>
      <c r="X239" s="1"/>
      <c r="Y239" s="26"/>
      <c r="Z239" s="26"/>
    </row>
    <row r="240">
      <c r="A240" s="65">
        <v>382.0</v>
      </c>
      <c r="B240" s="1">
        <v>19847.0</v>
      </c>
      <c r="C240" s="66">
        <v>14.969</v>
      </c>
      <c r="D240" s="69">
        <v>12.82</v>
      </c>
      <c r="E240" s="26">
        <v>3.818</v>
      </c>
      <c r="F240" s="61">
        <v>1101.1</v>
      </c>
      <c r="G240" s="23">
        <v>1.163</v>
      </c>
      <c r="H240" s="23">
        <v>0.406</v>
      </c>
      <c r="I240" s="1">
        <v>382.8</v>
      </c>
      <c r="J240" s="1">
        <v>887.1</v>
      </c>
      <c r="K240" s="1">
        <v>26417.0</v>
      </c>
      <c r="L240" s="1">
        <v>100.0</v>
      </c>
      <c r="M240" s="26">
        <v>14.66</v>
      </c>
      <c r="N240" s="23">
        <f t="shared" si="6"/>
        <v>0.406</v>
      </c>
      <c r="O240">
        <f t="shared" si="7"/>
        <v>1</v>
      </c>
      <c r="P240" s="65"/>
      <c r="Q240" s="69"/>
      <c r="R240" s="12"/>
      <c r="S240" s="26"/>
      <c r="T240" s="12"/>
      <c r="U240" s="26"/>
      <c r="V240" s="26"/>
      <c r="W240" s="23"/>
      <c r="X240" s="1"/>
      <c r="Y240" s="26"/>
      <c r="Z240" s="26"/>
    </row>
    <row r="241">
      <c r="A241" s="65">
        <v>385.0</v>
      </c>
      <c r="B241" s="1">
        <v>19847.0</v>
      </c>
      <c r="C241" s="66">
        <v>14.981</v>
      </c>
      <c r="D241" s="69">
        <v>12.82</v>
      </c>
      <c r="E241" s="26">
        <v>3.818</v>
      </c>
      <c r="F241" s="61">
        <v>1101.1</v>
      </c>
      <c r="G241" s="23">
        <v>1.163</v>
      </c>
      <c r="H241" s="23">
        <v>0.406</v>
      </c>
      <c r="I241" s="1">
        <v>382.8</v>
      </c>
      <c r="J241" s="1">
        <v>887.1</v>
      </c>
      <c r="K241" s="1">
        <v>26417.0</v>
      </c>
      <c r="L241" s="1">
        <v>100.0</v>
      </c>
      <c r="M241" s="26">
        <v>14.66</v>
      </c>
      <c r="N241" s="23">
        <f t="shared" si="6"/>
        <v>0.406</v>
      </c>
      <c r="O241">
        <f t="shared" si="7"/>
        <v>1</v>
      </c>
      <c r="P241" s="65"/>
      <c r="Q241" s="69"/>
      <c r="R241" s="12"/>
      <c r="S241" s="26"/>
      <c r="T241" s="12"/>
      <c r="U241" s="26"/>
      <c r="V241" s="26"/>
      <c r="W241" s="23"/>
      <c r="X241" s="1"/>
      <c r="Y241" s="26"/>
      <c r="Z241" s="26"/>
    </row>
    <row r="242">
      <c r="A242" s="65">
        <v>387.0</v>
      </c>
      <c r="B242" s="1">
        <v>19847.0</v>
      </c>
      <c r="C242" s="66">
        <v>15.037</v>
      </c>
      <c r="D242" s="69">
        <v>12.561</v>
      </c>
      <c r="E242" s="26">
        <v>3.755</v>
      </c>
      <c r="F242" s="61">
        <v>1101.1</v>
      </c>
      <c r="G242" s="23">
        <v>1.163</v>
      </c>
      <c r="H242" s="23">
        <v>1.416</v>
      </c>
      <c r="I242" s="1">
        <v>382.8</v>
      </c>
      <c r="J242" s="1">
        <v>887.1</v>
      </c>
      <c r="K242" s="1">
        <v>26417.0</v>
      </c>
      <c r="L242" s="1">
        <v>100.0</v>
      </c>
      <c r="M242" s="23">
        <v>14.661</v>
      </c>
      <c r="N242" s="23">
        <f t="shared" si="6"/>
        <v>1</v>
      </c>
      <c r="O242">
        <f t="shared" si="7"/>
        <v>1</v>
      </c>
      <c r="P242" s="39"/>
      <c r="Q242" s="76"/>
      <c r="R242" s="12"/>
      <c r="S242" s="26"/>
      <c r="T242" s="12"/>
      <c r="U242" s="26"/>
      <c r="V242" s="26"/>
      <c r="W242" s="23"/>
      <c r="X242" s="1"/>
      <c r="Y242" s="26"/>
      <c r="Z242" s="26"/>
    </row>
    <row r="243">
      <c r="A243" s="65">
        <v>389.0</v>
      </c>
      <c r="B243" s="1">
        <v>21693.0</v>
      </c>
      <c r="C243" s="66">
        <v>16.167</v>
      </c>
      <c r="D243" s="69">
        <v>14.424</v>
      </c>
      <c r="E243" s="26">
        <v>3.755</v>
      </c>
      <c r="F243" s="61">
        <v>1101.1</v>
      </c>
      <c r="G243" s="23">
        <v>1.063</v>
      </c>
      <c r="H243" s="23">
        <v>1.386</v>
      </c>
      <c r="I243" s="1">
        <v>382.8</v>
      </c>
      <c r="J243" s="1">
        <v>887.1</v>
      </c>
      <c r="K243" s="1">
        <v>28874.0</v>
      </c>
      <c r="L243" s="1">
        <v>100.0</v>
      </c>
      <c r="M243" s="23">
        <v>14.661</v>
      </c>
      <c r="N243" s="23">
        <f t="shared" si="6"/>
        <v>1</v>
      </c>
      <c r="O243">
        <f t="shared" si="7"/>
        <v>1</v>
      </c>
      <c r="P243" s="39"/>
      <c r="Q243" s="76"/>
      <c r="R243" s="12"/>
      <c r="S243" s="26"/>
      <c r="T243" s="12"/>
      <c r="U243" s="26"/>
      <c r="V243" s="26"/>
      <c r="W243" s="23"/>
      <c r="X243" s="1"/>
      <c r="Y243" s="26"/>
      <c r="Z243" s="26"/>
    </row>
    <row r="244">
      <c r="A244" s="65">
        <v>391.0</v>
      </c>
      <c r="B244" s="1">
        <v>21693.0</v>
      </c>
      <c r="C244" s="66">
        <v>16.371</v>
      </c>
      <c r="D244" s="69">
        <v>14.461</v>
      </c>
      <c r="E244" s="26">
        <v>3.825</v>
      </c>
      <c r="F244" s="61">
        <v>1086.1</v>
      </c>
      <c r="G244" s="26">
        <v>1.08</v>
      </c>
      <c r="H244" s="23">
        <v>0.386</v>
      </c>
      <c r="I244" s="1">
        <v>382.8</v>
      </c>
      <c r="J244" s="1">
        <v>969.1</v>
      </c>
      <c r="K244" s="1">
        <v>28874.0</v>
      </c>
      <c r="L244" s="1">
        <v>99.0</v>
      </c>
      <c r="M244" s="23">
        <v>14.838</v>
      </c>
      <c r="N244" s="23">
        <f t="shared" si="6"/>
        <v>0.386</v>
      </c>
      <c r="O244">
        <f t="shared" si="7"/>
        <v>1</v>
      </c>
      <c r="P244" s="39"/>
      <c r="Q244" s="76"/>
      <c r="R244" s="12"/>
      <c r="S244" s="26"/>
      <c r="T244" s="12"/>
      <c r="U244" s="26"/>
      <c r="V244" s="26"/>
      <c r="W244" s="23"/>
      <c r="X244" s="1"/>
      <c r="Y244" s="26"/>
      <c r="Z244" s="26"/>
    </row>
    <row r="245">
      <c r="A245" s="65">
        <v>393.0</v>
      </c>
      <c r="B245" s="1">
        <v>21693.0</v>
      </c>
      <c r="C245" s="66">
        <v>16.382</v>
      </c>
      <c r="D245" s="69">
        <v>14.191</v>
      </c>
      <c r="E245" s="26">
        <v>3.825</v>
      </c>
      <c r="F245" s="61">
        <v>1086.1</v>
      </c>
      <c r="G245" s="26">
        <v>0.83</v>
      </c>
      <c r="H245" s="23">
        <v>0.386</v>
      </c>
      <c r="I245" s="1">
        <v>382.8</v>
      </c>
      <c r="J245" s="1">
        <v>969.1</v>
      </c>
      <c r="K245" s="1">
        <v>28874.0</v>
      </c>
      <c r="L245" s="1">
        <v>100.0</v>
      </c>
      <c r="M245" s="23">
        <v>14.838</v>
      </c>
      <c r="N245" s="23">
        <f t="shared" si="6"/>
        <v>0.386</v>
      </c>
      <c r="O245" s="12">
        <f t="shared" si="7"/>
        <v>0.83</v>
      </c>
      <c r="P245" s="39"/>
      <c r="Q245" s="76"/>
      <c r="R245" s="12"/>
      <c r="S245" s="26"/>
      <c r="T245" s="12"/>
      <c r="U245" s="26"/>
      <c r="V245" s="26"/>
      <c r="W245" s="23"/>
      <c r="X245" s="1"/>
      <c r="Y245" s="26"/>
      <c r="Z245" s="26"/>
    </row>
    <row r="246">
      <c r="A246" s="65">
        <v>395.0</v>
      </c>
      <c r="B246" s="1">
        <v>21693.0</v>
      </c>
      <c r="C246" s="66">
        <v>15.544</v>
      </c>
      <c r="D246" s="66">
        <v>15.265</v>
      </c>
      <c r="E246" s="26">
        <v>3.825</v>
      </c>
      <c r="F246" s="61">
        <v>1046.8</v>
      </c>
      <c r="G246" s="23">
        <v>0.789</v>
      </c>
      <c r="H246" s="23">
        <v>0.386</v>
      </c>
      <c r="I246" s="1">
        <v>382.8</v>
      </c>
      <c r="J246" s="1">
        <v>910.0</v>
      </c>
      <c r="K246" s="1">
        <v>28874.0</v>
      </c>
      <c r="L246" s="1">
        <v>100.0</v>
      </c>
      <c r="M246" s="23">
        <v>14.886</v>
      </c>
      <c r="N246" s="23">
        <f t="shared" si="6"/>
        <v>0.386</v>
      </c>
      <c r="O246" s="64">
        <f t="shared" si="7"/>
        <v>0.789</v>
      </c>
      <c r="P246" s="39"/>
      <c r="Q246" s="76"/>
      <c r="R246" s="12"/>
      <c r="S246" s="26"/>
      <c r="T246" s="12"/>
      <c r="U246" s="26"/>
      <c r="V246" s="26"/>
      <c r="W246" s="23"/>
      <c r="X246" s="1"/>
      <c r="Y246" s="26"/>
      <c r="Z246" s="26"/>
    </row>
    <row r="247">
      <c r="A247" s="65">
        <v>397.0</v>
      </c>
      <c r="B247" s="1">
        <v>21693.0</v>
      </c>
      <c r="C247" s="66">
        <v>15.047</v>
      </c>
      <c r="D247" s="66">
        <v>15.541</v>
      </c>
      <c r="E247" s="26">
        <v>3.825</v>
      </c>
      <c r="F247" s="61">
        <v>1061.8</v>
      </c>
      <c r="G247" s="23">
        <v>1.039</v>
      </c>
      <c r="H247" s="23">
        <v>0.376</v>
      </c>
      <c r="I247" s="1">
        <v>382.8</v>
      </c>
      <c r="J247" s="1">
        <v>910.0</v>
      </c>
      <c r="K247" s="1">
        <v>28874.0</v>
      </c>
      <c r="L247" s="1">
        <v>99.0</v>
      </c>
      <c r="M247" s="23">
        <v>14.886</v>
      </c>
      <c r="N247" s="23">
        <f t="shared" si="6"/>
        <v>0.376</v>
      </c>
      <c r="O247">
        <f t="shared" si="7"/>
        <v>1</v>
      </c>
      <c r="P247" s="65"/>
      <c r="Q247" s="69"/>
      <c r="R247" s="12"/>
      <c r="S247" s="26"/>
      <c r="T247" s="12"/>
      <c r="U247" s="26"/>
      <c r="V247" s="26"/>
      <c r="W247" s="23"/>
      <c r="X247" s="1"/>
      <c r="Y247" s="26"/>
      <c r="Z247" s="26"/>
    </row>
    <row r="248">
      <c r="A248" s="65">
        <v>399.0</v>
      </c>
      <c r="B248" s="1">
        <v>21693.0</v>
      </c>
      <c r="C248" s="66">
        <v>15.393</v>
      </c>
      <c r="D248" s="66">
        <v>18.486</v>
      </c>
      <c r="E248" s="26">
        <v>3.825</v>
      </c>
      <c r="F248" s="61">
        <v>1101.1</v>
      </c>
      <c r="G248" s="26">
        <v>1.08</v>
      </c>
      <c r="H248" s="23">
        <v>1.376</v>
      </c>
      <c r="I248" s="1">
        <v>382.8</v>
      </c>
      <c r="J248" s="1">
        <v>969.1</v>
      </c>
      <c r="K248" s="1">
        <v>28874.0</v>
      </c>
      <c r="L248" s="1">
        <v>100.0</v>
      </c>
      <c r="M248" s="23">
        <v>14.951</v>
      </c>
      <c r="N248" s="23">
        <f t="shared" si="6"/>
        <v>1</v>
      </c>
      <c r="O248">
        <f t="shared" si="7"/>
        <v>1</v>
      </c>
      <c r="P248" s="65"/>
      <c r="Q248" s="69"/>
      <c r="R248" s="12"/>
      <c r="S248" s="26"/>
      <c r="T248" s="12"/>
      <c r="U248" s="26"/>
      <c r="V248" s="26"/>
      <c r="W248" s="23"/>
      <c r="X248" s="1"/>
      <c r="Y248" s="26"/>
      <c r="Z248" s="26"/>
    </row>
    <row r="249">
      <c r="A249" s="65">
        <v>401.0</v>
      </c>
      <c r="B249" s="1">
        <v>21693.0</v>
      </c>
      <c r="C249" s="66">
        <v>15.958</v>
      </c>
      <c r="D249" s="66">
        <v>18.593</v>
      </c>
      <c r="E249" s="26">
        <v>3.825</v>
      </c>
      <c r="F249" s="61">
        <v>1101.1</v>
      </c>
      <c r="G249" s="26">
        <v>1.08</v>
      </c>
      <c r="H249" s="23">
        <v>1.376</v>
      </c>
      <c r="I249" s="1">
        <v>382.8</v>
      </c>
      <c r="J249" s="1">
        <v>969.1</v>
      </c>
      <c r="K249" s="1">
        <v>28874.0</v>
      </c>
      <c r="L249" s="1">
        <v>100.0</v>
      </c>
      <c r="M249" s="23">
        <v>14.951</v>
      </c>
      <c r="N249" s="23">
        <f t="shared" si="6"/>
        <v>1</v>
      </c>
      <c r="O249">
        <f t="shared" si="7"/>
        <v>1</v>
      </c>
      <c r="P249" s="65"/>
      <c r="Q249" s="69"/>
      <c r="R249" s="12"/>
      <c r="S249" s="26"/>
      <c r="T249" s="12"/>
      <c r="U249" s="26"/>
      <c r="V249" s="26"/>
      <c r="W249" s="23"/>
      <c r="X249" s="1"/>
      <c r="Y249" s="26"/>
      <c r="Z249" s="26"/>
    </row>
    <row r="250">
      <c r="A250" s="65">
        <v>403.0</v>
      </c>
      <c r="B250" s="1">
        <v>21693.0</v>
      </c>
      <c r="C250" s="66">
        <v>14.805</v>
      </c>
      <c r="D250" s="66">
        <v>17.279</v>
      </c>
      <c r="E250" s="26">
        <v>3.825</v>
      </c>
      <c r="F250" s="61">
        <v>1101.1</v>
      </c>
      <c r="G250" s="26">
        <v>1.08</v>
      </c>
      <c r="H250" s="23">
        <v>0.386</v>
      </c>
      <c r="I250" s="1">
        <v>382.8</v>
      </c>
      <c r="J250" s="1">
        <v>969.1</v>
      </c>
      <c r="K250" s="1">
        <v>28874.0</v>
      </c>
      <c r="L250" s="1">
        <v>100.0</v>
      </c>
      <c r="M250" s="23">
        <v>14.761</v>
      </c>
      <c r="N250" s="23">
        <f t="shared" si="6"/>
        <v>0.386</v>
      </c>
      <c r="O250">
        <f t="shared" si="7"/>
        <v>1</v>
      </c>
      <c r="P250" s="65"/>
      <c r="Q250" s="69"/>
      <c r="R250" s="12"/>
      <c r="S250" s="26"/>
      <c r="T250" s="12"/>
      <c r="U250" s="26"/>
      <c r="V250" s="26"/>
      <c r="W250" s="23"/>
      <c r="X250" s="1"/>
      <c r="Y250" s="26"/>
      <c r="Z250" s="26"/>
    </row>
    <row r="251">
      <c r="A251" s="65" t="s">
        <v>500</v>
      </c>
      <c r="B251" s="1"/>
      <c r="C251" s="65"/>
      <c r="D251" s="66"/>
      <c r="E251" s="12"/>
      <c r="F251" s="1"/>
      <c r="G251" s="1"/>
      <c r="H251" s="1"/>
      <c r="I251" s="26"/>
      <c r="J251" s="12"/>
      <c r="K251" s="1"/>
      <c r="N251" s="23" t="str">
        <f t="shared" si="6"/>
        <v/>
      </c>
      <c r="O251" t="str">
        <f t="shared" si="7"/>
        <v/>
      </c>
      <c r="P251" s="65"/>
      <c r="Q251" s="69"/>
      <c r="R251" s="12"/>
      <c r="S251" s="26"/>
      <c r="T251" s="12"/>
      <c r="U251" s="26"/>
      <c r="V251" s="26"/>
      <c r="W251" s="23"/>
      <c r="X251" s="1"/>
      <c r="Y251" s="26"/>
      <c r="Z251" s="26"/>
    </row>
    <row r="252">
      <c r="A252" s="65">
        <v>405.0</v>
      </c>
      <c r="B252" s="1">
        <v>19847.0</v>
      </c>
      <c r="C252" s="66">
        <v>14.647</v>
      </c>
      <c r="D252" s="66">
        <v>15.904</v>
      </c>
      <c r="E252" s="26">
        <v>3.755</v>
      </c>
      <c r="F252" s="61">
        <v>1101.1</v>
      </c>
      <c r="G252" s="26">
        <v>1.08</v>
      </c>
      <c r="H252" s="23">
        <v>0.386</v>
      </c>
      <c r="I252" s="1">
        <v>382.8</v>
      </c>
      <c r="J252" s="1">
        <v>969.1</v>
      </c>
      <c r="K252" s="1">
        <v>26417.0</v>
      </c>
      <c r="L252" s="1">
        <v>100.0</v>
      </c>
      <c r="M252" s="23">
        <v>14.761</v>
      </c>
      <c r="N252" s="23">
        <f t="shared" si="6"/>
        <v>0.386</v>
      </c>
      <c r="O252">
        <f t="shared" si="7"/>
        <v>1</v>
      </c>
      <c r="P252" s="65"/>
      <c r="Q252" s="69"/>
      <c r="R252" s="12"/>
      <c r="S252" s="26"/>
      <c r="T252" s="12"/>
      <c r="U252" s="26"/>
      <c r="V252" s="26"/>
      <c r="W252" s="23"/>
      <c r="X252" s="1"/>
      <c r="Y252" s="26"/>
      <c r="Z252" s="26"/>
    </row>
    <row r="253">
      <c r="A253" s="39">
        <v>407.0</v>
      </c>
      <c r="B253" s="1">
        <v>19622.0</v>
      </c>
      <c r="C253" s="67">
        <v>14.274</v>
      </c>
      <c r="D253" s="67">
        <v>14.548</v>
      </c>
      <c r="E253" s="26">
        <v>3.755</v>
      </c>
      <c r="F253" s="61">
        <v>1101.1</v>
      </c>
      <c r="G253" s="26">
        <v>1.08</v>
      </c>
      <c r="H253" s="23">
        <v>0.386</v>
      </c>
      <c r="I253" s="1">
        <v>382.8</v>
      </c>
      <c r="J253" s="1">
        <v>969.1</v>
      </c>
      <c r="K253" s="1">
        <v>26417.0</v>
      </c>
      <c r="L253" s="1">
        <v>100.0</v>
      </c>
      <c r="M253" s="23">
        <v>14.761</v>
      </c>
      <c r="N253" s="23">
        <f t="shared" si="6"/>
        <v>0.386</v>
      </c>
      <c r="O253">
        <f t="shared" si="7"/>
        <v>1</v>
      </c>
      <c r="P253" s="65"/>
      <c r="Q253" s="69"/>
      <c r="R253" s="12"/>
      <c r="S253" s="26"/>
      <c r="T253" s="12"/>
      <c r="U253" s="26"/>
      <c r="V253" s="26"/>
      <c r="W253" s="23"/>
      <c r="X253" s="1"/>
      <c r="Y253" s="26"/>
      <c r="Z253" s="26"/>
    </row>
    <row r="254">
      <c r="A254" s="39">
        <v>409.0</v>
      </c>
      <c r="B254" s="1">
        <v>19847.0</v>
      </c>
      <c r="C254" s="67">
        <v>14.455</v>
      </c>
      <c r="D254" s="67">
        <v>12.282</v>
      </c>
      <c r="E254" s="26">
        <v>3.755</v>
      </c>
      <c r="F254" s="61">
        <v>1101.1</v>
      </c>
      <c r="G254" s="23">
        <v>1.063</v>
      </c>
      <c r="H254" s="23">
        <v>0.386</v>
      </c>
      <c r="I254" s="1">
        <v>382.8</v>
      </c>
      <c r="J254" s="1">
        <v>887.1</v>
      </c>
      <c r="K254" s="1">
        <v>26417.0</v>
      </c>
      <c r="L254" s="1">
        <v>100.0</v>
      </c>
      <c r="M254" s="23">
        <v>14.594</v>
      </c>
      <c r="N254" s="23">
        <f t="shared" si="6"/>
        <v>0.386</v>
      </c>
      <c r="O254">
        <f t="shared" si="7"/>
        <v>1</v>
      </c>
      <c r="P254" s="65"/>
      <c r="Q254" s="69"/>
      <c r="R254" s="12"/>
      <c r="S254" s="26"/>
      <c r="T254" s="12"/>
      <c r="U254" s="26"/>
      <c r="V254" s="26"/>
      <c r="W254" s="23"/>
      <c r="X254" s="1"/>
      <c r="Y254" s="26"/>
      <c r="Z254" s="26"/>
    </row>
    <row r="255">
      <c r="A255" s="39">
        <v>411.0</v>
      </c>
      <c r="B255" s="1">
        <v>19847.0</v>
      </c>
      <c r="C255" s="67">
        <v>14.207</v>
      </c>
      <c r="D255" s="67">
        <v>12.274</v>
      </c>
      <c r="E255" s="26">
        <v>3.505</v>
      </c>
      <c r="F255" s="61">
        <v>1101.1</v>
      </c>
      <c r="G255" s="23">
        <v>1.063</v>
      </c>
      <c r="H255" s="23">
        <v>0.386</v>
      </c>
      <c r="I255" s="1">
        <v>382.8</v>
      </c>
      <c r="J255" s="1">
        <v>887.1</v>
      </c>
      <c r="K255" s="1">
        <v>26417.0</v>
      </c>
      <c r="L255" s="1">
        <v>100.0</v>
      </c>
      <c r="M255" s="23">
        <v>14.594</v>
      </c>
      <c r="N255" s="23">
        <f t="shared" si="6"/>
        <v>0.386</v>
      </c>
      <c r="O255">
        <f t="shared" si="7"/>
        <v>1</v>
      </c>
      <c r="P255" s="65"/>
      <c r="Q255" s="69"/>
      <c r="R255" s="12"/>
      <c r="S255" s="26"/>
      <c r="T255" s="12"/>
      <c r="U255" s="26"/>
      <c r="V255" s="26"/>
      <c r="W255" s="23"/>
      <c r="X255" s="1"/>
      <c r="Y255" s="26"/>
      <c r="Z255" s="26"/>
    </row>
    <row r="256">
      <c r="A256" s="65">
        <v>413.0</v>
      </c>
      <c r="B256" s="1">
        <v>19847.0</v>
      </c>
      <c r="C256" s="66">
        <v>14.445</v>
      </c>
      <c r="D256" s="66">
        <v>12.455</v>
      </c>
      <c r="E256" s="26">
        <v>3.505</v>
      </c>
      <c r="F256" s="61">
        <v>1101.1</v>
      </c>
      <c r="G256" s="23">
        <v>1.063</v>
      </c>
      <c r="H256" s="23">
        <v>0.376</v>
      </c>
      <c r="I256" s="1">
        <v>382.8</v>
      </c>
      <c r="J256" s="1">
        <v>887.1</v>
      </c>
      <c r="K256" s="1">
        <v>26417.0</v>
      </c>
      <c r="L256" s="1">
        <v>100.0</v>
      </c>
      <c r="M256" s="23">
        <v>14.635</v>
      </c>
      <c r="N256" s="23">
        <f t="shared" si="6"/>
        <v>0.376</v>
      </c>
      <c r="O256">
        <f t="shared" si="7"/>
        <v>1</v>
      </c>
      <c r="P256" s="65"/>
      <c r="Q256" s="69"/>
      <c r="R256" s="12"/>
      <c r="S256" s="26"/>
      <c r="T256" s="12"/>
      <c r="U256" s="26"/>
      <c r="V256" s="26"/>
      <c r="W256" s="23"/>
      <c r="X256" s="1"/>
      <c r="Y256" s="26"/>
      <c r="Z256" s="26"/>
    </row>
    <row r="257">
      <c r="A257" s="65">
        <v>415.0</v>
      </c>
      <c r="B257" s="1">
        <v>19847.0</v>
      </c>
      <c r="C257" s="66">
        <v>13.472</v>
      </c>
      <c r="D257" s="69">
        <v>12.164</v>
      </c>
      <c r="E257" s="26">
        <v>3.505</v>
      </c>
      <c r="F257" s="61">
        <v>1046.8</v>
      </c>
      <c r="G257" s="23">
        <v>1.051</v>
      </c>
      <c r="H257" s="23">
        <v>0.376</v>
      </c>
      <c r="I257" s="1">
        <v>382.8</v>
      </c>
      <c r="J257" s="1">
        <v>847.9</v>
      </c>
      <c r="K257" s="1">
        <v>26417.0</v>
      </c>
      <c r="L257" s="1">
        <v>100.0</v>
      </c>
      <c r="M257" s="23">
        <v>14.635</v>
      </c>
      <c r="N257" s="23">
        <f t="shared" si="6"/>
        <v>0.376</v>
      </c>
      <c r="O257">
        <f t="shared" si="7"/>
        <v>1</v>
      </c>
      <c r="P257" s="65"/>
      <c r="Q257" s="69"/>
      <c r="R257" s="12"/>
      <c r="S257" s="26"/>
      <c r="T257" s="12"/>
      <c r="U257" s="26"/>
      <c r="V257" s="26"/>
      <c r="W257" s="23"/>
      <c r="X257" s="1"/>
      <c r="Y257" s="26"/>
      <c r="Z257" s="26"/>
    </row>
    <row r="258">
      <c r="A258" s="65">
        <v>417.0</v>
      </c>
      <c r="B258" s="1">
        <v>19847.0</v>
      </c>
      <c r="C258" s="66">
        <v>14.604</v>
      </c>
      <c r="D258" s="69">
        <v>12.229</v>
      </c>
      <c r="E258" s="26">
        <v>3.505</v>
      </c>
      <c r="F258" s="61">
        <v>1086.1</v>
      </c>
      <c r="G258" s="23">
        <v>1.063</v>
      </c>
      <c r="H258" s="23">
        <v>0.386</v>
      </c>
      <c r="I258" s="1">
        <v>382.8</v>
      </c>
      <c r="J258" s="1">
        <v>887.1</v>
      </c>
      <c r="K258" s="1">
        <v>26417.0</v>
      </c>
      <c r="L258" s="1">
        <v>99.0</v>
      </c>
      <c r="M258" s="23">
        <v>14.613</v>
      </c>
      <c r="N258" s="23">
        <f t="shared" si="6"/>
        <v>0.386</v>
      </c>
      <c r="O258">
        <f t="shared" si="7"/>
        <v>1</v>
      </c>
      <c r="P258" s="39"/>
      <c r="Q258" s="76"/>
      <c r="R258" s="12"/>
      <c r="S258" s="26"/>
      <c r="T258" s="12"/>
      <c r="U258" s="26"/>
      <c r="V258" s="26"/>
      <c r="W258" s="23"/>
      <c r="X258" s="1"/>
      <c r="Y258" s="26"/>
      <c r="Z258" s="26"/>
    </row>
    <row r="259">
      <c r="A259" s="65">
        <v>419.0</v>
      </c>
      <c r="B259" s="1">
        <v>19847.0</v>
      </c>
      <c r="C259" s="66">
        <v>14.278</v>
      </c>
      <c r="D259" s="66">
        <v>11.792</v>
      </c>
      <c r="E259" s="26">
        <v>3.505</v>
      </c>
      <c r="F259" s="61">
        <v>1101.1</v>
      </c>
      <c r="G259" s="23">
        <v>0.813</v>
      </c>
      <c r="H259" s="23">
        <v>0.386</v>
      </c>
      <c r="I259" s="1">
        <v>382.8</v>
      </c>
      <c r="J259" s="1">
        <v>887.1</v>
      </c>
      <c r="K259" s="1">
        <v>26417.0</v>
      </c>
      <c r="L259" s="1">
        <v>100.0</v>
      </c>
      <c r="M259" s="23">
        <v>14.613</v>
      </c>
      <c r="N259" s="23">
        <f t="shared" si="6"/>
        <v>0.386</v>
      </c>
      <c r="O259" s="64">
        <f t="shared" si="7"/>
        <v>0.813</v>
      </c>
      <c r="P259" s="65"/>
      <c r="Q259" s="69"/>
      <c r="R259" s="12"/>
      <c r="S259" s="26"/>
      <c r="T259" s="12"/>
      <c r="U259" s="26"/>
      <c r="V259" s="26"/>
      <c r="W259" s="23"/>
      <c r="X259" s="1"/>
      <c r="Y259" s="26"/>
      <c r="Z259" s="26"/>
    </row>
    <row r="260">
      <c r="A260" s="65">
        <v>421.0</v>
      </c>
      <c r="B260" s="1">
        <v>19847.0</v>
      </c>
      <c r="C260" s="66">
        <v>14.255</v>
      </c>
      <c r="D260" s="66">
        <v>12.112</v>
      </c>
      <c r="E260" s="26">
        <v>3.505</v>
      </c>
      <c r="F260" s="61">
        <v>1101.1</v>
      </c>
      <c r="G260" s="23">
        <v>1.063</v>
      </c>
      <c r="H260" s="23">
        <v>0.386</v>
      </c>
      <c r="I260" s="1">
        <v>382.8</v>
      </c>
      <c r="J260" s="1">
        <v>887.1</v>
      </c>
      <c r="K260" s="1">
        <v>26417.0</v>
      </c>
      <c r="L260" s="1">
        <v>100.0</v>
      </c>
      <c r="M260" s="23">
        <v>14.593</v>
      </c>
      <c r="N260" s="23">
        <f t="shared" si="6"/>
        <v>0.386</v>
      </c>
      <c r="O260">
        <f t="shared" si="7"/>
        <v>1</v>
      </c>
      <c r="P260" s="65"/>
      <c r="Q260" s="69"/>
      <c r="R260" s="12"/>
      <c r="S260" s="26"/>
      <c r="T260" s="12"/>
      <c r="U260" s="26"/>
      <c r="V260" s="26"/>
      <c r="W260" s="23"/>
      <c r="X260" s="1"/>
      <c r="Y260" s="26"/>
      <c r="Z260" s="26"/>
    </row>
    <row r="261">
      <c r="A261" s="65">
        <v>423.0</v>
      </c>
      <c r="B261" s="1">
        <v>19847.0</v>
      </c>
      <c r="C261" s="66">
        <v>14.572</v>
      </c>
      <c r="D261" s="66">
        <v>12.436</v>
      </c>
      <c r="E261" s="26">
        <v>3.505</v>
      </c>
      <c r="F261" s="61">
        <v>1101.1</v>
      </c>
      <c r="G261" s="26">
        <v>1.08</v>
      </c>
      <c r="H261" s="23">
        <v>0.386</v>
      </c>
      <c r="I261" s="1">
        <v>382.8</v>
      </c>
      <c r="J261" s="1">
        <v>969.1</v>
      </c>
      <c r="K261" s="1">
        <v>26417.0</v>
      </c>
      <c r="L261" s="1">
        <v>100.0</v>
      </c>
      <c r="M261" s="23">
        <v>14.593</v>
      </c>
      <c r="N261" s="23">
        <f t="shared" si="6"/>
        <v>0.386</v>
      </c>
      <c r="O261">
        <f t="shared" si="7"/>
        <v>1</v>
      </c>
      <c r="P261" s="65"/>
      <c r="Q261" s="69"/>
      <c r="R261" s="12"/>
      <c r="S261" s="26"/>
      <c r="T261" s="12"/>
      <c r="U261" s="26"/>
      <c r="V261" s="26"/>
      <c r="W261" s="23"/>
      <c r="X261" s="1"/>
      <c r="Y261" s="26"/>
      <c r="Z261" s="26"/>
    </row>
    <row r="262">
      <c r="A262" s="65">
        <v>425.0</v>
      </c>
      <c r="B262" s="1">
        <v>21693.0</v>
      </c>
      <c r="C262" s="69">
        <v>15.86</v>
      </c>
      <c r="D262" s="66">
        <v>12.758</v>
      </c>
      <c r="E262" s="26">
        <v>3.575</v>
      </c>
      <c r="F262" s="61">
        <v>1101.1</v>
      </c>
      <c r="G262" s="26">
        <v>1.08</v>
      </c>
      <c r="H262" s="23">
        <v>0.386</v>
      </c>
      <c r="I262" s="1">
        <v>382.8</v>
      </c>
      <c r="J262" s="1">
        <v>969.1</v>
      </c>
      <c r="K262" s="1">
        <v>28874.0</v>
      </c>
      <c r="L262" s="1">
        <v>100.0</v>
      </c>
      <c r="M262" s="23">
        <v>14.615</v>
      </c>
      <c r="N262" s="23">
        <f t="shared" si="6"/>
        <v>0.386</v>
      </c>
      <c r="O262">
        <f t="shared" si="7"/>
        <v>1</v>
      </c>
      <c r="P262" s="65"/>
      <c r="Q262" s="69"/>
      <c r="R262" s="12"/>
      <c r="S262" s="26"/>
      <c r="T262" s="12"/>
      <c r="U262" s="26"/>
      <c r="V262" s="26"/>
      <c r="W262" s="23"/>
      <c r="X262" s="1"/>
      <c r="Y262" s="26"/>
      <c r="Z262" s="26"/>
    </row>
    <row r="263">
      <c r="A263" s="65">
        <v>427.0</v>
      </c>
      <c r="B263" s="1">
        <v>25385.0</v>
      </c>
      <c r="C263" s="66">
        <v>16.639</v>
      </c>
      <c r="D263" s="66">
        <v>14.064</v>
      </c>
      <c r="E263" s="26">
        <v>3.725</v>
      </c>
      <c r="F263" s="61">
        <v>1101.1</v>
      </c>
      <c r="G263" s="26">
        <v>1.08</v>
      </c>
      <c r="H263" s="23">
        <v>0.378</v>
      </c>
      <c r="I263" s="1">
        <v>382.8</v>
      </c>
      <c r="J263" s="1">
        <v>969.1</v>
      </c>
      <c r="K263" s="1">
        <v>33789.0</v>
      </c>
      <c r="L263" s="1">
        <v>100.0</v>
      </c>
      <c r="M263" s="23">
        <v>14.615</v>
      </c>
      <c r="N263" s="23">
        <f t="shared" si="6"/>
        <v>0.378</v>
      </c>
      <c r="O263">
        <f t="shared" si="7"/>
        <v>1</v>
      </c>
      <c r="P263" s="65"/>
      <c r="Q263" s="69"/>
      <c r="R263" s="12"/>
      <c r="S263" s="26"/>
      <c r="T263" s="12"/>
      <c r="U263" s="26"/>
      <c r="V263" s="26"/>
      <c r="W263" s="23"/>
      <c r="X263" s="1"/>
      <c r="Y263" s="26"/>
      <c r="Z263" s="26"/>
    </row>
    <row r="264">
      <c r="A264" s="65" t="s">
        <v>510</v>
      </c>
      <c r="B264" s="1"/>
      <c r="C264" s="65"/>
      <c r="D264" s="66"/>
      <c r="E264" s="12"/>
      <c r="F264" s="1"/>
      <c r="G264" s="1"/>
      <c r="H264" s="1"/>
      <c r="I264" s="23"/>
      <c r="J264" s="12"/>
      <c r="K264" s="1"/>
      <c r="N264" s="23" t="str">
        <f t="shared" si="6"/>
        <v/>
      </c>
      <c r="O264" t="str">
        <f t="shared" si="7"/>
        <v/>
      </c>
      <c r="P264" s="39"/>
      <c r="Q264" s="76"/>
      <c r="R264" s="12"/>
      <c r="S264" s="26"/>
      <c r="T264" s="12"/>
      <c r="U264" s="26"/>
      <c r="V264" s="26"/>
      <c r="W264" s="23"/>
      <c r="X264" s="1"/>
      <c r="Y264" s="26"/>
      <c r="Z264" s="26"/>
    </row>
    <row r="265">
      <c r="A265" s="65">
        <v>429.0</v>
      </c>
      <c r="B265" s="1">
        <v>24462.0</v>
      </c>
      <c r="C265" s="66">
        <v>15.817</v>
      </c>
      <c r="D265" s="66">
        <v>13.478</v>
      </c>
      <c r="E265" s="26">
        <v>3.805</v>
      </c>
      <c r="F265" s="61">
        <v>1061.8</v>
      </c>
      <c r="G265" s="23">
        <v>1.073</v>
      </c>
      <c r="H265" s="23">
        <v>0.368</v>
      </c>
      <c r="I265" s="1">
        <v>382.8</v>
      </c>
      <c r="J265" s="1">
        <v>929.8</v>
      </c>
      <c r="K265" s="1">
        <v>32560.0</v>
      </c>
      <c r="L265" s="1">
        <v>100.0</v>
      </c>
      <c r="M265" s="23">
        <v>14.851</v>
      </c>
      <c r="N265" s="23">
        <f t="shared" si="6"/>
        <v>0.368</v>
      </c>
      <c r="O265">
        <f t="shared" si="7"/>
        <v>1</v>
      </c>
      <c r="P265" s="65"/>
      <c r="Q265" s="69"/>
      <c r="R265" s="12"/>
      <c r="S265" s="26"/>
      <c r="T265" s="12"/>
      <c r="U265" s="26"/>
      <c r="V265" s="26"/>
      <c r="W265" s="23"/>
      <c r="X265" s="1"/>
      <c r="Y265" s="26"/>
      <c r="Z265" s="26"/>
    </row>
    <row r="266">
      <c r="A266" s="65">
        <v>431.0</v>
      </c>
      <c r="B266" s="1">
        <v>24462.0</v>
      </c>
      <c r="C266" s="66">
        <v>15.493</v>
      </c>
      <c r="D266" s="66">
        <v>13.155</v>
      </c>
      <c r="E266" s="26">
        <v>4.017</v>
      </c>
      <c r="F266" s="61">
        <v>1046.8</v>
      </c>
      <c r="G266" s="23">
        <v>1.073</v>
      </c>
      <c r="H266" s="23">
        <v>0.368</v>
      </c>
      <c r="I266" s="1">
        <v>382.8</v>
      </c>
      <c r="J266" s="1">
        <v>929.8</v>
      </c>
      <c r="K266" s="1">
        <v>32560.0</v>
      </c>
      <c r="L266" s="1">
        <v>100.0</v>
      </c>
      <c r="M266" s="23">
        <v>14.851</v>
      </c>
      <c r="N266" s="23">
        <f t="shared" si="6"/>
        <v>0.368</v>
      </c>
      <c r="O266">
        <f t="shared" si="7"/>
        <v>1</v>
      </c>
      <c r="P266" s="65"/>
      <c r="Q266" s="69"/>
      <c r="R266" s="12"/>
      <c r="S266" s="26"/>
      <c r="T266" s="12"/>
      <c r="U266" s="26"/>
      <c r="V266" s="26"/>
      <c r="W266" s="23"/>
      <c r="X266" s="1"/>
      <c r="Y266" s="26"/>
      <c r="Z266" s="26"/>
    </row>
    <row r="267">
      <c r="A267" s="65">
        <v>433.0</v>
      </c>
      <c r="B267" s="1">
        <v>24462.0</v>
      </c>
      <c r="C267" s="69">
        <v>16.21</v>
      </c>
      <c r="D267" s="66">
        <v>12.965</v>
      </c>
      <c r="E267" s="26">
        <v>4.017</v>
      </c>
      <c r="F267" s="61">
        <v>1086.1</v>
      </c>
      <c r="G267" s="26">
        <v>0.83</v>
      </c>
      <c r="H267" s="23">
        <v>0.368</v>
      </c>
      <c r="I267" s="1">
        <v>382.8</v>
      </c>
      <c r="J267" s="1">
        <v>969.1</v>
      </c>
      <c r="K267" s="1">
        <v>32560.0</v>
      </c>
      <c r="L267" s="1">
        <v>100.0</v>
      </c>
      <c r="M267" s="23">
        <v>14.851</v>
      </c>
      <c r="N267" s="23">
        <f t="shared" si="6"/>
        <v>0.368</v>
      </c>
      <c r="O267" s="12">
        <f t="shared" si="7"/>
        <v>0.83</v>
      </c>
      <c r="P267" s="65"/>
      <c r="Q267" s="69"/>
      <c r="R267" s="12"/>
      <c r="S267" s="26"/>
      <c r="T267" s="12"/>
      <c r="U267" s="26"/>
      <c r="V267" s="26"/>
      <c r="W267" s="23"/>
      <c r="X267" s="1"/>
      <c r="Y267" s="26"/>
      <c r="Z267" s="26"/>
    </row>
    <row r="268">
      <c r="A268" s="65">
        <v>435.0</v>
      </c>
      <c r="B268" s="1">
        <v>24462.0</v>
      </c>
      <c r="C268" s="69">
        <v>16.21</v>
      </c>
      <c r="D268" s="66">
        <v>13.336</v>
      </c>
      <c r="E268" s="26">
        <v>4.017</v>
      </c>
      <c r="F268" s="61">
        <v>1086.1</v>
      </c>
      <c r="G268" s="26">
        <v>1.08</v>
      </c>
      <c r="H268" s="23">
        <v>0.386</v>
      </c>
      <c r="I268" s="1">
        <v>382.8</v>
      </c>
      <c r="J268" s="1">
        <v>969.1</v>
      </c>
      <c r="K268" s="1">
        <v>32560.0</v>
      </c>
      <c r="L268" s="1">
        <v>100.0</v>
      </c>
      <c r="M268" s="23">
        <v>14.897</v>
      </c>
      <c r="N268" s="23">
        <f t="shared" si="6"/>
        <v>0.386</v>
      </c>
      <c r="O268">
        <f t="shared" si="7"/>
        <v>1</v>
      </c>
      <c r="P268" s="65"/>
      <c r="Q268" s="69"/>
      <c r="R268" s="12"/>
      <c r="S268" s="26"/>
      <c r="T268" s="12"/>
      <c r="U268" s="26"/>
      <c r="V268" s="26"/>
      <c r="W268" s="23"/>
      <c r="X268" s="1"/>
      <c r="Y268" s="26"/>
      <c r="Z268" s="26"/>
    </row>
    <row r="269">
      <c r="A269" s="65">
        <v>437.0</v>
      </c>
      <c r="B269" s="1">
        <v>24462.0</v>
      </c>
      <c r="C269" s="66">
        <v>16.549</v>
      </c>
      <c r="D269" s="66">
        <v>13.696</v>
      </c>
      <c r="E269" s="26">
        <v>4.017</v>
      </c>
      <c r="F269" s="61">
        <v>1086.1</v>
      </c>
      <c r="G269" s="26">
        <v>1.08</v>
      </c>
      <c r="H269" s="23">
        <v>0.386</v>
      </c>
      <c r="I269" s="1">
        <v>382.8</v>
      </c>
      <c r="J269" s="1">
        <v>969.1</v>
      </c>
      <c r="K269" s="1">
        <v>32560.0</v>
      </c>
      <c r="L269" s="1">
        <v>100.0</v>
      </c>
      <c r="M269" s="23">
        <v>14.897</v>
      </c>
      <c r="N269" s="23">
        <f t="shared" si="6"/>
        <v>0.386</v>
      </c>
      <c r="O269">
        <f t="shared" si="7"/>
        <v>1</v>
      </c>
      <c r="P269" s="65"/>
      <c r="Q269" s="69"/>
      <c r="R269" s="12"/>
      <c r="S269" s="26"/>
      <c r="T269" s="12"/>
      <c r="U269" s="26"/>
      <c r="V269" s="26"/>
      <c r="W269" s="23"/>
      <c r="X269" s="1"/>
      <c r="Y269" s="26"/>
      <c r="Z269" s="26"/>
    </row>
    <row r="270">
      <c r="A270" s="65">
        <v>439.0</v>
      </c>
      <c r="B270" s="1">
        <v>24462.0</v>
      </c>
      <c r="C270" s="66">
        <v>16.478</v>
      </c>
      <c r="D270" s="66">
        <v>12.993</v>
      </c>
      <c r="E270" s="26">
        <v>4.474</v>
      </c>
      <c r="F270" s="61">
        <v>1086.1</v>
      </c>
      <c r="G270" s="26">
        <v>1.08</v>
      </c>
      <c r="H270" s="23">
        <v>0.386</v>
      </c>
      <c r="I270" s="1">
        <v>382.8</v>
      </c>
      <c r="J270" s="1">
        <v>969.1</v>
      </c>
      <c r="K270" s="1">
        <v>32560.0</v>
      </c>
      <c r="L270" s="1">
        <v>100.0</v>
      </c>
      <c r="M270" s="23">
        <v>14.855</v>
      </c>
      <c r="N270" s="23">
        <f t="shared" si="6"/>
        <v>0.386</v>
      </c>
      <c r="O270">
        <f t="shared" si="7"/>
        <v>1</v>
      </c>
      <c r="P270" s="65"/>
      <c r="Q270" s="69"/>
      <c r="R270" s="12"/>
      <c r="S270" s="26"/>
      <c r="T270" s="12"/>
      <c r="U270" s="26"/>
      <c r="V270" s="26"/>
      <c r="W270" s="23"/>
      <c r="X270" s="1"/>
      <c r="Y270" s="26"/>
      <c r="Z270" s="26"/>
    </row>
    <row r="271">
      <c r="A271" s="65">
        <v>441.0</v>
      </c>
      <c r="B271" s="1">
        <v>20770.0</v>
      </c>
      <c r="C271" s="66">
        <v>14.726</v>
      </c>
      <c r="D271" s="66">
        <v>11.553</v>
      </c>
      <c r="E271" s="26">
        <v>4.398</v>
      </c>
      <c r="F271" s="61">
        <v>1101.1</v>
      </c>
      <c r="G271" s="23">
        <v>1.063</v>
      </c>
      <c r="H271" s="23">
        <v>0.386</v>
      </c>
      <c r="I271" s="1">
        <v>382.8</v>
      </c>
      <c r="J271" s="1">
        <v>887.1</v>
      </c>
      <c r="K271" s="1">
        <v>27645.0</v>
      </c>
      <c r="L271" s="1">
        <v>100.0</v>
      </c>
      <c r="M271" s="23">
        <v>14.855</v>
      </c>
      <c r="N271" s="23">
        <f t="shared" si="6"/>
        <v>0.386</v>
      </c>
      <c r="O271">
        <f t="shared" si="7"/>
        <v>1</v>
      </c>
      <c r="P271" s="65"/>
      <c r="Q271" s="69"/>
      <c r="R271" s="12"/>
      <c r="S271" s="26"/>
      <c r="T271" s="12"/>
      <c r="U271" s="26"/>
      <c r="V271" s="26"/>
      <c r="W271" s="23"/>
      <c r="X271" s="1"/>
      <c r="Y271" s="26"/>
      <c r="Z271" s="26"/>
    </row>
    <row r="272">
      <c r="A272" s="65">
        <v>443.0</v>
      </c>
      <c r="B272" s="1">
        <v>17077.0</v>
      </c>
      <c r="C272" s="69">
        <v>14.24</v>
      </c>
      <c r="D272" s="66">
        <v>11.485</v>
      </c>
      <c r="E272" s="26">
        <v>4.028</v>
      </c>
      <c r="F272" s="61">
        <v>1101.1</v>
      </c>
      <c r="G272" s="23">
        <v>1.063</v>
      </c>
      <c r="H272" s="23">
        <v>0.386</v>
      </c>
      <c r="I272" s="1">
        <v>382.8</v>
      </c>
      <c r="J272" s="1">
        <v>887.1</v>
      </c>
      <c r="K272" s="1">
        <v>22731.0</v>
      </c>
      <c r="L272" s="1">
        <v>100.0</v>
      </c>
      <c r="M272" s="23">
        <v>14.616</v>
      </c>
      <c r="N272" s="23">
        <f t="shared" si="6"/>
        <v>0.386</v>
      </c>
      <c r="O272">
        <f t="shared" si="7"/>
        <v>1</v>
      </c>
      <c r="P272" s="65"/>
      <c r="Q272" s="69"/>
      <c r="R272" s="12"/>
      <c r="S272" s="26"/>
      <c r="T272" s="12"/>
      <c r="U272" s="26"/>
      <c r="V272" s="26"/>
      <c r="W272" s="23"/>
      <c r="X272" s="1"/>
      <c r="Y272" s="26"/>
      <c r="Z272" s="26"/>
    </row>
    <row r="273">
      <c r="A273" s="39">
        <v>445.0</v>
      </c>
      <c r="B273" s="1">
        <v>19847.0</v>
      </c>
      <c r="C273" s="67">
        <v>14.512</v>
      </c>
      <c r="D273" s="67">
        <v>11.183</v>
      </c>
      <c r="E273" s="26">
        <v>4.147</v>
      </c>
      <c r="F273" s="61">
        <v>1101.1</v>
      </c>
      <c r="G273" s="23">
        <v>1.063</v>
      </c>
      <c r="H273" s="23">
        <v>0.376</v>
      </c>
      <c r="I273" s="1">
        <v>382.8</v>
      </c>
      <c r="J273" s="1">
        <v>887.1</v>
      </c>
      <c r="K273" s="1">
        <v>26417.0</v>
      </c>
      <c r="L273" s="1">
        <v>100.0</v>
      </c>
      <c r="M273" s="23">
        <v>14.616</v>
      </c>
      <c r="N273" s="23">
        <f t="shared" si="6"/>
        <v>0.376</v>
      </c>
      <c r="O273">
        <f t="shared" si="7"/>
        <v>1</v>
      </c>
      <c r="P273" s="65"/>
      <c r="Q273" s="69"/>
      <c r="R273" s="12"/>
      <c r="S273" s="26"/>
      <c r="T273" s="12"/>
      <c r="U273" s="26"/>
      <c r="V273" s="26"/>
      <c r="W273" s="23"/>
      <c r="X273" s="1"/>
      <c r="Y273" s="26"/>
      <c r="Z273" s="26"/>
    </row>
    <row r="274">
      <c r="A274" s="65">
        <v>447.0</v>
      </c>
      <c r="B274" s="1">
        <v>19847.0</v>
      </c>
      <c r="C274" s="66">
        <v>14.512</v>
      </c>
      <c r="D274" s="69">
        <v>11.279</v>
      </c>
      <c r="E274" s="26">
        <v>4.147</v>
      </c>
      <c r="F274" s="61">
        <v>1101.1</v>
      </c>
      <c r="G274" s="23">
        <v>1.063</v>
      </c>
      <c r="H274" s="23">
        <v>0.376</v>
      </c>
      <c r="I274" s="1">
        <v>382.8</v>
      </c>
      <c r="J274" s="1">
        <v>887.1</v>
      </c>
      <c r="K274" s="1">
        <v>26417.0</v>
      </c>
      <c r="L274" s="1">
        <v>100.0</v>
      </c>
      <c r="M274" s="26">
        <v>14.58</v>
      </c>
      <c r="N274" s="23">
        <f t="shared" si="6"/>
        <v>0.376</v>
      </c>
      <c r="O274">
        <f t="shared" si="7"/>
        <v>1</v>
      </c>
      <c r="P274" s="65"/>
      <c r="Q274" s="69"/>
      <c r="R274" s="12"/>
      <c r="S274" s="26"/>
      <c r="T274" s="12"/>
      <c r="U274" s="26"/>
      <c r="V274" s="26"/>
      <c r="W274" s="23"/>
      <c r="X274" s="1"/>
      <c r="Y274" s="26"/>
      <c r="Z274" s="26"/>
    </row>
    <row r="275">
      <c r="A275" s="65">
        <v>449.0</v>
      </c>
      <c r="B275" s="1">
        <v>19847.0</v>
      </c>
      <c r="C275" s="66">
        <v>14.534</v>
      </c>
      <c r="D275" s="69">
        <v>11.33</v>
      </c>
      <c r="E275" s="26">
        <v>4.147</v>
      </c>
      <c r="F275" s="61">
        <v>1101.1</v>
      </c>
      <c r="G275" s="23">
        <v>1.063</v>
      </c>
      <c r="H275" s="23">
        <v>0.376</v>
      </c>
      <c r="I275" s="1">
        <v>382.8</v>
      </c>
      <c r="J275" s="1">
        <v>887.1</v>
      </c>
      <c r="K275" s="1">
        <v>26417.0</v>
      </c>
      <c r="L275" s="1">
        <v>100.0</v>
      </c>
      <c r="M275" s="26">
        <v>14.58</v>
      </c>
      <c r="N275" s="23">
        <f t="shared" si="6"/>
        <v>0.376</v>
      </c>
      <c r="O275">
        <f t="shared" si="7"/>
        <v>1</v>
      </c>
      <c r="P275" s="65"/>
      <c r="Q275" s="69"/>
      <c r="R275" s="12"/>
      <c r="S275" s="26"/>
      <c r="T275" s="12"/>
      <c r="U275" s="26"/>
      <c r="V275" s="26"/>
      <c r="W275" s="23"/>
      <c r="X275" s="1"/>
      <c r="Y275" s="26"/>
      <c r="Z275" s="26"/>
    </row>
    <row r="276">
      <c r="A276" s="65">
        <v>451.0</v>
      </c>
      <c r="B276" s="1">
        <v>19847.0</v>
      </c>
      <c r="C276" s="66">
        <v>14.581</v>
      </c>
      <c r="D276" s="69">
        <v>11.36</v>
      </c>
      <c r="E276" s="26">
        <v>3.505</v>
      </c>
      <c r="F276" s="61">
        <v>1101.1</v>
      </c>
      <c r="G276" s="23">
        <v>1.063</v>
      </c>
      <c r="H276" s="23">
        <v>0.386</v>
      </c>
      <c r="I276" s="1">
        <v>382.8</v>
      </c>
      <c r="J276" s="1">
        <v>887.1</v>
      </c>
      <c r="K276" s="1">
        <v>26417.0</v>
      </c>
      <c r="L276" s="1">
        <v>100.0</v>
      </c>
      <c r="M276" s="23">
        <v>14.571</v>
      </c>
      <c r="N276" s="23">
        <f t="shared" si="6"/>
        <v>0.386</v>
      </c>
      <c r="O276">
        <f t="shared" si="7"/>
        <v>1</v>
      </c>
      <c r="P276" s="65"/>
      <c r="Q276" s="69"/>
      <c r="R276" s="12"/>
      <c r="S276" s="26"/>
      <c r="T276" s="12"/>
      <c r="U276" s="26"/>
      <c r="V276" s="26"/>
      <c r="W276" s="23"/>
      <c r="X276" s="1"/>
      <c r="Y276" s="26"/>
      <c r="Z276" s="26"/>
    </row>
    <row r="277">
      <c r="A277" s="39">
        <v>453.0</v>
      </c>
      <c r="B277" s="1">
        <v>19847.0</v>
      </c>
      <c r="C277" s="67">
        <v>14.954</v>
      </c>
      <c r="D277" s="76">
        <v>11.715</v>
      </c>
      <c r="E277" s="26">
        <v>3.505</v>
      </c>
      <c r="F277" s="61">
        <v>1086.1</v>
      </c>
      <c r="G277" s="23">
        <v>1.063</v>
      </c>
      <c r="H277" s="23">
        <v>0.386</v>
      </c>
      <c r="I277" s="1">
        <v>382.8</v>
      </c>
      <c r="J277" s="1">
        <v>887.1</v>
      </c>
      <c r="K277" s="1">
        <v>26417.0</v>
      </c>
      <c r="L277" s="1">
        <v>100.0</v>
      </c>
      <c r="M277" s="23">
        <v>14.571</v>
      </c>
      <c r="N277" s="23">
        <f t="shared" si="6"/>
        <v>0.386</v>
      </c>
      <c r="O277">
        <f t="shared" si="7"/>
        <v>1</v>
      </c>
      <c r="P277" s="39"/>
      <c r="Q277" s="76"/>
      <c r="R277" s="12"/>
      <c r="S277" s="26"/>
      <c r="T277" s="12"/>
      <c r="U277" s="26"/>
      <c r="V277" s="26"/>
      <c r="W277" s="23"/>
      <c r="X277" s="1"/>
      <c r="Y277" s="26"/>
      <c r="Z277" s="26"/>
    </row>
    <row r="278">
      <c r="A278" s="39">
        <v>455.0</v>
      </c>
      <c r="B278" s="1">
        <v>19847.0</v>
      </c>
      <c r="C278" s="67">
        <v>14.965</v>
      </c>
      <c r="D278" s="67">
        <v>11.743</v>
      </c>
      <c r="E278" s="26">
        <v>3.085</v>
      </c>
      <c r="F278" s="61">
        <v>1086.1</v>
      </c>
      <c r="G278" s="23">
        <v>1.063</v>
      </c>
      <c r="H278" s="23">
        <v>0.386</v>
      </c>
      <c r="I278" s="1">
        <v>382.8</v>
      </c>
      <c r="J278" s="1">
        <v>887.1</v>
      </c>
      <c r="K278" s="1">
        <v>26417.0</v>
      </c>
      <c r="L278" s="1">
        <v>100.0</v>
      </c>
      <c r="M278" s="23">
        <v>14.589</v>
      </c>
      <c r="N278" s="23">
        <f t="shared" si="6"/>
        <v>0.386</v>
      </c>
      <c r="O278">
        <f t="shared" si="7"/>
        <v>1</v>
      </c>
      <c r="P278" s="39"/>
      <c r="Q278" s="76"/>
      <c r="R278" s="12"/>
      <c r="S278" s="26"/>
      <c r="T278" s="12"/>
      <c r="U278" s="26"/>
      <c r="V278" s="26"/>
      <c r="W278" s="23"/>
      <c r="X278" s="1"/>
      <c r="Y278" s="26"/>
      <c r="Z278" s="26"/>
    </row>
    <row r="279">
      <c r="A279" s="39">
        <v>457.0</v>
      </c>
      <c r="B279" s="1">
        <v>19182.0</v>
      </c>
      <c r="C279" s="67">
        <v>15.485</v>
      </c>
      <c r="D279" s="67">
        <v>12.47</v>
      </c>
      <c r="E279" s="26">
        <v>3.085</v>
      </c>
      <c r="F279" s="61">
        <v>1101.1</v>
      </c>
      <c r="G279" s="26">
        <v>1.05</v>
      </c>
      <c r="H279" s="23">
        <v>0.386</v>
      </c>
      <c r="I279" s="1">
        <v>382.8</v>
      </c>
      <c r="J279" s="1">
        <v>969.1</v>
      </c>
      <c r="K279" s="1">
        <v>26417.0</v>
      </c>
      <c r="L279" s="1">
        <v>100.0</v>
      </c>
      <c r="M279" s="23">
        <v>14.589</v>
      </c>
      <c r="N279" s="23">
        <f t="shared" si="6"/>
        <v>0.386</v>
      </c>
      <c r="O279">
        <f t="shared" si="7"/>
        <v>1</v>
      </c>
      <c r="P279" s="39"/>
      <c r="Q279" s="76"/>
      <c r="R279" s="12"/>
      <c r="S279" s="26"/>
      <c r="T279" s="12"/>
      <c r="U279" s="26"/>
      <c r="V279" s="26"/>
      <c r="W279" s="23"/>
      <c r="X279" s="1"/>
      <c r="Y279" s="26"/>
      <c r="Z279" s="26"/>
    </row>
    <row r="280">
      <c r="A280" s="39">
        <v>459.0</v>
      </c>
      <c r="B280" s="1">
        <v>19847.0</v>
      </c>
      <c r="C280" s="67">
        <v>15.384</v>
      </c>
      <c r="D280" s="67">
        <v>15.637</v>
      </c>
      <c r="E280" s="26">
        <v>3.455</v>
      </c>
      <c r="F280" s="61">
        <v>1101.1</v>
      </c>
      <c r="G280" s="26">
        <v>0.8</v>
      </c>
      <c r="H280" s="23">
        <v>1.386</v>
      </c>
      <c r="I280" s="1">
        <v>382.8</v>
      </c>
      <c r="J280" s="1">
        <v>969.1</v>
      </c>
      <c r="K280" s="1">
        <v>26417.0</v>
      </c>
      <c r="L280" s="1">
        <v>100.0</v>
      </c>
      <c r="M280" s="23">
        <v>14.708</v>
      </c>
      <c r="N280" s="23">
        <f t="shared" si="6"/>
        <v>1</v>
      </c>
      <c r="O280" s="12">
        <f t="shared" si="7"/>
        <v>0.8</v>
      </c>
      <c r="P280" s="65"/>
      <c r="Q280" s="69"/>
      <c r="R280" s="12"/>
      <c r="S280" s="26"/>
      <c r="T280" s="12"/>
      <c r="U280" s="26"/>
      <c r="V280" s="26"/>
      <c r="W280" s="23"/>
      <c r="X280" s="1"/>
      <c r="Y280" s="26"/>
      <c r="Z280" s="26"/>
    </row>
    <row r="281">
      <c r="A281" s="39">
        <v>461.0</v>
      </c>
      <c r="B281" s="1">
        <v>21693.0</v>
      </c>
      <c r="C281" s="76">
        <v>15.6</v>
      </c>
      <c r="D281" s="67">
        <v>15.979</v>
      </c>
      <c r="E281" s="26">
        <v>3.605</v>
      </c>
      <c r="F281" s="61">
        <v>1101.1</v>
      </c>
      <c r="G281" s="26">
        <v>0.83</v>
      </c>
      <c r="H281" s="23">
        <v>1.386</v>
      </c>
      <c r="I281" s="1">
        <v>382.8</v>
      </c>
      <c r="J281" s="1">
        <v>969.1</v>
      </c>
      <c r="K281" s="1">
        <v>28874.0</v>
      </c>
      <c r="L281" s="1">
        <v>100.0</v>
      </c>
      <c r="M281" s="23">
        <v>14.708</v>
      </c>
      <c r="N281" s="23">
        <f t="shared" si="6"/>
        <v>1</v>
      </c>
      <c r="O281" s="12">
        <f t="shared" si="7"/>
        <v>0.83</v>
      </c>
      <c r="P281" s="65"/>
      <c r="Q281" s="69"/>
      <c r="R281" s="12"/>
      <c r="S281" s="26"/>
      <c r="T281" s="12"/>
      <c r="U281" s="26"/>
      <c r="V281" s="26"/>
      <c r="W281" s="23"/>
      <c r="X281" s="1"/>
      <c r="Y281" s="26"/>
      <c r="Z281" s="26"/>
    </row>
    <row r="282">
      <c r="A282" s="65">
        <v>463.0</v>
      </c>
      <c r="B282" s="1">
        <v>21693.0</v>
      </c>
      <c r="C282" s="66">
        <v>15.816</v>
      </c>
      <c r="D282" s="66">
        <v>16.117</v>
      </c>
      <c r="E282" s="26">
        <v>3.675</v>
      </c>
      <c r="F282" s="61">
        <v>1101.1</v>
      </c>
      <c r="G282" s="26">
        <v>0.83</v>
      </c>
      <c r="H282" s="23">
        <v>1.386</v>
      </c>
      <c r="I282" s="1">
        <v>382.8</v>
      </c>
      <c r="J282" s="1">
        <v>969.1</v>
      </c>
      <c r="K282" s="1">
        <v>28874.0</v>
      </c>
      <c r="L282" s="1">
        <v>100.0</v>
      </c>
      <c r="M282" s="23">
        <v>14.708</v>
      </c>
      <c r="N282" s="23">
        <f t="shared" si="6"/>
        <v>1</v>
      </c>
      <c r="O282" s="12">
        <f t="shared" si="7"/>
        <v>0.83</v>
      </c>
      <c r="P282" s="65"/>
      <c r="Q282" s="69"/>
      <c r="R282" s="12"/>
      <c r="S282" s="26"/>
      <c r="T282" s="12"/>
      <c r="U282" s="26"/>
      <c r="V282" s="26"/>
      <c r="W282" s="23"/>
      <c r="X282" s="1"/>
      <c r="Y282" s="26"/>
      <c r="Z282" s="26"/>
    </row>
    <row r="283">
      <c r="A283" s="65">
        <v>465.0</v>
      </c>
      <c r="B283" s="1">
        <v>21693.0</v>
      </c>
      <c r="C283" s="66">
        <v>15.804</v>
      </c>
      <c r="D283" s="66">
        <v>16.254</v>
      </c>
      <c r="E283" s="26">
        <v>3.925</v>
      </c>
      <c r="F283" s="61">
        <v>1101.1</v>
      </c>
      <c r="G283" s="26">
        <v>0.83</v>
      </c>
      <c r="H283" s="23">
        <v>0.376</v>
      </c>
      <c r="I283" s="1">
        <v>382.8</v>
      </c>
      <c r="J283" s="1">
        <v>969.1</v>
      </c>
      <c r="K283" s="1">
        <v>28874.0</v>
      </c>
      <c r="L283" s="1">
        <v>100.0</v>
      </c>
      <c r="M283" s="23">
        <v>14.794</v>
      </c>
      <c r="N283" s="23">
        <f t="shared" si="6"/>
        <v>0.376</v>
      </c>
      <c r="O283" s="12">
        <f t="shared" si="7"/>
        <v>0.83</v>
      </c>
      <c r="P283" s="65"/>
      <c r="Q283" s="69"/>
      <c r="R283" s="12"/>
      <c r="S283" s="26"/>
      <c r="T283" s="12"/>
      <c r="U283" s="26"/>
      <c r="V283" s="26"/>
      <c r="W283" s="23"/>
      <c r="X283" s="1"/>
      <c r="Y283" s="26"/>
      <c r="Z283" s="26"/>
    </row>
    <row r="284">
      <c r="A284" s="65">
        <v>467.0</v>
      </c>
      <c r="B284" s="1">
        <v>21693.0</v>
      </c>
      <c r="C284" s="66">
        <v>16.359</v>
      </c>
      <c r="D284" s="66">
        <v>16.32</v>
      </c>
      <c r="E284" s="26">
        <v>3.925</v>
      </c>
      <c r="F284" s="61">
        <v>1101.1</v>
      </c>
      <c r="G284" s="26">
        <v>0.83</v>
      </c>
      <c r="H284" s="23">
        <v>0.376</v>
      </c>
      <c r="I284" s="1">
        <v>382.8</v>
      </c>
      <c r="J284" s="1">
        <v>969.1</v>
      </c>
      <c r="K284" s="1">
        <v>28874.0</v>
      </c>
      <c r="L284" s="1">
        <v>100.0</v>
      </c>
      <c r="M284" s="23">
        <v>14.794</v>
      </c>
      <c r="N284" s="23">
        <f t="shared" si="6"/>
        <v>0.376</v>
      </c>
      <c r="O284" s="12">
        <f t="shared" si="7"/>
        <v>0.83</v>
      </c>
      <c r="P284" s="65"/>
      <c r="Q284" s="69"/>
      <c r="R284" s="12"/>
      <c r="S284" s="26"/>
      <c r="T284" s="12"/>
      <c r="U284" s="26"/>
      <c r="V284" s="26"/>
      <c r="W284" s="23"/>
      <c r="X284" s="1"/>
      <c r="Y284" s="26"/>
      <c r="Z284" s="26"/>
    </row>
    <row r="285">
      <c r="A285" s="65">
        <v>470.0</v>
      </c>
      <c r="B285" s="1">
        <v>21693.0</v>
      </c>
      <c r="C285" s="66">
        <v>16.032</v>
      </c>
      <c r="D285" s="66">
        <v>13.381</v>
      </c>
      <c r="E285" s="26">
        <v>3.925</v>
      </c>
      <c r="F285" s="61">
        <v>1101.1</v>
      </c>
      <c r="G285" s="26">
        <v>1.08</v>
      </c>
      <c r="H285" s="23">
        <v>0.376</v>
      </c>
      <c r="I285" s="1">
        <v>382.8</v>
      </c>
      <c r="J285" s="1">
        <v>969.1</v>
      </c>
      <c r="K285" s="1">
        <v>28874.0</v>
      </c>
      <c r="L285" s="1">
        <v>100.0</v>
      </c>
      <c r="M285" s="23">
        <v>14.793</v>
      </c>
      <c r="N285" s="23">
        <f t="shared" si="6"/>
        <v>0.376</v>
      </c>
      <c r="O285">
        <f t="shared" si="7"/>
        <v>1</v>
      </c>
      <c r="P285" s="65"/>
      <c r="Q285" s="69"/>
      <c r="R285" s="12"/>
      <c r="S285" s="26"/>
      <c r="T285" s="12"/>
      <c r="U285" s="26"/>
      <c r="V285" s="26"/>
      <c r="W285" s="23"/>
      <c r="X285" s="1"/>
      <c r="Y285" s="26"/>
      <c r="Z285" s="26"/>
    </row>
    <row r="286">
      <c r="A286" s="65">
        <v>472.0</v>
      </c>
      <c r="B286" s="1">
        <v>21693.0</v>
      </c>
      <c r="C286" s="66">
        <v>15.489</v>
      </c>
      <c r="D286" s="66">
        <v>12.873</v>
      </c>
      <c r="E286" s="26">
        <v>3.925</v>
      </c>
      <c r="F286" s="61">
        <v>1101.1</v>
      </c>
      <c r="G286" s="26">
        <v>1.08</v>
      </c>
      <c r="H286" s="23">
        <v>0.376</v>
      </c>
      <c r="I286" s="1">
        <v>382.8</v>
      </c>
      <c r="J286" s="1">
        <v>969.1</v>
      </c>
      <c r="K286" s="1">
        <v>28874.0</v>
      </c>
      <c r="L286" s="1">
        <v>100.0</v>
      </c>
      <c r="M286" s="23">
        <v>14.793</v>
      </c>
      <c r="N286" s="23">
        <f t="shared" si="6"/>
        <v>0.376</v>
      </c>
      <c r="O286">
        <f t="shared" si="7"/>
        <v>1</v>
      </c>
      <c r="P286" s="65"/>
      <c r="Q286" s="69"/>
      <c r="R286" s="12"/>
      <c r="S286" s="26"/>
      <c r="T286" s="12"/>
      <c r="U286" s="26"/>
      <c r="V286" s="26"/>
      <c r="W286" s="23"/>
      <c r="X286" s="1"/>
      <c r="Y286" s="26"/>
      <c r="Z286" s="26"/>
    </row>
    <row r="287">
      <c r="A287" s="65">
        <v>474.0</v>
      </c>
      <c r="B287" s="1">
        <v>21693.0</v>
      </c>
      <c r="C287" s="66">
        <v>15.863</v>
      </c>
      <c r="D287" s="66">
        <v>12.965</v>
      </c>
      <c r="E287" s="26">
        <v>3.925</v>
      </c>
      <c r="F287" s="61">
        <v>1101.1</v>
      </c>
      <c r="G287" s="23">
        <v>1.057</v>
      </c>
      <c r="H287" s="23">
        <v>0.376</v>
      </c>
      <c r="I287" s="1">
        <v>382.8</v>
      </c>
      <c r="J287" s="1">
        <v>867.3</v>
      </c>
      <c r="K287" s="1">
        <v>28874.0</v>
      </c>
      <c r="L287" s="1">
        <v>100.0</v>
      </c>
      <c r="M287" s="26">
        <v>14.72</v>
      </c>
      <c r="N287" s="23">
        <f t="shared" si="6"/>
        <v>0.376</v>
      </c>
      <c r="O287">
        <f t="shared" si="7"/>
        <v>1</v>
      </c>
      <c r="P287" s="65"/>
      <c r="Q287" s="69"/>
      <c r="R287" s="12"/>
      <c r="S287" s="26"/>
      <c r="T287" s="12"/>
      <c r="U287" s="26"/>
      <c r="V287" s="26"/>
      <c r="W287" s="23"/>
      <c r="X287" s="1"/>
      <c r="Y287" s="26"/>
      <c r="Z287" s="26"/>
    </row>
    <row r="288">
      <c r="A288" s="65">
        <v>476.0</v>
      </c>
      <c r="B288" s="1">
        <v>21693.0</v>
      </c>
      <c r="C288" s="69">
        <v>14.96</v>
      </c>
      <c r="D288" s="66">
        <v>12.175</v>
      </c>
      <c r="E288" s="26">
        <v>3.305</v>
      </c>
      <c r="F288" s="61">
        <v>1101.1</v>
      </c>
      <c r="G288" s="23">
        <v>1.057</v>
      </c>
      <c r="H288" s="23">
        <v>0.386</v>
      </c>
      <c r="I288" s="1">
        <v>382.8</v>
      </c>
      <c r="J288" s="1">
        <v>867.3</v>
      </c>
      <c r="K288" s="1">
        <v>28874.0</v>
      </c>
      <c r="L288" s="1">
        <v>100.0</v>
      </c>
      <c r="M288" s="26">
        <v>14.72</v>
      </c>
      <c r="N288" s="23">
        <f t="shared" si="6"/>
        <v>0.386</v>
      </c>
      <c r="O288">
        <f t="shared" si="7"/>
        <v>1</v>
      </c>
      <c r="P288" s="65"/>
      <c r="Q288" s="69"/>
      <c r="R288" s="12"/>
      <c r="S288" s="26"/>
      <c r="T288" s="12"/>
      <c r="U288" s="26"/>
      <c r="V288" s="26"/>
      <c r="W288" s="23"/>
      <c r="X288" s="1"/>
      <c r="Y288" s="26"/>
      <c r="Z288" s="26"/>
    </row>
    <row r="289">
      <c r="A289" s="65">
        <v>478.0</v>
      </c>
      <c r="B289" s="1">
        <v>19847.0</v>
      </c>
      <c r="C289" s="66">
        <v>14.779</v>
      </c>
      <c r="D289" s="66">
        <v>12.202</v>
      </c>
      <c r="E289" s="26">
        <v>3.172</v>
      </c>
      <c r="F289" s="61">
        <v>1101.1</v>
      </c>
      <c r="G289" s="23">
        <v>1.033</v>
      </c>
      <c r="H289" s="23">
        <v>0.386</v>
      </c>
      <c r="I289" s="1">
        <v>382.8</v>
      </c>
      <c r="J289" s="1">
        <v>887.1</v>
      </c>
      <c r="K289" s="1">
        <v>26417.0</v>
      </c>
      <c r="L289" s="1">
        <v>100.0</v>
      </c>
      <c r="M289" s="23">
        <v>14.618</v>
      </c>
      <c r="N289" s="23">
        <f t="shared" si="6"/>
        <v>0.386</v>
      </c>
      <c r="O289">
        <f t="shared" si="7"/>
        <v>1</v>
      </c>
      <c r="P289" s="65"/>
      <c r="Q289" s="69"/>
      <c r="R289" s="12"/>
      <c r="S289" s="26"/>
      <c r="T289" s="12"/>
      <c r="U289" s="26"/>
      <c r="V289" s="26"/>
      <c r="W289" s="23"/>
      <c r="X289" s="1"/>
      <c r="Y289" s="26"/>
      <c r="Z289" s="26"/>
    </row>
    <row r="290">
      <c r="A290" s="65">
        <v>480.0</v>
      </c>
      <c r="B290" s="1">
        <v>19847.0</v>
      </c>
      <c r="C290" s="66">
        <v>14.757</v>
      </c>
      <c r="D290" s="66">
        <v>12.31</v>
      </c>
      <c r="E290" s="26">
        <v>3.172</v>
      </c>
      <c r="F290" s="61">
        <v>1101.1</v>
      </c>
      <c r="G290" s="23">
        <v>1.033</v>
      </c>
      <c r="H290" s="23">
        <v>0.386</v>
      </c>
      <c r="I290" s="1">
        <v>382.8</v>
      </c>
      <c r="J290" s="1">
        <v>887.1</v>
      </c>
      <c r="K290" s="1">
        <v>26417.0</v>
      </c>
      <c r="L290" s="1">
        <v>100.0</v>
      </c>
      <c r="M290" s="23">
        <v>14.618</v>
      </c>
      <c r="N290" s="23">
        <f t="shared" si="6"/>
        <v>0.386</v>
      </c>
      <c r="O290">
        <f t="shared" si="7"/>
        <v>1</v>
      </c>
      <c r="P290" s="65"/>
      <c r="Q290" s="69"/>
      <c r="R290" s="12"/>
      <c r="S290" s="26"/>
      <c r="T290" s="12"/>
      <c r="U290" s="26"/>
      <c r="V290" s="26"/>
      <c r="W290" s="23"/>
      <c r="X290" s="1"/>
      <c r="Y290" s="26"/>
      <c r="Z290" s="26"/>
    </row>
    <row r="291">
      <c r="A291" s="65">
        <v>482.0</v>
      </c>
      <c r="B291" s="1">
        <v>19847.0</v>
      </c>
      <c r="C291" s="66">
        <v>14.407</v>
      </c>
      <c r="D291" s="66">
        <v>11.953</v>
      </c>
      <c r="E291" s="26">
        <v>2.752</v>
      </c>
      <c r="F291" s="61">
        <v>1086.1</v>
      </c>
      <c r="G291" s="23">
        <v>1.033</v>
      </c>
      <c r="H291" s="23">
        <v>0.386</v>
      </c>
      <c r="I291" s="1">
        <v>382.8</v>
      </c>
      <c r="J291" s="1">
        <v>887.1</v>
      </c>
      <c r="K291" s="1">
        <v>26417.0</v>
      </c>
      <c r="L291" s="1">
        <v>100.0</v>
      </c>
      <c r="M291" s="23">
        <v>14.618</v>
      </c>
      <c r="N291" s="23">
        <f t="shared" si="6"/>
        <v>0.386</v>
      </c>
      <c r="O291">
        <f t="shared" si="7"/>
        <v>1</v>
      </c>
      <c r="P291" s="65"/>
      <c r="Q291" s="69"/>
      <c r="R291" s="12"/>
      <c r="S291" s="26"/>
      <c r="T291" s="12"/>
      <c r="U291" s="26"/>
      <c r="V291" s="26"/>
      <c r="W291" s="23"/>
      <c r="X291" s="1"/>
      <c r="Y291" s="26"/>
      <c r="Z291" s="26"/>
    </row>
    <row r="292">
      <c r="A292" s="65">
        <v>484.0</v>
      </c>
      <c r="B292" s="1">
        <v>19847.0</v>
      </c>
      <c r="C292" s="66">
        <v>13.853</v>
      </c>
      <c r="D292" s="66">
        <v>12.05</v>
      </c>
      <c r="E292" s="26">
        <v>2.752</v>
      </c>
      <c r="F292" s="61">
        <v>1086.1</v>
      </c>
      <c r="G292" s="23">
        <v>1.033</v>
      </c>
      <c r="H292" s="23">
        <v>0.386</v>
      </c>
      <c r="I292" s="1">
        <v>382.8</v>
      </c>
      <c r="J292" s="1">
        <v>887.1</v>
      </c>
      <c r="K292" s="1">
        <v>26417.0</v>
      </c>
      <c r="L292" s="1">
        <v>100.0</v>
      </c>
      <c r="M292" s="23">
        <v>14.618</v>
      </c>
      <c r="N292" s="23">
        <f t="shared" si="6"/>
        <v>0.386</v>
      </c>
      <c r="O292">
        <f t="shared" si="7"/>
        <v>1</v>
      </c>
      <c r="P292" s="65"/>
      <c r="Q292" s="69"/>
      <c r="R292" s="12"/>
      <c r="S292" s="26"/>
      <c r="T292" s="12"/>
      <c r="U292" s="26"/>
      <c r="V292" s="26"/>
      <c r="W292" s="23"/>
      <c r="X292" s="1"/>
      <c r="Y292" s="26"/>
      <c r="Z292" s="26"/>
    </row>
    <row r="293">
      <c r="A293" s="39">
        <v>486.0</v>
      </c>
      <c r="B293" s="1">
        <v>19622.0</v>
      </c>
      <c r="C293" s="67">
        <v>14.724</v>
      </c>
      <c r="D293" s="67">
        <v>12.109</v>
      </c>
      <c r="E293" s="26">
        <v>2.826</v>
      </c>
      <c r="F293" s="61">
        <v>1086.1</v>
      </c>
      <c r="G293" s="23">
        <v>1.063</v>
      </c>
      <c r="H293" s="23">
        <v>0.376</v>
      </c>
      <c r="I293" s="1">
        <v>382.8</v>
      </c>
      <c r="J293" s="1">
        <v>887.1</v>
      </c>
      <c r="K293" s="1">
        <v>26417.0</v>
      </c>
      <c r="L293" s="1">
        <v>100.0</v>
      </c>
      <c r="M293" s="23">
        <v>14.621</v>
      </c>
      <c r="N293" s="23">
        <f t="shared" si="6"/>
        <v>0.376</v>
      </c>
      <c r="O293">
        <f t="shared" si="7"/>
        <v>1</v>
      </c>
      <c r="P293" s="65"/>
      <c r="Q293" s="69"/>
      <c r="R293" s="12"/>
      <c r="S293" s="26"/>
      <c r="T293" s="12"/>
      <c r="U293" s="26"/>
      <c r="V293" s="26"/>
      <c r="W293" s="23"/>
      <c r="X293" s="1"/>
      <c r="Y293" s="26"/>
      <c r="Z293" s="26"/>
    </row>
    <row r="294">
      <c r="A294" s="65">
        <v>488.0</v>
      </c>
      <c r="B294" s="1">
        <v>19847.0</v>
      </c>
      <c r="C294" s="66">
        <v>15.041</v>
      </c>
      <c r="D294" s="66">
        <v>11.72</v>
      </c>
      <c r="E294" s="26">
        <v>2.826</v>
      </c>
      <c r="F294" s="61">
        <v>1086.1</v>
      </c>
      <c r="G294" s="23">
        <v>0.813</v>
      </c>
      <c r="H294" s="23">
        <v>0.386</v>
      </c>
      <c r="I294" s="1">
        <v>382.8</v>
      </c>
      <c r="J294" s="1">
        <v>887.1</v>
      </c>
      <c r="K294" s="1">
        <v>26417.0</v>
      </c>
      <c r="L294" s="1">
        <v>100.0</v>
      </c>
      <c r="M294" s="23">
        <v>14.621</v>
      </c>
      <c r="N294" s="23">
        <f t="shared" si="6"/>
        <v>0.386</v>
      </c>
      <c r="O294" s="64">
        <f t="shared" si="7"/>
        <v>0.813</v>
      </c>
      <c r="P294" s="39"/>
      <c r="Q294" s="76"/>
      <c r="R294" s="12"/>
      <c r="S294" s="26"/>
      <c r="T294" s="12"/>
      <c r="U294" s="26"/>
      <c r="V294" s="26"/>
      <c r="W294" s="23"/>
      <c r="X294" s="1"/>
      <c r="Y294" s="26"/>
      <c r="Z294" s="26"/>
    </row>
    <row r="295">
      <c r="A295" s="65">
        <v>490.0</v>
      </c>
      <c r="B295" s="1">
        <v>19847.0</v>
      </c>
      <c r="C295" s="66">
        <v>16.702</v>
      </c>
      <c r="D295" s="69">
        <v>13.368</v>
      </c>
      <c r="E295" s="26">
        <v>2.706</v>
      </c>
      <c r="F295" s="61">
        <v>1086.1</v>
      </c>
      <c r="G295" s="23">
        <v>0.813</v>
      </c>
      <c r="H295" s="23">
        <v>0.386</v>
      </c>
      <c r="I295" s="1">
        <v>382.8</v>
      </c>
      <c r="J295" s="1">
        <v>887.1</v>
      </c>
      <c r="K295" s="1">
        <v>26417.0</v>
      </c>
      <c r="L295" s="1">
        <v>100.0</v>
      </c>
      <c r="M295" s="23">
        <v>14.766</v>
      </c>
      <c r="N295" s="23">
        <f t="shared" si="6"/>
        <v>0.386</v>
      </c>
      <c r="O295" s="64">
        <f t="shared" si="7"/>
        <v>0.813</v>
      </c>
      <c r="P295" s="65"/>
      <c r="Q295" s="69"/>
      <c r="R295" s="12"/>
      <c r="S295" s="26"/>
      <c r="T295" s="12"/>
      <c r="U295" s="26"/>
      <c r="V295" s="26"/>
      <c r="W295" s="23"/>
      <c r="X295" s="1"/>
      <c r="Y295" s="26"/>
      <c r="Z295" s="26"/>
    </row>
    <row r="296">
      <c r="A296" s="65" t="s">
        <v>501</v>
      </c>
      <c r="B296" s="1"/>
      <c r="C296" s="65"/>
      <c r="D296" s="66"/>
      <c r="E296" s="12"/>
      <c r="F296" s="1"/>
      <c r="G296" s="1"/>
      <c r="H296" s="1"/>
      <c r="I296" s="23"/>
      <c r="J296" s="12"/>
      <c r="K296" s="1"/>
      <c r="N296" s="23" t="str">
        <f t="shared" si="6"/>
        <v/>
      </c>
      <c r="O296" t="str">
        <f t="shared" si="7"/>
        <v/>
      </c>
      <c r="P296" s="65"/>
      <c r="Q296" s="69"/>
      <c r="R296" s="12"/>
      <c r="S296" s="26"/>
      <c r="T296" s="12"/>
      <c r="U296" s="26"/>
      <c r="V296" s="26"/>
      <c r="W296" s="23"/>
      <c r="X296" s="1"/>
      <c r="Y296" s="26"/>
      <c r="Z296" s="26"/>
    </row>
    <row r="297">
      <c r="A297" s="65" t="s">
        <v>504</v>
      </c>
      <c r="B297" s="1"/>
      <c r="C297" s="65"/>
      <c r="D297" s="66"/>
      <c r="E297" s="12"/>
      <c r="F297" s="1"/>
      <c r="G297" s="1"/>
      <c r="H297" s="1"/>
      <c r="I297" s="23"/>
      <c r="J297" s="12"/>
      <c r="K297" s="1"/>
      <c r="N297" s="23" t="str">
        <f t="shared" si="6"/>
        <v/>
      </c>
      <c r="O297" t="str">
        <f t="shared" si="7"/>
        <v/>
      </c>
      <c r="P297" s="39"/>
      <c r="Q297" s="76"/>
      <c r="R297" s="12"/>
      <c r="S297" s="26"/>
      <c r="T297" s="12"/>
      <c r="U297" s="26"/>
      <c r="V297" s="26"/>
      <c r="W297" s="23"/>
      <c r="X297" s="1"/>
      <c r="Y297" s="26"/>
      <c r="Z297" s="26"/>
    </row>
    <row r="298">
      <c r="A298" s="65">
        <v>492.0</v>
      </c>
      <c r="B298" s="1">
        <v>25385.0</v>
      </c>
      <c r="C298" s="66">
        <v>17.097</v>
      </c>
      <c r="D298" s="66">
        <v>13.28</v>
      </c>
      <c r="E298" s="26">
        <v>2.926</v>
      </c>
      <c r="F298" s="61">
        <v>1101.1</v>
      </c>
      <c r="G298" s="26">
        <v>0.83</v>
      </c>
      <c r="H298" s="23">
        <v>0.386</v>
      </c>
      <c r="I298" s="1">
        <v>382.8</v>
      </c>
      <c r="J298" s="1">
        <v>969.1</v>
      </c>
      <c r="K298" s="1">
        <v>33789.0</v>
      </c>
      <c r="L298" s="1">
        <v>100.0</v>
      </c>
      <c r="M298" s="23">
        <v>14.766</v>
      </c>
      <c r="N298" s="23">
        <f t="shared" si="6"/>
        <v>0.386</v>
      </c>
      <c r="O298" s="12">
        <f t="shared" si="7"/>
        <v>0.83</v>
      </c>
      <c r="P298" s="65"/>
      <c r="Q298" s="69"/>
      <c r="R298" s="12"/>
      <c r="S298" s="26"/>
      <c r="T298" s="12"/>
      <c r="U298" s="26"/>
      <c r="V298" s="26"/>
      <c r="W298" s="23"/>
      <c r="X298" s="1"/>
      <c r="Y298" s="26"/>
      <c r="Z298" s="26"/>
    </row>
    <row r="299">
      <c r="A299" s="39">
        <v>494.0</v>
      </c>
      <c r="B299" s="1">
        <v>25385.0</v>
      </c>
      <c r="C299" s="67">
        <v>16.341</v>
      </c>
      <c r="D299" s="67">
        <v>13.557</v>
      </c>
      <c r="E299" s="26">
        <v>2.926</v>
      </c>
      <c r="F299" s="61">
        <v>1061.8</v>
      </c>
      <c r="G299" s="23">
        <v>1.073</v>
      </c>
      <c r="H299" s="23">
        <v>0.386</v>
      </c>
      <c r="I299" s="1">
        <v>382.8</v>
      </c>
      <c r="J299" s="1">
        <v>929.8</v>
      </c>
      <c r="K299" s="1">
        <v>33789.0</v>
      </c>
      <c r="L299" s="1">
        <v>100.0</v>
      </c>
      <c r="M299" s="26">
        <v>14.87</v>
      </c>
      <c r="N299" s="23">
        <f t="shared" si="6"/>
        <v>0.386</v>
      </c>
      <c r="O299">
        <f t="shared" si="7"/>
        <v>1</v>
      </c>
      <c r="P299" s="39"/>
      <c r="Q299" s="76"/>
      <c r="R299" s="12"/>
      <c r="S299" s="26"/>
      <c r="T299" s="12"/>
      <c r="U299" s="26"/>
      <c r="V299" s="26"/>
      <c r="W299" s="23"/>
      <c r="X299" s="1"/>
      <c r="Y299" s="26"/>
      <c r="Z299" s="26"/>
    </row>
    <row r="300">
      <c r="A300" s="65">
        <v>496.0</v>
      </c>
      <c r="B300" s="1">
        <v>25385.0</v>
      </c>
      <c r="C300" s="66">
        <v>16.363</v>
      </c>
      <c r="D300" s="66">
        <v>13.559</v>
      </c>
      <c r="E300" s="26">
        <v>2.963</v>
      </c>
      <c r="F300" s="61">
        <v>1061.8</v>
      </c>
      <c r="G300" s="23">
        <v>1.073</v>
      </c>
      <c r="H300" s="23">
        <v>0.386</v>
      </c>
      <c r="I300" s="1">
        <v>382.8</v>
      </c>
      <c r="J300" s="1">
        <v>929.8</v>
      </c>
      <c r="K300" s="1">
        <v>33789.0</v>
      </c>
      <c r="L300" s="1">
        <v>100.0</v>
      </c>
      <c r="M300" s="26">
        <v>14.87</v>
      </c>
      <c r="N300" s="23">
        <f t="shared" si="6"/>
        <v>0.386</v>
      </c>
      <c r="O300">
        <f t="shared" si="7"/>
        <v>1</v>
      </c>
      <c r="P300" s="39"/>
      <c r="Q300" s="76"/>
      <c r="R300" s="12"/>
      <c r="S300" s="26"/>
      <c r="T300" s="12"/>
      <c r="U300" s="26"/>
      <c r="V300" s="26"/>
      <c r="W300" s="23"/>
      <c r="X300" s="1"/>
      <c r="Y300" s="26"/>
      <c r="Z300" s="26"/>
    </row>
    <row r="301">
      <c r="A301" s="65">
        <v>498.0</v>
      </c>
      <c r="B301" s="1">
        <v>24462.0</v>
      </c>
      <c r="C301" s="66">
        <v>16.277</v>
      </c>
      <c r="D301" s="66">
        <v>12.906</v>
      </c>
      <c r="E301" s="26">
        <v>2.923</v>
      </c>
      <c r="F301" s="61">
        <v>1061.8</v>
      </c>
      <c r="G301" s="23">
        <v>1.073</v>
      </c>
      <c r="H301" s="23">
        <v>0.386</v>
      </c>
      <c r="I301" s="1">
        <v>382.8</v>
      </c>
      <c r="J301" s="1">
        <v>929.8</v>
      </c>
      <c r="K301" s="1">
        <v>32560.0</v>
      </c>
      <c r="L301" s="1">
        <v>100.0</v>
      </c>
      <c r="M301" s="26">
        <v>14.87</v>
      </c>
      <c r="N301" s="23">
        <f t="shared" si="6"/>
        <v>0.386</v>
      </c>
      <c r="O301">
        <f t="shared" si="7"/>
        <v>1</v>
      </c>
      <c r="P301" s="39"/>
      <c r="Q301" s="76"/>
      <c r="R301" s="12"/>
      <c r="S301" s="26"/>
      <c r="T301" s="12"/>
      <c r="U301" s="26"/>
      <c r="V301" s="26"/>
      <c r="W301" s="23"/>
      <c r="X301" s="1"/>
      <c r="Y301" s="26"/>
      <c r="Z301" s="26"/>
    </row>
    <row r="302">
      <c r="A302" s="65">
        <v>500.0</v>
      </c>
      <c r="B302" s="1">
        <v>24462.0</v>
      </c>
      <c r="C302" s="69">
        <v>17.03</v>
      </c>
      <c r="D302" s="69">
        <v>12.914</v>
      </c>
      <c r="E302" s="26">
        <v>2.923</v>
      </c>
      <c r="F302" s="61">
        <v>1101.1</v>
      </c>
      <c r="G302" s="26">
        <v>1.08</v>
      </c>
      <c r="H302" s="23">
        <v>0.386</v>
      </c>
      <c r="I302" s="1">
        <v>382.8</v>
      </c>
      <c r="J302" s="1">
        <v>969.1</v>
      </c>
      <c r="K302" s="1">
        <v>32560.0</v>
      </c>
      <c r="L302" s="1">
        <v>100.0</v>
      </c>
      <c r="M302" s="23">
        <v>14.836</v>
      </c>
      <c r="N302" s="23">
        <f t="shared" si="6"/>
        <v>0.386</v>
      </c>
      <c r="O302">
        <f t="shared" si="7"/>
        <v>1</v>
      </c>
      <c r="P302" s="39"/>
      <c r="Q302" s="76"/>
      <c r="R302" s="12"/>
      <c r="S302" s="26"/>
      <c r="T302" s="12"/>
      <c r="U302" s="26"/>
      <c r="V302" s="26"/>
      <c r="W302" s="23"/>
      <c r="X302" s="1"/>
      <c r="Y302" s="26"/>
      <c r="Z302" s="26"/>
    </row>
    <row r="303">
      <c r="A303" s="65">
        <v>502.0</v>
      </c>
      <c r="B303" s="1">
        <v>24462.0</v>
      </c>
      <c r="C303" s="66">
        <v>16.691</v>
      </c>
      <c r="D303" s="69">
        <v>12.684</v>
      </c>
      <c r="E303" s="26">
        <v>3.343</v>
      </c>
      <c r="F303" s="61">
        <v>1101.1</v>
      </c>
      <c r="G303" s="26">
        <v>1.08</v>
      </c>
      <c r="H303" s="23">
        <v>0.376</v>
      </c>
      <c r="I303" s="1">
        <v>382.8</v>
      </c>
      <c r="J303" s="1">
        <v>969.1</v>
      </c>
      <c r="K303" s="1">
        <v>32560.0</v>
      </c>
      <c r="L303" s="1">
        <v>100.0</v>
      </c>
      <c r="M303" s="23">
        <v>14.836</v>
      </c>
      <c r="N303" s="23">
        <f t="shared" si="6"/>
        <v>0.376</v>
      </c>
      <c r="O303">
        <f t="shared" si="7"/>
        <v>1</v>
      </c>
      <c r="P303" s="39"/>
      <c r="Q303" s="76"/>
      <c r="R303" s="12"/>
      <c r="S303" s="26"/>
      <c r="T303" s="12"/>
      <c r="U303" s="26"/>
      <c r="V303" s="26"/>
      <c r="W303" s="23"/>
      <c r="X303" s="1"/>
      <c r="Y303" s="26"/>
      <c r="Z303" s="26"/>
    </row>
    <row r="304">
      <c r="A304" s="65">
        <v>504.0</v>
      </c>
      <c r="B304" s="1">
        <v>24462.0</v>
      </c>
      <c r="C304" s="69">
        <v>16.15</v>
      </c>
      <c r="D304" s="69">
        <v>13.452</v>
      </c>
      <c r="E304" s="26">
        <v>3.13</v>
      </c>
      <c r="F304" s="61">
        <v>1101.1</v>
      </c>
      <c r="G304" s="26">
        <v>1.08</v>
      </c>
      <c r="H304" s="23">
        <v>0.376</v>
      </c>
      <c r="I304" s="1">
        <v>382.8</v>
      </c>
      <c r="J304" s="1">
        <v>969.1</v>
      </c>
      <c r="K304" s="1">
        <v>32560.0</v>
      </c>
      <c r="L304" s="1">
        <v>100.0</v>
      </c>
      <c r="M304" s="23">
        <v>14.741</v>
      </c>
      <c r="N304" s="23">
        <f t="shared" si="6"/>
        <v>0.376</v>
      </c>
      <c r="O304">
        <f t="shared" si="7"/>
        <v>1</v>
      </c>
      <c r="P304" s="39"/>
      <c r="Q304" s="76"/>
      <c r="R304" s="12"/>
      <c r="S304" s="26"/>
      <c r="T304" s="12"/>
      <c r="U304" s="26"/>
      <c r="V304" s="26"/>
      <c r="W304" s="23"/>
      <c r="X304" s="1"/>
      <c r="Y304" s="26"/>
      <c r="Z304" s="26"/>
    </row>
    <row r="305">
      <c r="A305" s="65" t="s">
        <v>505</v>
      </c>
      <c r="B305" s="1"/>
      <c r="C305" s="65"/>
      <c r="D305" s="69"/>
      <c r="E305" s="12"/>
      <c r="F305" s="1"/>
      <c r="G305" s="1"/>
      <c r="H305" s="1"/>
      <c r="I305" s="23"/>
      <c r="J305" s="12"/>
      <c r="K305" s="1"/>
      <c r="N305" s="23" t="str">
        <f t="shared" si="6"/>
        <v/>
      </c>
      <c r="O305" t="str">
        <f t="shared" si="7"/>
        <v/>
      </c>
      <c r="P305" s="39"/>
      <c r="Q305" s="76"/>
      <c r="R305" s="12"/>
      <c r="S305" s="26"/>
      <c r="T305" s="12"/>
      <c r="U305" s="26"/>
      <c r="V305" s="26"/>
      <c r="W305" s="23"/>
      <c r="X305" s="1"/>
      <c r="Y305" s="26"/>
      <c r="Z305" s="26"/>
    </row>
    <row r="306">
      <c r="A306" s="65">
        <v>507.0</v>
      </c>
      <c r="B306" s="1">
        <v>18290.0</v>
      </c>
      <c r="C306" s="66">
        <v>15.144</v>
      </c>
      <c r="D306" s="66">
        <v>14.004</v>
      </c>
      <c r="E306" s="26">
        <v>2.91</v>
      </c>
      <c r="F306" s="61">
        <v>1101.1</v>
      </c>
      <c r="G306" s="26">
        <v>1.08</v>
      </c>
      <c r="H306" s="23">
        <v>0.376</v>
      </c>
      <c r="I306" s="1">
        <v>382.8</v>
      </c>
      <c r="J306" s="1">
        <v>969.1</v>
      </c>
      <c r="K306" s="1">
        <v>25188.0</v>
      </c>
      <c r="L306" s="1">
        <v>100.0</v>
      </c>
      <c r="M306" s="23">
        <v>14.741</v>
      </c>
      <c r="N306" s="23">
        <f t="shared" si="6"/>
        <v>0.376</v>
      </c>
      <c r="O306">
        <f t="shared" si="7"/>
        <v>1</v>
      </c>
      <c r="P306" s="39"/>
      <c r="Q306" s="76"/>
      <c r="R306" s="12"/>
      <c r="S306" s="26"/>
      <c r="T306" s="12"/>
      <c r="U306" s="26"/>
      <c r="V306" s="26"/>
      <c r="W306" s="23"/>
      <c r="X306" s="1"/>
      <c r="Y306" s="26"/>
      <c r="Z306" s="26"/>
    </row>
    <row r="307">
      <c r="A307" s="65">
        <v>509.0</v>
      </c>
      <c r="B307" s="1">
        <v>18924.0</v>
      </c>
      <c r="C307" s="66">
        <v>14.647</v>
      </c>
      <c r="D307" s="66">
        <v>13.22</v>
      </c>
      <c r="E307" s="26">
        <v>2.91</v>
      </c>
      <c r="F307" s="61">
        <v>1101.1</v>
      </c>
      <c r="G307" s="26">
        <v>1.08</v>
      </c>
      <c r="H307" s="23">
        <v>0.376</v>
      </c>
      <c r="I307" s="1">
        <v>382.8</v>
      </c>
      <c r="J307" s="1">
        <v>969.1</v>
      </c>
      <c r="K307" s="1">
        <v>25188.0</v>
      </c>
      <c r="L307" s="1">
        <v>100.0</v>
      </c>
      <c r="M307" s="23">
        <v>14.734</v>
      </c>
      <c r="N307" s="23">
        <f t="shared" si="6"/>
        <v>0.376</v>
      </c>
      <c r="O307">
        <f t="shared" si="7"/>
        <v>1</v>
      </c>
      <c r="P307" s="65"/>
      <c r="Q307" s="69"/>
      <c r="R307" s="12"/>
      <c r="S307" s="26"/>
      <c r="T307" s="12"/>
      <c r="U307" s="26"/>
      <c r="V307" s="26"/>
      <c r="W307" s="23"/>
      <c r="X307" s="1"/>
      <c r="Y307" s="26"/>
      <c r="Z307" s="26"/>
    </row>
    <row r="308">
      <c r="A308" s="65">
        <v>511.0</v>
      </c>
      <c r="B308" s="1">
        <v>18924.0</v>
      </c>
      <c r="C308" s="66">
        <v>14.342</v>
      </c>
      <c r="D308" s="66">
        <v>12.911</v>
      </c>
      <c r="E308" s="26">
        <v>2.91</v>
      </c>
      <c r="F308" s="61">
        <v>1101.1</v>
      </c>
      <c r="G308" s="23">
        <v>1.063</v>
      </c>
      <c r="H308" s="23">
        <v>0.376</v>
      </c>
      <c r="I308" s="1">
        <v>382.8</v>
      </c>
      <c r="J308" s="1">
        <v>887.1</v>
      </c>
      <c r="K308" s="1">
        <v>25188.0</v>
      </c>
      <c r="L308" s="1">
        <v>100.0</v>
      </c>
      <c r="M308" s="23">
        <v>14.734</v>
      </c>
      <c r="N308" s="23">
        <f t="shared" si="6"/>
        <v>0.376</v>
      </c>
      <c r="O308">
        <f t="shared" si="7"/>
        <v>1</v>
      </c>
      <c r="P308" s="1"/>
      <c r="Q308" s="26"/>
      <c r="R308" s="12"/>
      <c r="S308" s="26"/>
      <c r="T308" s="12"/>
      <c r="U308" s="26"/>
      <c r="V308" s="26"/>
      <c r="W308" s="23"/>
      <c r="X308" s="1"/>
      <c r="Y308" s="26"/>
      <c r="Z308" s="26"/>
    </row>
    <row r="309">
      <c r="A309" s="65">
        <v>513.0</v>
      </c>
      <c r="B309" s="1">
        <v>18924.0</v>
      </c>
      <c r="C309" s="66">
        <v>14.715</v>
      </c>
      <c r="D309" s="66">
        <v>13.276</v>
      </c>
      <c r="E309" s="26">
        <v>3.539</v>
      </c>
      <c r="F309" s="61">
        <v>1101.1</v>
      </c>
      <c r="G309" s="23">
        <v>1.063</v>
      </c>
      <c r="H309" s="23">
        <v>0.386</v>
      </c>
      <c r="I309" s="1">
        <v>382.8</v>
      </c>
      <c r="J309" s="1">
        <v>887.1</v>
      </c>
      <c r="K309" s="1">
        <v>25188.0</v>
      </c>
      <c r="L309" s="1">
        <v>100.0</v>
      </c>
      <c r="M309" s="23">
        <v>14.748</v>
      </c>
      <c r="N309" s="23">
        <f t="shared" si="6"/>
        <v>0.386</v>
      </c>
      <c r="O309">
        <f t="shared" si="7"/>
        <v>1</v>
      </c>
      <c r="P309" s="1"/>
      <c r="Q309" s="26"/>
      <c r="R309" s="12"/>
      <c r="S309" s="26"/>
      <c r="T309" s="12"/>
      <c r="U309" s="26"/>
      <c r="V309" s="26"/>
      <c r="W309" s="23"/>
      <c r="X309" s="1"/>
      <c r="Y309" s="26"/>
      <c r="Z309" s="26"/>
    </row>
    <row r="310">
      <c r="A310" s="65">
        <v>515.0</v>
      </c>
      <c r="B310" s="1">
        <v>19847.0</v>
      </c>
      <c r="C310" s="66">
        <v>14.805</v>
      </c>
      <c r="D310" s="66">
        <v>12.972</v>
      </c>
      <c r="E310" s="26">
        <v>3.623</v>
      </c>
      <c r="F310" s="61">
        <v>1101.1</v>
      </c>
      <c r="G310" s="23">
        <v>1.063</v>
      </c>
      <c r="H310" s="23">
        <v>0.386</v>
      </c>
      <c r="I310" s="1">
        <v>382.8</v>
      </c>
      <c r="J310" s="1">
        <v>887.1</v>
      </c>
      <c r="K310" s="1">
        <v>26417.0</v>
      </c>
      <c r="L310" s="1">
        <v>100.0</v>
      </c>
      <c r="M310" s="23">
        <v>14.748</v>
      </c>
      <c r="N310" s="23">
        <f t="shared" si="6"/>
        <v>0.386</v>
      </c>
      <c r="O310">
        <f t="shared" si="7"/>
        <v>1</v>
      </c>
      <c r="P310" s="1"/>
      <c r="Q310" s="26"/>
      <c r="R310" s="12"/>
      <c r="S310" s="26"/>
      <c r="T310" s="12"/>
      <c r="U310" s="26"/>
      <c r="V310" s="26"/>
      <c r="W310" s="23"/>
      <c r="X310" s="1"/>
      <c r="Y310" s="26"/>
      <c r="Z310" s="26"/>
    </row>
    <row r="311">
      <c r="A311" s="65">
        <v>517.0</v>
      </c>
      <c r="B311" s="1">
        <v>19847.0</v>
      </c>
      <c r="C311" s="66">
        <v>15.156</v>
      </c>
      <c r="D311" s="66">
        <v>13.38</v>
      </c>
      <c r="E311" s="26">
        <v>3.623</v>
      </c>
      <c r="F311" s="61">
        <v>1086.1</v>
      </c>
      <c r="G311" s="23">
        <v>1.063</v>
      </c>
      <c r="H311" s="23">
        <v>0.386</v>
      </c>
      <c r="I311" s="1">
        <v>382.8</v>
      </c>
      <c r="J311" s="1">
        <v>887.1</v>
      </c>
      <c r="K311" s="1">
        <v>26417.0</v>
      </c>
      <c r="L311" s="1">
        <v>100.0</v>
      </c>
      <c r="M311" s="23">
        <v>14.761</v>
      </c>
      <c r="N311" s="23">
        <f t="shared" si="6"/>
        <v>0.386</v>
      </c>
      <c r="O311">
        <f t="shared" si="7"/>
        <v>1</v>
      </c>
      <c r="P311" s="1"/>
      <c r="Q311" s="26"/>
      <c r="R311" s="12"/>
      <c r="S311" s="26"/>
      <c r="T311" s="12"/>
      <c r="U311" s="26"/>
      <c r="V311" s="26"/>
      <c r="W311" s="23"/>
      <c r="X311" s="1"/>
      <c r="Y311" s="26"/>
      <c r="Z311" s="26"/>
    </row>
    <row r="312">
      <c r="A312" s="39">
        <v>519.0</v>
      </c>
      <c r="B312" s="1">
        <v>19847.0</v>
      </c>
      <c r="C312" s="67">
        <v>15.167</v>
      </c>
      <c r="D312" s="67">
        <v>12.795</v>
      </c>
      <c r="E312" s="26">
        <v>3.206</v>
      </c>
      <c r="F312" s="61">
        <v>1101.1</v>
      </c>
      <c r="G312" s="23">
        <v>1.063</v>
      </c>
      <c r="H312" s="23">
        <v>0.386</v>
      </c>
      <c r="I312" s="1">
        <v>382.8</v>
      </c>
      <c r="J312" s="1">
        <v>887.1</v>
      </c>
      <c r="K312" s="1">
        <v>26417.0</v>
      </c>
      <c r="L312" s="1">
        <v>100.0</v>
      </c>
      <c r="M312" s="23">
        <v>14.761</v>
      </c>
      <c r="N312" s="23">
        <f t="shared" si="6"/>
        <v>0.386</v>
      </c>
      <c r="O312">
        <f t="shared" si="7"/>
        <v>1</v>
      </c>
      <c r="P312" s="1"/>
      <c r="Q312" s="26"/>
      <c r="R312" s="12"/>
      <c r="S312" s="26"/>
      <c r="T312" s="12"/>
      <c r="U312" s="26"/>
      <c r="V312" s="26"/>
      <c r="W312" s="23"/>
      <c r="X312" s="1"/>
      <c r="Y312" s="26"/>
      <c r="Z312" s="26"/>
    </row>
    <row r="313">
      <c r="A313" s="39">
        <v>521.0</v>
      </c>
      <c r="B313" s="1">
        <v>19847.0</v>
      </c>
      <c r="C313" s="76">
        <v>15.19</v>
      </c>
      <c r="D313" s="67">
        <v>16.327</v>
      </c>
      <c r="E313" s="26">
        <v>3.246</v>
      </c>
      <c r="F313" s="61">
        <v>1101.1</v>
      </c>
      <c r="G313" s="23">
        <v>1.033</v>
      </c>
      <c r="H313" s="23">
        <v>1.386</v>
      </c>
      <c r="I313" s="1">
        <v>382.8</v>
      </c>
      <c r="J313" s="1">
        <v>887.1</v>
      </c>
      <c r="K313" s="1">
        <v>26417.0</v>
      </c>
      <c r="L313" s="1">
        <v>100.0</v>
      </c>
      <c r="M313" s="23">
        <v>14.708</v>
      </c>
      <c r="N313" s="23">
        <f t="shared" si="6"/>
        <v>1</v>
      </c>
      <c r="O313">
        <f t="shared" si="7"/>
        <v>1</v>
      </c>
      <c r="P313" s="1"/>
      <c r="Q313" s="26"/>
      <c r="R313" s="12"/>
      <c r="S313" s="26"/>
      <c r="T313" s="12"/>
      <c r="U313" s="26"/>
      <c r="V313" s="26"/>
      <c r="W313" s="23"/>
      <c r="X313" s="1"/>
      <c r="Y313" s="26"/>
      <c r="Z313" s="26"/>
    </row>
    <row r="314">
      <c r="A314" s="39">
        <v>523.0</v>
      </c>
      <c r="B314" s="1">
        <v>19847.0</v>
      </c>
      <c r="C314" s="67">
        <v>15.235</v>
      </c>
      <c r="D314" s="67">
        <v>16.488</v>
      </c>
      <c r="E314" s="26">
        <v>3.704</v>
      </c>
      <c r="F314" s="61">
        <v>1101.1</v>
      </c>
      <c r="G314" s="23">
        <v>1.033</v>
      </c>
      <c r="H314" s="23">
        <v>1.386</v>
      </c>
      <c r="I314" s="1">
        <v>382.8</v>
      </c>
      <c r="J314" s="1">
        <v>887.1</v>
      </c>
      <c r="K314" s="1">
        <v>26417.0</v>
      </c>
      <c r="L314" s="1">
        <v>100.0</v>
      </c>
      <c r="M314" s="23">
        <v>14.708</v>
      </c>
      <c r="N314" s="23">
        <f t="shared" si="6"/>
        <v>1</v>
      </c>
      <c r="O314">
        <f t="shared" si="7"/>
        <v>1</v>
      </c>
      <c r="P314" s="1"/>
      <c r="Q314" s="26"/>
      <c r="R314" s="12"/>
      <c r="S314" s="26"/>
      <c r="T314" s="12"/>
      <c r="U314" s="26"/>
      <c r="V314" s="26"/>
      <c r="W314" s="23"/>
      <c r="X314" s="1"/>
      <c r="Y314" s="26"/>
      <c r="Z314" s="26"/>
    </row>
    <row r="315">
      <c r="A315" s="65">
        <v>525.0</v>
      </c>
      <c r="B315" s="1">
        <v>19847.0</v>
      </c>
      <c r="C315" s="66">
        <v>14.885</v>
      </c>
      <c r="D315" s="66">
        <v>16.142</v>
      </c>
      <c r="E315" s="26">
        <v>3.704</v>
      </c>
      <c r="F315" s="61">
        <v>1101.1</v>
      </c>
      <c r="G315" s="26">
        <v>1.05</v>
      </c>
      <c r="H315" s="23">
        <v>1.386</v>
      </c>
      <c r="I315" s="1">
        <v>382.8</v>
      </c>
      <c r="J315" s="1">
        <v>969.1</v>
      </c>
      <c r="K315" s="1">
        <v>26417.0</v>
      </c>
      <c r="L315" s="1">
        <v>99.0</v>
      </c>
      <c r="M315" s="23">
        <v>14.758</v>
      </c>
      <c r="N315" s="23">
        <f t="shared" si="6"/>
        <v>1</v>
      </c>
      <c r="O315">
        <f t="shared" si="7"/>
        <v>1</v>
      </c>
      <c r="P315" s="1"/>
      <c r="Q315" s="26"/>
      <c r="R315" s="12"/>
      <c r="S315" s="26"/>
      <c r="T315" s="12"/>
      <c r="U315" s="26"/>
      <c r="V315" s="26"/>
      <c r="W315" s="23"/>
      <c r="X315" s="1"/>
      <c r="Y315" s="26"/>
      <c r="Z315" s="26"/>
    </row>
    <row r="316">
      <c r="A316" s="65">
        <v>527.0</v>
      </c>
      <c r="B316" s="1">
        <v>19847.0</v>
      </c>
      <c r="C316" s="66">
        <v>16.003</v>
      </c>
      <c r="D316" s="66">
        <v>17.538</v>
      </c>
      <c r="E316" s="26">
        <v>3.704</v>
      </c>
      <c r="F316" s="61">
        <v>1101.1</v>
      </c>
      <c r="G316" s="26">
        <v>1.05</v>
      </c>
      <c r="H316" s="23">
        <v>0.386</v>
      </c>
      <c r="I316" s="1">
        <v>382.8</v>
      </c>
      <c r="J316" s="1">
        <v>969.1</v>
      </c>
      <c r="K316" s="1">
        <v>26417.0</v>
      </c>
      <c r="L316" s="1">
        <v>100.0</v>
      </c>
      <c r="M316" s="23">
        <v>14.758</v>
      </c>
      <c r="N316" s="23">
        <f t="shared" si="6"/>
        <v>0.386</v>
      </c>
      <c r="O316">
        <f t="shared" si="7"/>
        <v>1</v>
      </c>
      <c r="P316" s="1"/>
      <c r="Q316" s="26"/>
      <c r="R316" s="12"/>
      <c r="S316" s="26"/>
      <c r="T316" s="12"/>
      <c r="U316" s="26"/>
      <c r="V316" s="26"/>
      <c r="W316" s="23"/>
      <c r="X316" s="1"/>
      <c r="Y316" s="26"/>
      <c r="Z316" s="26"/>
    </row>
    <row r="317">
      <c r="A317" s="65">
        <v>529.0</v>
      </c>
      <c r="B317" s="1">
        <v>21693.0</v>
      </c>
      <c r="C317" s="69">
        <v>16.15</v>
      </c>
      <c r="D317" s="66">
        <v>15.953</v>
      </c>
      <c r="E317" s="26">
        <v>3.78</v>
      </c>
      <c r="F317" s="61">
        <v>1101.1</v>
      </c>
      <c r="G317" s="26">
        <v>1.05</v>
      </c>
      <c r="H317" s="23">
        <v>0.386</v>
      </c>
      <c r="I317" s="1">
        <v>382.8</v>
      </c>
      <c r="J317" s="1">
        <v>969.1</v>
      </c>
      <c r="K317" s="1">
        <v>28874.0</v>
      </c>
      <c r="L317" s="1">
        <v>100.0</v>
      </c>
      <c r="M317" s="23">
        <v>14.733</v>
      </c>
      <c r="N317" s="23">
        <f t="shared" si="6"/>
        <v>0.386</v>
      </c>
      <c r="O317">
        <f t="shared" si="7"/>
        <v>1</v>
      </c>
    </row>
    <row r="318">
      <c r="A318" s="65">
        <v>531.0</v>
      </c>
      <c r="B318" s="1">
        <v>21693.0</v>
      </c>
      <c r="C318" s="69">
        <v>16.15</v>
      </c>
      <c r="D318" s="66">
        <v>13.16</v>
      </c>
      <c r="E318" s="26">
        <v>3.78</v>
      </c>
      <c r="F318" s="61">
        <v>1086.1</v>
      </c>
      <c r="G318" s="26">
        <v>1.05</v>
      </c>
      <c r="H318" s="23">
        <v>0.386</v>
      </c>
      <c r="I318" s="1">
        <v>382.8</v>
      </c>
      <c r="J318" s="1">
        <v>969.1</v>
      </c>
      <c r="K318" s="1">
        <v>28874.0</v>
      </c>
      <c r="L318" s="1">
        <v>100.0</v>
      </c>
      <c r="M318" s="23">
        <v>14.733</v>
      </c>
      <c r="N318" s="23">
        <f t="shared" si="6"/>
        <v>0.386</v>
      </c>
      <c r="O318">
        <f t="shared" si="7"/>
        <v>1</v>
      </c>
    </row>
    <row r="319">
      <c r="A319" s="65">
        <v>533.0</v>
      </c>
      <c r="B319" s="1">
        <v>21693.0</v>
      </c>
      <c r="C319" s="69">
        <v>16.15</v>
      </c>
      <c r="D319" s="66">
        <v>13.144</v>
      </c>
      <c r="E319" s="26">
        <v>3.288</v>
      </c>
      <c r="F319" s="61">
        <v>1086.1</v>
      </c>
      <c r="G319" s="26">
        <v>1.05</v>
      </c>
      <c r="H319" s="23">
        <v>0.386</v>
      </c>
      <c r="I319" s="1">
        <v>382.8</v>
      </c>
      <c r="J319" s="1">
        <v>969.1</v>
      </c>
      <c r="K319" s="1">
        <v>28874.0</v>
      </c>
      <c r="L319" s="1">
        <v>100.0</v>
      </c>
      <c r="M319" s="23">
        <v>14.733</v>
      </c>
      <c r="N319" s="23">
        <f t="shared" si="6"/>
        <v>0.386</v>
      </c>
      <c r="O319">
        <f t="shared" si="7"/>
        <v>1</v>
      </c>
    </row>
    <row r="320">
      <c r="A320" s="65">
        <v>535.0</v>
      </c>
      <c r="B320" s="1">
        <v>21693.0</v>
      </c>
      <c r="C320" s="66">
        <v>15.834</v>
      </c>
      <c r="D320" s="66">
        <v>12.917</v>
      </c>
      <c r="E320" s="26">
        <v>3.288</v>
      </c>
      <c r="F320" s="61">
        <v>1086.1</v>
      </c>
      <c r="G320" s="26">
        <v>1.08</v>
      </c>
      <c r="H320" s="23">
        <v>0.386</v>
      </c>
      <c r="I320" s="1">
        <v>382.8</v>
      </c>
      <c r="J320" s="1">
        <v>969.1</v>
      </c>
      <c r="K320" s="1">
        <v>28874.0</v>
      </c>
      <c r="L320" s="1">
        <v>100.0</v>
      </c>
      <c r="M320" s="23">
        <v>14.686</v>
      </c>
      <c r="N320" s="23">
        <f t="shared" si="6"/>
        <v>0.386</v>
      </c>
      <c r="O320">
        <f t="shared" si="7"/>
        <v>1</v>
      </c>
    </row>
    <row r="321">
      <c r="A321" s="65">
        <v>537.0</v>
      </c>
      <c r="B321" s="1">
        <v>21693.0</v>
      </c>
      <c r="C321" s="66">
        <v>15.642</v>
      </c>
      <c r="D321" s="66">
        <v>13.036</v>
      </c>
      <c r="E321" s="26">
        <v>3.288</v>
      </c>
      <c r="F321" s="61">
        <v>1086.1</v>
      </c>
      <c r="G321" s="26">
        <v>1.08</v>
      </c>
      <c r="H321" s="23">
        <v>0.386</v>
      </c>
      <c r="I321" s="1">
        <v>382.8</v>
      </c>
      <c r="J321" s="1">
        <v>969.1</v>
      </c>
      <c r="K321" s="1">
        <v>28874.0</v>
      </c>
      <c r="L321" s="1">
        <v>100.0</v>
      </c>
      <c r="M321" s="23">
        <v>14.686</v>
      </c>
      <c r="N321" s="23">
        <f t="shared" si="6"/>
        <v>0.386</v>
      </c>
      <c r="O321">
        <f t="shared" si="7"/>
        <v>1</v>
      </c>
    </row>
    <row r="322">
      <c r="A322" s="65">
        <v>539.0</v>
      </c>
      <c r="B322" s="1">
        <v>21693.0</v>
      </c>
      <c r="C322" s="66">
        <v>15.563</v>
      </c>
      <c r="D322" s="66">
        <v>12.86</v>
      </c>
      <c r="E322" s="26">
        <v>3.138</v>
      </c>
      <c r="F322" s="61">
        <v>1086.1</v>
      </c>
      <c r="G322" s="26">
        <v>1.08</v>
      </c>
      <c r="H322" s="23">
        <v>0.386</v>
      </c>
      <c r="I322" s="1">
        <v>382.8</v>
      </c>
      <c r="J322" s="1">
        <v>969.1</v>
      </c>
      <c r="K322" s="1">
        <v>28874.0</v>
      </c>
      <c r="L322" s="1">
        <v>99.0</v>
      </c>
      <c r="M322" s="23">
        <v>14.666</v>
      </c>
      <c r="N322" s="23">
        <f t="shared" si="6"/>
        <v>0.386</v>
      </c>
      <c r="O322">
        <f t="shared" si="7"/>
        <v>1</v>
      </c>
    </row>
    <row r="323">
      <c r="A323" s="65">
        <v>541.0</v>
      </c>
      <c r="B323" s="1">
        <v>21693.0</v>
      </c>
      <c r="C323" s="66">
        <v>14.975</v>
      </c>
      <c r="D323" s="66">
        <v>12.052</v>
      </c>
      <c r="E323" s="26">
        <v>3.175</v>
      </c>
      <c r="F323" s="61">
        <v>1086.1</v>
      </c>
      <c r="G323" s="26">
        <v>1.08</v>
      </c>
      <c r="H323" s="23">
        <v>0.378</v>
      </c>
      <c r="I323" s="1">
        <v>382.8</v>
      </c>
      <c r="J323" s="1">
        <v>969.1</v>
      </c>
      <c r="K323" s="1">
        <v>28874.0</v>
      </c>
      <c r="L323" s="1">
        <v>100.0</v>
      </c>
      <c r="M323" s="23">
        <v>14.666</v>
      </c>
      <c r="N323" s="23">
        <f t="shared" si="6"/>
        <v>0.378</v>
      </c>
      <c r="O323">
        <f t="shared" si="7"/>
        <v>1</v>
      </c>
    </row>
    <row r="324">
      <c r="A324" s="65">
        <v>543.0</v>
      </c>
      <c r="B324" s="1">
        <v>19847.0</v>
      </c>
      <c r="C324" s="66">
        <v>14.568</v>
      </c>
      <c r="D324" s="66">
        <v>11.975</v>
      </c>
      <c r="E324" s="26">
        <v>3.105</v>
      </c>
      <c r="F324" s="61">
        <v>1086.1</v>
      </c>
      <c r="G324" s="23">
        <v>1.063</v>
      </c>
      <c r="H324" s="23">
        <v>0.386</v>
      </c>
      <c r="I324" s="1">
        <v>382.8</v>
      </c>
      <c r="J324" s="1">
        <v>887.1</v>
      </c>
      <c r="K324" s="1">
        <v>26417.0</v>
      </c>
      <c r="L324" s="1">
        <v>100.0</v>
      </c>
      <c r="M324" s="23">
        <v>14.631</v>
      </c>
      <c r="N324" s="23">
        <f t="shared" si="6"/>
        <v>0.386</v>
      </c>
      <c r="O324">
        <f t="shared" si="7"/>
        <v>1</v>
      </c>
    </row>
    <row r="325">
      <c r="A325" s="65">
        <v>545.0</v>
      </c>
      <c r="B325" s="1">
        <v>19847.0</v>
      </c>
      <c r="C325" s="66">
        <v>13.902</v>
      </c>
      <c r="D325" s="66">
        <v>12.02</v>
      </c>
      <c r="E325" s="26">
        <v>3.105</v>
      </c>
      <c r="F325" s="61">
        <v>1061.8</v>
      </c>
      <c r="G325" s="23">
        <v>1.021</v>
      </c>
      <c r="H325" s="23">
        <v>0.386</v>
      </c>
      <c r="I325" s="1">
        <v>382.8</v>
      </c>
      <c r="J325" s="1">
        <v>847.9</v>
      </c>
      <c r="K325" s="1">
        <v>26417.0</v>
      </c>
      <c r="L325" s="1">
        <v>100.0</v>
      </c>
      <c r="M325" s="23">
        <v>14.631</v>
      </c>
      <c r="N325" s="23">
        <f t="shared" si="6"/>
        <v>0.386</v>
      </c>
      <c r="O325">
        <f t="shared" si="7"/>
        <v>1</v>
      </c>
    </row>
    <row r="326">
      <c r="A326" s="65">
        <v>547.0</v>
      </c>
      <c r="B326" s="1">
        <v>19847.0</v>
      </c>
      <c r="C326" s="66">
        <v>13.891</v>
      </c>
      <c r="D326" s="66">
        <v>12.071</v>
      </c>
      <c r="E326" s="26">
        <v>3.105</v>
      </c>
      <c r="F326" s="61">
        <v>1061.8</v>
      </c>
      <c r="G326" s="23">
        <v>1.021</v>
      </c>
      <c r="H326" s="23">
        <v>0.386</v>
      </c>
      <c r="I326" s="1">
        <v>382.8</v>
      </c>
      <c r="J326" s="1">
        <v>847.9</v>
      </c>
      <c r="K326" s="1">
        <v>26417.0</v>
      </c>
      <c r="L326" s="1">
        <v>100.0</v>
      </c>
      <c r="M326" s="23">
        <v>14.615</v>
      </c>
      <c r="N326" s="23">
        <f t="shared" si="6"/>
        <v>0.386</v>
      </c>
      <c r="O326">
        <f t="shared" si="7"/>
        <v>1</v>
      </c>
    </row>
    <row r="327">
      <c r="A327" s="65">
        <v>549.0</v>
      </c>
      <c r="B327" s="1">
        <v>19847.0</v>
      </c>
      <c r="C327" s="69">
        <v>13.88</v>
      </c>
      <c r="D327" s="66">
        <v>11.678</v>
      </c>
      <c r="E327" s="26">
        <v>2.985</v>
      </c>
      <c r="F327" s="61">
        <v>1061.8</v>
      </c>
      <c r="G327" s="23">
        <v>1.021</v>
      </c>
      <c r="H327" s="23">
        <v>0.386</v>
      </c>
      <c r="I327" s="1">
        <v>382.8</v>
      </c>
      <c r="J327" s="1">
        <v>847.9</v>
      </c>
      <c r="K327" s="1">
        <v>26417.0</v>
      </c>
      <c r="L327" s="1">
        <v>100.0</v>
      </c>
      <c r="M327" s="23">
        <v>14.615</v>
      </c>
      <c r="N327" s="23">
        <f t="shared" si="6"/>
        <v>0.386</v>
      </c>
      <c r="O327">
        <f t="shared" si="7"/>
        <v>1</v>
      </c>
    </row>
    <row r="328">
      <c r="A328" s="65">
        <v>551.0</v>
      </c>
      <c r="B328" s="1">
        <v>19847.0</v>
      </c>
      <c r="C328" s="66">
        <v>13.859</v>
      </c>
      <c r="D328" s="66">
        <v>11.438</v>
      </c>
      <c r="E328" s="26">
        <v>2.665</v>
      </c>
      <c r="F328" s="61">
        <v>1061.8</v>
      </c>
      <c r="G328" s="23">
        <v>0.771</v>
      </c>
      <c r="H328" s="23">
        <v>0.386</v>
      </c>
      <c r="I328" s="1">
        <v>382.8</v>
      </c>
      <c r="J328" s="1">
        <v>847.9</v>
      </c>
      <c r="K328" s="1">
        <v>26417.0</v>
      </c>
      <c r="L328" s="1">
        <v>100.0</v>
      </c>
      <c r="M328" s="23">
        <v>14.614</v>
      </c>
      <c r="N328" s="23">
        <f t="shared" si="6"/>
        <v>0.386</v>
      </c>
      <c r="O328" s="64">
        <f t="shared" si="7"/>
        <v>0.771</v>
      </c>
    </row>
    <row r="329">
      <c r="A329" s="39">
        <v>553.0</v>
      </c>
      <c r="B329" s="1">
        <v>19182.0</v>
      </c>
      <c r="C329" s="67">
        <v>14.064</v>
      </c>
      <c r="D329" s="67">
        <v>11.421</v>
      </c>
      <c r="E329" s="26">
        <v>3.235</v>
      </c>
      <c r="F329" s="61">
        <v>1061.8</v>
      </c>
      <c r="G329" s="23">
        <v>0.765</v>
      </c>
      <c r="H329" s="23">
        <v>0.378</v>
      </c>
      <c r="I329" s="1">
        <v>382.8</v>
      </c>
      <c r="J329" s="1">
        <v>828.1</v>
      </c>
      <c r="K329" s="1">
        <v>26417.0</v>
      </c>
      <c r="L329" s="1">
        <v>100.0</v>
      </c>
      <c r="M329" s="23">
        <v>14.614</v>
      </c>
      <c r="N329" s="23">
        <f t="shared" si="6"/>
        <v>0.378</v>
      </c>
      <c r="O329" s="64">
        <f t="shared" si="7"/>
        <v>0.765</v>
      </c>
    </row>
    <row r="330">
      <c r="A330" s="65">
        <v>555.0</v>
      </c>
      <c r="B330" s="1">
        <v>19182.0</v>
      </c>
      <c r="C330" s="69">
        <v>14.01</v>
      </c>
      <c r="D330" s="66">
        <v>11.756</v>
      </c>
      <c r="E330" s="26">
        <v>3.235</v>
      </c>
      <c r="F330" s="61">
        <v>1061.8</v>
      </c>
      <c r="G330" s="23">
        <v>1.021</v>
      </c>
      <c r="H330" s="23">
        <v>0.368</v>
      </c>
      <c r="I330" s="1">
        <v>382.8</v>
      </c>
      <c r="J330" s="1">
        <v>847.9</v>
      </c>
      <c r="K330" s="1">
        <v>26417.0</v>
      </c>
      <c r="L330" s="1">
        <v>100.0</v>
      </c>
      <c r="M330" s="23">
        <v>14.663</v>
      </c>
      <c r="N330" s="23">
        <f t="shared" si="6"/>
        <v>0.368</v>
      </c>
      <c r="O330">
        <f t="shared" si="7"/>
        <v>1</v>
      </c>
    </row>
    <row r="331">
      <c r="A331" s="65" t="s">
        <v>500</v>
      </c>
      <c r="B331" s="1"/>
      <c r="C331" s="65"/>
      <c r="D331" s="66"/>
      <c r="E331" s="12"/>
      <c r="F331" s="1"/>
      <c r="G331" s="1"/>
      <c r="H331" s="1"/>
      <c r="I331" s="23"/>
      <c r="J331" s="12"/>
      <c r="K331" s="1"/>
      <c r="N331" s="23" t="str">
        <f t="shared" si="6"/>
        <v/>
      </c>
      <c r="O331" t="str">
        <f t="shared" si="7"/>
        <v/>
      </c>
    </row>
    <row r="332">
      <c r="A332" s="39">
        <v>558.0</v>
      </c>
      <c r="B332" s="1">
        <v>19847.0</v>
      </c>
      <c r="C332" s="67">
        <v>14.064</v>
      </c>
      <c r="D332" s="67">
        <v>11.758</v>
      </c>
      <c r="E332" s="26">
        <v>3.485</v>
      </c>
      <c r="F332" s="61">
        <v>1046.8</v>
      </c>
      <c r="G332" s="23">
        <v>1.043</v>
      </c>
      <c r="H332" s="23">
        <v>0.368</v>
      </c>
      <c r="I332" s="1">
        <v>382.8</v>
      </c>
      <c r="J332" s="1">
        <v>929.8</v>
      </c>
      <c r="K332" s="1">
        <v>26417.0</v>
      </c>
      <c r="L332" s="1">
        <v>100.0</v>
      </c>
      <c r="M332" s="23">
        <v>14.663</v>
      </c>
      <c r="N332" s="23">
        <f t="shared" si="6"/>
        <v>0.368</v>
      </c>
      <c r="O332">
        <f t="shared" si="7"/>
        <v>1</v>
      </c>
    </row>
    <row r="333">
      <c r="A333" s="65">
        <v>560.0</v>
      </c>
      <c r="B333" s="1">
        <v>19847.0</v>
      </c>
      <c r="C333" s="69">
        <v>13.74</v>
      </c>
      <c r="D333" s="66">
        <v>11.486</v>
      </c>
      <c r="E333" s="26">
        <v>3.485</v>
      </c>
      <c r="F333" s="61">
        <v>1046.8</v>
      </c>
      <c r="G333" s="23">
        <v>1.043</v>
      </c>
      <c r="H333" s="23">
        <v>0.368</v>
      </c>
      <c r="I333" s="1">
        <v>382.8</v>
      </c>
      <c r="J333" s="1">
        <v>929.8</v>
      </c>
      <c r="K333" s="1">
        <v>26417.0</v>
      </c>
      <c r="L333" s="1">
        <v>100.0</v>
      </c>
      <c r="M333" s="23">
        <v>14.654</v>
      </c>
      <c r="N333" s="23">
        <f t="shared" si="6"/>
        <v>0.368</v>
      </c>
      <c r="O333">
        <f t="shared" si="7"/>
        <v>1</v>
      </c>
    </row>
    <row r="334">
      <c r="A334" s="39">
        <v>562.0</v>
      </c>
      <c r="B334" s="1">
        <v>21693.0</v>
      </c>
      <c r="C334" s="67">
        <v>16.241</v>
      </c>
      <c r="D334" s="67">
        <v>12.551</v>
      </c>
      <c r="E334" s="26">
        <v>3.592</v>
      </c>
      <c r="F334" s="61">
        <v>1086.1</v>
      </c>
      <c r="G334" s="26">
        <v>1.08</v>
      </c>
      <c r="H334" s="23">
        <v>0.376</v>
      </c>
      <c r="I334" s="1">
        <v>382.8</v>
      </c>
      <c r="J334" s="1">
        <v>969.1</v>
      </c>
      <c r="K334" s="1">
        <v>28874.0</v>
      </c>
      <c r="L334" s="1">
        <v>100.0</v>
      </c>
      <c r="M334" s="23">
        <v>14.654</v>
      </c>
      <c r="N334" s="23">
        <f t="shared" si="6"/>
        <v>0.376</v>
      </c>
      <c r="O334">
        <f t="shared" si="7"/>
        <v>1</v>
      </c>
    </row>
    <row r="335">
      <c r="A335" s="39">
        <v>564.0</v>
      </c>
      <c r="B335" s="1">
        <v>24185.0</v>
      </c>
      <c r="C335" s="67">
        <v>16.354</v>
      </c>
      <c r="D335" s="67">
        <v>12.506</v>
      </c>
      <c r="E335" s="26">
        <v>3.702</v>
      </c>
      <c r="F335" s="61">
        <v>1086.1</v>
      </c>
      <c r="G335" s="26">
        <v>1.08</v>
      </c>
      <c r="H335" s="23">
        <v>0.376</v>
      </c>
      <c r="I335" s="1">
        <v>382.8</v>
      </c>
      <c r="J335" s="1">
        <v>969.1</v>
      </c>
      <c r="K335" s="1">
        <v>32560.0</v>
      </c>
      <c r="L335" s="1">
        <v>100.0</v>
      </c>
      <c r="M335" s="23">
        <v>14.654</v>
      </c>
      <c r="N335" s="23">
        <f t="shared" si="6"/>
        <v>0.376</v>
      </c>
      <c r="O335">
        <f t="shared" si="7"/>
        <v>1</v>
      </c>
    </row>
    <row r="336">
      <c r="A336" s="39">
        <v>566.0</v>
      </c>
      <c r="B336" s="1">
        <v>24462.0</v>
      </c>
      <c r="C336" s="67">
        <v>16.376</v>
      </c>
      <c r="D336" s="67">
        <v>12.332</v>
      </c>
      <c r="E336" s="26">
        <v>3.739</v>
      </c>
      <c r="F336" s="61">
        <v>1086.1</v>
      </c>
      <c r="G336" s="26">
        <v>1.08</v>
      </c>
      <c r="H336" s="23">
        <v>0.376</v>
      </c>
      <c r="I336" s="1">
        <v>382.8</v>
      </c>
      <c r="J336" s="1">
        <v>969.1</v>
      </c>
      <c r="K336" s="1">
        <v>32560.0</v>
      </c>
      <c r="L336" s="1">
        <v>100.0</v>
      </c>
      <c r="M336" s="23">
        <v>14.794</v>
      </c>
      <c r="N336" s="23">
        <f t="shared" si="6"/>
        <v>0.376</v>
      </c>
      <c r="O336">
        <f t="shared" si="7"/>
        <v>1</v>
      </c>
    </row>
    <row r="337">
      <c r="A337" s="39">
        <v>568.0</v>
      </c>
      <c r="B337" s="1">
        <v>24462.0</v>
      </c>
      <c r="C337" s="67">
        <v>16.376</v>
      </c>
      <c r="D337" s="67">
        <v>12.383</v>
      </c>
      <c r="E337" s="26">
        <v>3.739</v>
      </c>
      <c r="F337" s="61">
        <v>1086.1</v>
      </c>
      <c r="G337" s="26">
        <v>1.08</v>
      </c>
      <c r="H337" s="23">
        <v>0.376</v>
      </c>
      <c r="I337" s="1">
        <v>382.8</v>
      </c>
      <c r="J337" s="1">
        <v>969.1</v>
      </c>
      <c r="K337" s="1">
        <v>32560.0</v>
      </c>
      <c r="L337" s="1">
        <v>100.0</v>
      </c>
      <c r="M337" s="23">
        <v>14.794</v>
      </c>
      <c r="N337" s="23">
        <f t="shared" si="6"/>
        <v>0.376</v>
      </c>
      <c r="O337">
        <f t="shared" si="7"/>
        <v>1</v>
      </c>
    </row>
    <row r="338">
      <c r="A338" s="39">
        <v>570.0</v>
      </c>
      <c r="B338" s="1">
        <v>24462.0</v>
      </c>
      <c r="C338" s="67">
        <v>16.749</v>
      </c>
      <c r="D338" s="67">
        <v>13.67</v>
      </c>
      <c r="E338" s="26">
        <v>3.776</v>
      </c>
      <c r="F338" s="61">
        <v>1086.1</v>
      </c>
      <c r="G338" s="26">
        <v>1.08</v>
      </c>
      <c r="H338" s="23">
        <v>0.376</v>
      </c>
      <c r="I338" s="1">
        <v>382.8</v>
      </c>
      <c r="J338" s="1">
        <v>969.1</v>
      </c>
      <c r="K338" s="1">
        <v>32560.0</v>
      </c>
      <c r="L338" s="1">
        <v>100.0</v>
      </c>
      <c r="M338" s="23">
        <v>14.779</v>
      </c>
      <c r="N338" s="23">
        <f t="shared" si="6"/>
        <v>0.376</v>
      </c>
      <c r="O338">
        <f t="shared" si="7"/>
        <v>1</v>
      </c>
    </row>
    <row r="339">
      <c r="A339" s="39">
        <v>572.0</v>
      </c>
      <c r="B339" s="1">
        <v>24462.0</v>
      </c>
      <c r="C339" s="67">
        <v>17.111</v>
      </c>
      <c r="D339" s="67">
        <v>13.976</v>
      </c>
      <c r="E339" s="26">
        <v>3.676</v>
      </c>
      <c r="F339" s="61">
        <v>1086.1</v>
      </c>
      <c r="G339" s="26">
        <v>1.08</v>
      </c>
      <c r="H339" s="23">
        <v>0.368</v>
      </c>
      <c r="I339" s="1">
        <v>382.8</v>
      </c>
      <c r="J339" s="1">
        <v>969.1</v>
      </c>
      <c r="K339" s="1">
        <v>32560.0</v>
      </c>
      <c r="L339" s="1">
        <v>100.0</v>
      </c>
      <c r="M339" s="23">
        <v>14.779</v>
      </c>
      <c r="N339" s="23">
        <f t="shared" si="6"/>
        <v>0.368</v>
      </c>
      <c r="O339">
        <f t="shared" si="7"/>
        <v>1</v>
      </c>
    </row>
    <row r="340">
      <c r="A340" s="39">
        <v>574.0</v>
      </c>
      <c r="B340" s="1">
        <v>24462.0</v>
      </c>
      <c r="C340" s="67">
        <v>17.122</v>
      </c>
      <c r="D340" s="67">
        <v>14.1</v>
      </c>
      <c r="E340" s="26">
        <v>3.676</v>
      </c>
      <c r="F340" s="61">
        <v>1086.1</v>
      </c>
      <c r="G340" s="26">
        <v>1.08</v>
      </c>
      <c r="H340" s="23">
        <v>0.368</v>
      </c>
      <c r="I340" s="1">
        <v>382.8</v>
      </c>
      <c r="J340" s="1">
        <v>969.1</v>
      </c>
      <c r="K340" s="1">
        <v>32560.0</v>
      </c>
      <c r="L340" s="1">
        <v>100.0</v>
      </c>
      <c r="M340" s="23">
        <v>14.882</v>
      </c>
      <c r="N340" s="23">
        <f t="shared" si="6"/>
        <v>0.368</v>
      </c>
      <c r="O340">
        <f t="shared" si="7"/>
        <v>1</v>
      </c>
    </row>
    <row r="341">
      <c r="A341" s="39">
        <v>576.0</v>
      </c>
      <c r="B341" s="1">
        <v>24462.0</v>
      </c>
      <c r="C341" s="67">
        <v>16.139</v>
      </c>
      <c r="D341" s="67">
        <v>12.924</v>
      </c>
      <c r="E341" s="26">
        <v>3.713</v>
      </c>
      <c r="F341" s="61">
        <v>1101.1</v>
      </c>
      <c r="G341" s="23">
        <v>0.813</v>
      </c>
      <c r="H341" s="23">
        <v>0.376</v>
      </c>
      <c r="I341" s="1">
        <v>382.8</v>
      </c>
      <c r="J341" s="1">
        <v>887.1</v>
      </c>
      <c r="K341" s="1">
        <v>32560.0</v>
      </c>
      <c r="L341" s="1">
        <v>100.0</v>
      </c>
      <c r="M341" s="23">
        <v>14.882</v>
      </c>
      <c r="N341" s="23">
        <f t="shared" si="6"/>
        <v>0.376</v>
      </c>
      <c r="O341" s="64">
        <f t="shared" si="7"/>
        <v>0.813</v>
      </c>
    </row>
    <row r="342">
      <c r="A342" s="65">
        <v>578.0</v>
      </c>
      <c r="B342" s="1">
        <v>18924.0</v>
      </c>
      <c r="C342" s="66">
        <v>15.653</v>
      </c>
      <c r="D342" s="66">
        <v>12.879</v>
      </c>
      <c r="E342" s="26">
        <v>3.493</v>
      </c>
      <c r="F342" s="61">
        <v>1101.1</v>
      </c>
      <c r="G342" s="23">
        <v>0.813</v>
      </c>
      <c r="H342" s="23">
        <v>0.376</v>
      </c>
      <c r="I342" s="1">
        <v>382.8</v>
      </c>
      <c r="J342" s="1">
        <v>887.1</v>
      </c>
      <c r="K342" s="1">
        <v>25188.0</v>
      </c>
      <c r="L342" s="1">
        <v>100.0</v>
      </c>
      <c r="M342" s="23">
        <v>14.732</v>
      </c>
      <c r="N342" s="23">
        <f t="shared" si="6"/>
        <v>0.376</v>
      </c>
      <c r="O342" s="64">
        <f t="shared" si="7"/>
        <v>0.813</v>
      </c>
    </row>
    <row r="343">
      <c r="A343" s="1">
        <v>580.0</v>
      </c>
      <c r="B343" s="1">
        <v>19847.0</v>
      </c>
      <c r="C343" s="23">
        <v>15.167</v>
      </c>
      <c r="D343" s="26">
        <v>12.521</v>
      </c>
      <c r="E343" s="26">
        <v>3.533</v>
      </c>
      <c r="F343" s="61">
        <v>1101.1</v>
      </c>
      <c r="G343" s="23">
        <v>1.063</v>
      </c>
      <c r="H343" s="23">
        <v>0.376</v>
      </c>
      <c r="I343" s="1">
        <v>382.8</v>
      </c>
      <c r="J343" s="1">
        <v>887.1</v>
      </c>
      <c r="K343" s="1">
        <v>26417.0</v>
      </c>
      <c r="L343" s="1">
        <v>100.0</v>
      </c>
      <c r="M343" s="23">
        <v>14.732</v>
      </c>
      <c r="N343" s="23">
        <f t="shared" si="6"/>
        <v>0.376</v>
      </c>
      <c r="O343">
        <f t="shared" si="7"/>
        <v>1</v>
      </c>
    </row>
    <row r="344">
      <c r="A344" s="1">
        <v>582.0</v>
      </c>
      <c r="B344" s="1">
        <v>19847.0</v>
      </c>
      <c r="C344" s="26">
        <v>15.19</v>
      </c>
      <c r="D344" s="26">
        <v>11.724</v>
      </c>
      <c r="E344" s="26">
        <v>3.533</v>
      </c>
      <c r="F344" s="61">
        <v>1101.1</v>
      </c>
      <c r="G344" s="23">
        <v>1.063</v>
      </c>
      <c r="H344" s="23">
        <v>0.376</v>
      </c>
      <c r="I344" s="1">
        <v>382.8</v>
      </c>
      <c r="J344" s="1">
        <v>887.1</v>
      </c>
      <c r="K344" s="1">
        <v>26417.0</v>
      </c>
      <c r="L344" s="1">
        <v>100.0</v>
      </c>
      <c r="M344" s="23">
        <v>14.616</v>
      </c>
      <c r="N344" s="23">
        <f t="shared" si="6"/>
        <v>0.376</v>
      </c>
      <c r="O344">
        <f t="shared" si="7"/>
        <v>1</v>
      </c>
    </row>
    <row r="345">
      <c r="A345" s="1">
        <v>584.0</v>
      </c>
      <c r="B345" s="1">
        <v>19847.0</v>
      </c>
      <c r="C345" s="23">
        <v>14.546</v>
      </c>
      <c r="D345" s="26">
        <v>14.219</v>
      </c>
      <c r="E345" s="26">
        <v>3.653</v>
      </c>
      <c r="F345" s="61">
        <v>1101.1</v>
      </c>
      <c r="G345" s="23">
        <v>1.063</v>
      </c>
      <c r="H345" s="23">
        <v>1.376</v>
      </c>
      <c r="I345" s="1">
        <v>382.8</v>
      </c>
      <c r="J345" s="1">
        <v>887.1</v>
      </c>
      <c r="K345" s="1">
        <v>26417.0</v>
      </c>
      <c r="L345" s="1">
        <v>100.0</v>
      </c>
      <c r="M345" s="23">
        <v>14.616</v>
      </c>
      <c r="N345" s="23">
        <f t="shared" si="6"/>
        <v>1</v>
      </c>
      <c r="O345">
        <f t="shared" si="7"/>
        <v>1</v>
      </c>
    </row>
    <row r="346">
      <c r="A346" s="1">
        <v>586.0</v>
      </c>
      <c r="B346" s="1">
        <v>19847.0</v>
      </c>
      <c r="C346" s="23">
        <v>14.885</v>
      </c>
      <c r="D346" s="26">
        <v>14.665</v>
      </c>
      <c r="E346" s="26">
        <v>3.233</v>
      </c>
      <c r="F346" s="61">
        <v>1101.1</v>
      </c>
      <c r="G346" s="23">
        <v>1.063</v>
      </c>
      <c r="H346" s="23">
        <v>1.376</v>
      </c>
      <c r="I346" s="1">
        <v>382.8</v>
      </c>
      <c r="J346" s="1">
        <v>887.1</v>
      </c>
      <c r="K346" s="1">
        <v>26417.0</v>
      </c>
      <c r="L346" s="1">
        <v>100.0</v>
      </c>
      <c r="M346" s="23">
        <v>14.644</v>
      </c>
      <c r="N346" s="23">
        <f t="shared" si="6"/>
        <v>1</v>
      </c>
      <c r="O346">
        <f t="shared" si="7"/>
        <v>1</v>
      </c>
    </row>
    <row r="347">
      <c r="A347" s="1">
        <v>588.0</v>
      </c>
      <c r="B347" s="1">
        <v>19847.0</v>
      </c>
      <c r="C347" s="23">
        <v>14.873</v>
      </c>
      <c r="D347" s="23">
        <v>14.766</v>
      </c>
      <c r="E347" s="26">
        <v>3.233</v>
      </c>
      <c r="F347" s="61">
        <v>1086.1</v>
      </c>
      <c r="G347" s="23">
        <v>1.063</v>
      </c>
      <c r="H347" s="23">
        <v>0.376</v>
      </c>
      <c r="I347" s="1">
        <v>382.8</v>
      </c>
      <c r="J347" s="1">
        <v>887.1</v>
      </c>
      <c r="K347" s="1">
        <v>26417.0</v>
      </c>
      <c r="L347" s="1">
        <v>100.0</v>
      </c>
      <c r="M347" s="23">
        <v>14.644</v>
      </c>
      <c r="N347" s="23">
        <f t="shared" si="6"/>
        <v>0.376</v>
      </c>
      <c r="O347">
        <f t="shared" si="7"/>
        <v>1</v>
      </c>
    </row>
    <row r="348">
      <c r="A348" s="1" t="s">
        <v>501</v>
      </c>
      <c r="B348" s="1"/>
      <c r="C348" s="1"/>
      <c r="D348" s="23"/>
      <c r="E348" s="12"/>
      <c r="F348" s="1"/>
      <c r="G348" s="1"/>
      <c r="H348" s="1"/>
      <c r="I348" s="23"/>
      <c r="J348" s="12"/>
      <c r="K348" s="1"/>
      <c r="N348" s="23" t="str">
        <f t="shared" si="6"/>
        <v/>
      </c>
      <c r="O348" t="str">
        <f t="shared" si="7"/>
        <v/>
      </c>
    </row>
    <row r="349">
      <c r="A349" s="1">
        <v>590.0</v>
      </c>
      <c r="B349" s="1">
        <v>19847.0</v>
      </c>
      <c r="C349" s="23">
        <v>15.212</v>
      </c>
      <c r="D349" s="23">
        <v>15.238</v>
      </c>
      <c r="E349" s="26">
        <v>3.233</v>
      </c>
      <c r="F349" s="61">
        <v>1086.1</v>
      </c>
      <c r="G349" s="26">
        <v>1.08</v>
      </c>
      <c r="H349" s="23">
        <v>0.376</v>
      </c>
      <c r="I349" s="1">
        <v>382.8</v>
      </c>
      <c r="J349" s="1">
        <v>969.1</v>
      </c>
      <c r="K349" s="1">
        <v>26417.0</v>
      </c>
      <c r="L349" s="1">
        <v>100.0</v>
      </c>
      <c r="M349" s="23">
        <v>14.668</v>
      </c>
      <c r="N349" s="23">
        <f t="shared" si="6"/>
        <v>0.376</v>
      </c>
      <c r="O349">
        <f t="shared" si="7"/>
        <v>1</v>
      </c>
    </row>
    <row r="350">
      <c r="A350" s="1" t="s">
        <v>502</v>
      </c>
      <c r="B350" s="1"/>
      <c r="C350" s="1"/>
      <c r="D350" s="23"/>
      <c r="E350" s="12"/>
      <c r="F350" s="1"/>
      <c r="G350" s="1"/>
      <c r="H350" s="1"/>
      <c r="I350" s="23"/>
      <c r="J350" s="12"/>
      <c r="K350" s="1"/>
      <c r="N350" s="23" t="str">
        <f t="shared" si="6"/>
        <v/>
      </c>
      <c r="O350" t="str">
        <f t="shared" si="7"/>
        <v/>
      </c>
    </row>
    <row r="351">
      <c r="A351" s="1" t="s">
        <v>502</v>
      </c>
      <c r="B351" s="1"/>
      <c r="C351" s="1"/>
      <c r="D351" s="23"/>
      <c r="E351" s="12"/>
      <c r="F351" s="1"/>
      <c r="G351" s="1"/>
      <c r="H351" s="1"/>
      <c r="I351" s="23"/>
      <c r="J351" s="12"/>
      <c r="K351" s="1"/>
      <c r="N351" s="23" t="str">
        <f t="shared" si="6"/>
        <v/>
      </c>
      <c r="O351" t="str">
        <f t="shared" si="7"/>
        <v/>
      </c>
    </row>
    <row r="352">
      <c r="A352" s="39" t="s">
        <v>502</v>
      </c>
      <c r="B352" s="40"/>
      <c r="C352" s="40"/>
      <c r="D352" s="40"/>
      <c r="K352" s="1"/>
      <c r="N352" s="23" t="str">
        <f t="shared" si="6"/>
        <v/>
      </c>
      <c r="O352" t="str">
        <f t="shared" si="7"/>
        <v/>
      </c>
    </row>
    <row r="353">
      <c r="A353" s="39" t="s">
        <v>511</v>
      </c>
      <c r="B353" s="40"/>
      <c r="C353" s="40"/>
      <c r="D353" s="40"/>
      <c r="G353" s="23"/>
      <c r="H353" s="1"/>
      <c r="I353" s="23"/>
      <c r="J353" s="1"/>
      <c r="K353" s="1"/>
      <c r="N353" s="23" t="str">
        <f t="shared" si="6"/>
        <v/>
      </c>
      <c r="O353" s="64" t="str">
        <f t="shared" si="7"/>
        <v/>
      </c>
    </row>
    <row r="354">
      <c r="A354" s="39" t="s">
        <v>502</v>
      </c>
      <c r="B354" s="40"/>
      <c r="C354" s="40"/>
      <c r="D354" s="40"/>
      <c r="G354" s="23"/>
      <c r="H354" s="1"/>
      <c r="I354" s="23"/>
      <c r="J354" s="1"/>
      <c r="K354" s="1"/>
      <c r="N354" s="23" t="str">
        <f t="shared" si="6"/>
        <v/>
      </c>
      <c r="O354" s="64" t="str">
        <f t="shared" si="7"/>
        <v/>
      </c>
    </row>
    <row r="355">
      <c r="A355" s="65" t="s">
        <v>504</v>
      </c>
      <c r="B355" s="72"/>
      <c r="C355" s="73"/>
      <c r="D355" s="72"/>
      <c r="G355" s="23"/>
      <c r="H355" s="1"/>
      <c r="I355" s="23"/>
      <c r="J355" s="1"/>
      <c r="K355" s="1"/>
      <c r="N355" s="23" t="str">
        <f t="shared" si="6"/>
        <v/>
      </c>
      <c r="O355" s="64" t="str">
        <f t="shared" si="7"/>
        <v/>
      </c>
    </row>
    <row r="356">
      <c r="A356" s="39">
        <v>592.0</v>
      </c>
      <c r="B356" s="77">
        <v>19847.0</v>
      </c>
      <c r="C356" s="67">
        <v>15.212</v>
      </c>
      <c r="D356" s="67">
        <v>14.905</v>
      </c>
      <c r="E356" s="23">
        <v>3.233</v>
      </c>
      <c r="F356" s="61">
        <v>1086.1</v>
      </c>
      <c r="G356" s="23">
        <v>0.83</v>
      </c>
      <c r="H356" s="23">
        <v>0.386</v>
      </c>
      <c r="I356" s="1">
        <v>382.8</v>
      </c>
      <c r="J356" s="1">
        <v>969.1</v>
      </c>
      <c r="K356" s="1">
        <v>26417.0</v>
      </c>
      <c r="L356" s="1">
        <v>100.0</v>
      </c>
      <c r="M356" s="23">
        <v>14.668</v>
      </c>
      <c r="N356" s="23">
        <f t="shared" si="6"/>
        <v>0.386</v>
      </c>
      <c r="O356" s="64">
        <f t="shared" si="7"/>
        <v>0.83</v>
      </c>
    </row>
    <row r="357">
      <c r="A357" s="39">
        <v>594.0</v>
      </c>
      <c r="B357" s="39">
        <v>21693.0</v>
      </c>
      <c r="C357" s="67">
        <v>16.365</v>
      </c>
      <c r="D357" s="67">
        <v>13.069</v>
      </c>
      <c r="E357" s="23">
        <v>3.233</v>
      </c>
      <c r="F357" s="61">
        <v>1086.1</v>
      </c>
      <c r="G357" s="23">
        <v>0.83</v>
      </c>
      <c r="H357" s="23">
        <v>0.386</v>
      </c>
      <c r="I357" s="1">
        <v>382.8</v>
      </c>
      <c r="J357" s="1">
        <v>969.1</v>
      </c>
      <c r="K357" s="1">
        <v>28874.0</v>
      </c>
      <c r="L357" s="1">
        <v>100.0</v>
      </c>
      <c r="M357" s="26">
        <v>14.69</v>
      </c>
      <c r="N357" s="23">
        <f t="shared" si="6"/>
        <v>0.386</v>
      </c>
      <c r="O357" s="64">
        <f t="shared" si="7"/>
        <v>0.83</v>
      </c>
    </row>
    <row r="358">
      <c r="A358" s="39">
        <v>596.0</v>
      </c>
      <c r="B358" s="77">
        <v>21693.0</v>
      </c>
      <c r="C358" s="67">
        <v>16.534</v>
      </c>
      <c r="D358" s="67">
        <v>13.132</v>
      </c>
      <c r="E358" s="23">
        <v>3.548</v>
      </c>
      <c r="F358" s="61">
        <v>1086.1</v>
      </c>
      <c r="G358" s="23">
        <v>0.83</v>
      </c>
      <c r="H358" s="23">
        <v>0.386</v>
      </c>
      <c r="I358" s="1">
        <v>382.8</v>
      </c>
      <c r="J358" s="1">
        <v>969.1</v>
      </c>
      <c r="K358" s="1">
        <v>28874.0</v>
      </c>
      <c r="L358" s="1">
        <v>100.0</v>
      </c>
      <c r="M358" s="26">
        <v>14.69</v>
      </c>
      <c r="N358" s="23">
        <f t="shared" si="6"/>
        <v>0.386</v>
      </c>
      <c r="O358" s="64">
        <f t="shared" si="7"/>
        <v>0.83</v>
      </c>
    </row>
    <row r="359">
      <c r="A359" s="39">
        <v>599.0</v>
      </c>
      <c r="B359" s="77">
        <v>21693.0</v>
      </c>
      <c r="C359" s="67">
        <v>16.546</v>
      </c>
      <c r="D359" s="67">
        <v>13.367</v>
      </c>
      <c r="E359" s="23">
        <v>3.417</v>
      </c>
      <c r="F359" s="61">
        <v>1086.1</v>
      </c>
      <c r="G359" s="23">
        <v>0.83</v>
      </c>
      <c r="H359" s="23">
        <v>0.386</v>
      </c>
      <c r="I359" s="1">
        <v>382.8</v>
      </c>
      <c r="J359" s="1">
        <v>969.1</v>
      </c>
      <c r="K359" s="1">
        <v>28874.0</v>
      </c>
      <c r="L359" s="1">
        <v>100.0</v>
      </c>
      <c r="M359" s="26">
        <v>14.746</v>
      </c>
      <c r="N359" s="23">
        <f t="shared" si="6"/>
        <v>0.386</v>
      </c>
      <c r="O359" s="64">
        <f t="shared" si="7"/>
        <v>0.83</v>
      </c>
    </row>
    <row r="360">
      <c r="A360" s="39">
        <v>601.0</v>
      </c>
      <c r="B360" s="77">
        <v>21693.0</v>
      </c>
      <c r="C360" s="66">
        <v>16.523</v>
      </c>
      <c r="D360" s="69">
        <v>13.421</v>
      </c>
      <c r="E360" s="26">
        <v>3.417</v>
      </c>
      <c r="F360" s="61">
        <v>1086.1</v>
      </c>
      <c r="G360" s="26">
        <v>0.8</v>
      </c>
      <c r="H360" s="26">
        <v>0.386</v>
      </c>
      <c r="I360" s="1">
        <v>382.8</v>
      </c>
      <c r="J360" s="1">
        <v>969.1</v>
      </c>
      <c r="K360" s="1">
        <v>28874.0</v>
      </c>
      <c r="L360" s="1">
        <v>100.0</v>
      </c>
      <c r="M360" s="26">
        <v>14.746</v>
      </c>
      <c r="N360" s="23">
        <f t="shared" si="6"/>
        <v>0.386</v>
      </c>
      <c r="O360" s="12">
        <f t="shared" si="7"/>
        <v>0.8</v>
      </c>
    </row>
    <row r="361">
      <c r="A361" s="39">
        <v>603.0</v>
      </c>
      <c r="B361" s="77">
        <v>20967.0</v>
      </c>
      <c r="C361" s="76">
        <v>16.41</v>
      </c>
      <c r="D361" s="76">
        <v>13.475</v>
      </c>
      <c r="E361" s="26">
        <v>3.417</v>
      </c>
      <c r="F361" s="61">
        <v>1086.1</v>
      </c>
      <c r="G361" s="26">
        <v>0.83</v>
      </c>
      <c r="H361" s="26">
        <v>0.386</v>
      </c>
      <c r="I361" s="1">
        <v>382.8</v>
      </c>
      <c r="J361" s="1">
        <v>969.1</v>
      </c>
      <c r="K361" s="1">
        <v>28874.0</v>
      </c>
      <c r="L361" s="1">
        <v>100.0</v>
      </c>
      <c r="M361" s="26">
        <v>14.746</v>
      </c>
      <c r="N361" s="23">
        <f t="shared" si="6"/>
        <v>0.386</v>
      </c>
      <c r="O361" s="12">
        <f t="shared" si="7"/>
        <v>0.83</v>
      </c>
    </row>
    <row r="362">
      <c r="A362" s="39">
        <v>605.0</v>
      </c>
      <c r="B362" s="77">
        <v>21693.0</v>
      </c>
      <c r="C362" s="67">
        <v>16.478</v>
      </c>
      <c r="D362" s="76">
        <v>13.475</v>
      </c>
      <c r="E362" s="26">
        <v>3.417</v>
      </c>
      <c r="F362" s="61">
        <v>1086.1</v>
      </c>
      <c r="G362" s="26">
        <v>0.83</v>
      </c>
      <c r="H362" s="26">
        <v>0.386</v>
      </c>
      <c r="I362" s="1">
        <v>382.8</v>
      </c>
      <c r="J362" s="1">
        <v>969.1</v>
      </c>
      <c r="K362" s="1">
        <v>28874.0</v>
      </c>
      <c r="L362" s="1">
        <v>100.0</v>
      </c>
      <c r="M362" s="26">
        <v>14.742</v>
      </c>
      <c r="N362" s="23">
        <f t="shared" si="6"/>
        <v>0.386</v>
      </c>
      <c r="O362" s="12">
        <f t="shared" si="7"/>
        <v>0.83</v>
      </c>
    </row>
    <row r="363">
      <c r="A363" s="39" t="s">
        <v>505</v>
      </c>
      <c r="B363" s="74"/>
      <c r="C363" s="39"/>
      <c r="D363" s="76"/>
      <c r="E363" s="12"/>
      <c r="F363" s="26"/>
      <c r="G363" s="12"/>
      <c r="H363" s="26"/>
      <c r="I363" s="26"/>
      <c r="J363" s="23"/>
      <c r="K363" s="1"/>
      <c r="L363" s="26"/>
      <c r="M363" s="26"/>
      <c r="N363" s="35"/>
    </row>
    <row r="364">
      <c r="A364" s="65" t="s">
        <v>512</v>
      </c>
      <c r="B364" s="72"/>
      <c r="C364" s="39"/>
      <c r="D364" s="76"/>
      <c r="E364" s="12"/>
      <c r="F364" s="26"/>
      <c r="G364" s="12"/>
      <c r="H364" s="26"/>
      <c r="I364" s="26"/>
      <c r="J364" s="23"/>
      <c r="K364" s="1"/>
      <c r="L364" s="26"/>
      <c r="M364" s="26"/>
      <c r="N364" s="35"/>
    </row>
    <row r="365">
      <c r="A365" s="40"/>
      <c r="B365" s="74"/>
      <c r="C365" s="39"/>
      <c r="D365" s="76"/>
      <c r="E365" s="12"/>
      <c r="F365" s="26"/>
      <c r="G365" s="12"/>
      <c r="H365" s="26"/>
      <c r="I365" s="26"/>
      <c r="J365" s="23"/>
      <c r="K365" s="1"/>
      <c r="L365" s="26"/>
      <c r="M365" s="26"/>
      <c r="N365" s="35"/>
    </row>
    <row r="366">
      <c r="A366" s="40"/>
      <c r="B366" s="74"/>
      <c r="C366" s="39"/>
      <c r="D366" s="76"/>
      <c r="E366" s="12"/>
      <c r="F366" s="26"/>
      <c r="G366" s="12"/>
      <c r="H366" s="26"/>
      <c r="I366" s="26"/>
      <c r="J366" s="23"/>
      <c r="K366" s="1"/>
      <c r="L366" s="26"/>
      <c r="M366" s="26"/>
      <c r="N366" s="35"/>
    </row>
    <row r="367">
      <c r="A367" s="40"/>
      <c r="B367" s="74"/>
      <c r="C367" s="39"/>
      <c r="D367" s="76"/>
      <c r="E367" s="12"/>
      <c r="F367" s="26"/>
      <c r="G367" s="12"/>
      <c r="H367" s="26"/>
      <c r="I367" s="26"/>
      <c r="J367" s="23"/>
      <c r="K367" s="1"/>
      <c r="L367" s="26"/>
      <c r="M367" s="26"/>
      <c r="N367" s="35"/>
    </row>
    <row r="368">
      <c r="A368" s="40"/>
      <c r="B368" s="74"/>
      <c r="C368" s="39"/>
      <c r="D368" s="76"/>
      <c r="E368" s="12"/>
      <c r="F368" s="26"/>
      <c r="G368" s="12"/>
      <c r="H368" s="26"/>
      <c r="I368" s="26"/>
      <c r="J368" s="23"/>
      <c r="K368" s="1"/>
      <c r="L368" s="26"/>
      <c r="M368" s="26"/>
      <c r="N368" s="35"/>
    </row>
    <row r="369">
      <c r="A369" s="40"/>
      <c r="B369" s="74"/>
      <c r="C369" s="65"/>
      <c r="D369" s="69"/>
      <c r="E369" s="12"/>
      <c r="F369" s="26"/>
      <c r="G369" s="12"/>
      <c r="H369" s="26"/>
      <c r="I369" s="26"/>
      <c r="J369" s="23"/>
      <c r="K369" s="1"/>
      <c r="L369" s="26"/>
      <c r="M369" s="26"/>
      <c r="N369" s="35"/>
    </row>
    <row r="370">
      <c r="A370" s="73"/>
      <c r="B370" s="72"/>
      <c r="C370" s="65"/>
      <c r="D370" s="69"/>
      <c r="E370" s="12"/>
      <c r="F370" s="26"/>
      <c r="G370" s="12"/>
      <c r="H370" s="26"/>
      <c r="I370" s="26"/>
      <c r="J370" s="23"/>
      <c r="K370" s="1"/>
      <c r="L370" s="26"/>
      <c r="M370" s="26"/>
      <c r="N370" s="35"/>
    </row>
    <row r="371">
      <c r="A371" s="73"/>
      <c r="B371" s="72"/>
      <c r="C371" s="65"/>
      <c r="D371" s="69"/>
      <c r="E371" s="12"/>
      <c r="F371" s="26"/>
      <c r="G371" s="12"/>
      <c r="H371" s="26"/>
      <c r="I371" s="26"/>
      <c r="J371" s="23"/>
      <c r="K371" s="1"/>
      <c r="L371" s="26"/>
      <c r="M371" s="26"/>
      <c r="N371" s="35"/>
    </row>
    <row r="372">
      <c r="A372" s="73"/>
      <c r="B372" s="72"/>
      <c r="C372" s="65"/>
      <c r="D372" s="69"/>
      <c r="E372" s="12"/>
      <c r="F372" s="26"/>
      <c r="G372" s="12"/>
      <c r="H372" s="26"/>
      <c r="I372" s="26"/>
      <c r="J372" s="23"/>
      <c r="K372" s="1"/>
      <c r="L372" s="26"/>
      <c r="M372" s="26"/>
      <c r="N372" s="35"/>
    </row>
    <row r="373">
      <c r="A373" s="40"/>
      <c r="B373" s="74"/>
      <c r="C373" s="65"/>
      <c r="D373" s="69"/>
      <c r="E373" s="12"/>
      <c r="F373" s="26"/>
      <c r="G373" s="12"/>
      <c r="H373" s="26"/>
      <c r="I373" s="26"/>
      <c r="J373" s="23"/>
      <c r="K373" s="1"/>
      <c r="L373" s="26"/>
      <c r="M373" s="26"/>
      <c r="N373" s="35"/>
    </row>
    <row r="374">
      <c r="A374" s="73"/>
      <c r="B374" s="72"/>
      <c r="C374" s="65"/>
      <c r="D374" s="69"/>
      <c r="E374" s="12"/>
      <c r="F374" s="26"/>
      <c r="G374" s="12"/>
      <c r="H374" s="26"/>
      <c r="I374" s="26"/>
      <c r="J374" s="23"/>
      <c r="K374" s="1"/>
      <c r="L374" s="26"/>
      <c r="M374" s="26"/>
      <c r="N374" s="35"/>
    </row>
    <row r="375">
      <c r="A375" s="73"/>
      <c r="B375" s="72"/>
      <c r="C375" s="65"/>
      <c r="D375" s="69"/>
      <c r="E375" s="12"/>
      <c r="F375" s="26"/>
      <c r="G375" s="12"/>
      <c r="H375" s="26"/>
      <c r="I375" s="26"/>
      <c r="J375" s="23"/>
      <c r="K375" s="1"/>
      <c r="L375" s="26"/>
      <c r="M375" s="26"/>
      <c r="N375" s="35"/>
    </row>
    <row r="376">
      <c r="A376" s="40"/>
      <c r="B376" s="74"/>
      <c r="C376" s="65"/>
      <c r="D376" s="69"/>
      <c r="E376" s="12"/>
      <c r="F376" s="26"/>
      <c r="G376" s="12"/>
      <c r="H376" s="26"/>
      <c r="I376" s="26"/>
      <c r="J376" s="23"/>
      <c r="K376" s="1"/>
      <c r="L376" s="26"/>
      <c r="M376" s="26"/>
      <c r="N376" s="35"/>
    </row>
    <row r="377">
      <c r="A377" s="73"/>
      <c r="B377" s="72"/>
      <c r="C377" s="65"/>
      <c r="D377" s="69"/>
      <c r="E377" s="12"/>
      <c r="F377" s="26"/>
      <c r="G377" s="12"/>
      <c r="H377" s="26"/>
      <c r="I377" s="26"/>
      <c r="J377" s="23"/>
      <c r="K377" s="1"/>
      <c r="L377" s="26"/>
      <c r="M377" s="26"/>
      <c r="N377" s="35"/>
    </row>
    <row r="378">
      <c r="A378" s="73"/>
      <c r="B378" s="72"/>
      <c r="C378" s="65"/>
      <c r="D378" s="69"/>
      <c r="E378" s="12"/>
      <c r="F378" s="26"/>
      <c r="G378" s="12"/>
      <c r="H378" s="26"/>
      <c r="I378" s="26"/>
      <c r="J378" s="23"/>
      <c r="K378" s="1"/>
      <c r="L378" s="26"/>
      <c r="M378" s="26"/>
      <c r="N378" s="35"/>
    </row>
    <row r="379">
      <c r="A379" s="73"/>
      <c r="B379" s="72"/>
      <c r="C379" s="65"/>
      <c r="D379" s="69"/>
      <c r="E379" s="12"/>
      <c r="F379" s="26"/>
      <c r="G379" s="12"/>
      <c r="H379" s="26"/>
      <c r="I379" s="26"/>
      <c r="J379" s="23"/>
      <c r="K379" s="1"/>
      <c r="L379" s="26"/>
      <c r="M379" s="26"/>
      <c r="N379" s="35"/>
    </row>
    <row r="380">
      <c r="A380" s="73"/>
      <c r="B380" s="72"/>
      <c r="C380" s="39"/>
      <c r="D380" s="76"/>
      <c r="E380" s="12"/>
      <c r="F380" s="26"/>
      <c r="G380" s="12"/>
      <c r="H380" s="26"/>
      <c r="I380" s="26"/>
      <c r="J380" s="23"/>
      <c r="K380" s="1"/>
      <c r="L380" s="26"/>
      <c r="M380" s="26"/>
      <c r="N380" s="35"/>
    </row>
    <row r="381">
      <c r="A381" s="73"/>
      <c r="B381" s="72"/>
      <c r="C381" s="65"/>
      <c r="D381" s="69"/>
      <c r="E381" s="12"/>
      <c r="F381" s="26"/>
      <c r="G381" s="12"/>
      <c r="H381" s="26"/>
      <c r="I381" s="26"/>
      <c r="J381" s="23"/>
      <c r="K381" s="1"/>
      <c r="L381" s="26"/>
      <c r="M381" s="26"/>
      <c r="N381" s="35"/>
    </row>
    <row r="382">
      <c r="A382" s="73"/>
      <c r="B382" s="72"/>
      <c r="C382" s="65"/>
      <c r="D382" s="69"/>
      <c r="E382" s="12"/>
      <c r="F382" s="26"/>
      <c r="G382" s="12"/>
      <c r="H382" s="26"/>
      <c r="I382" s="26"/>
      <c r="J382" s="23"/>
      <c r="K382" s="1"/>
      <c r="L382" s="26"/>
      <c r="M382" s="26"/>
      <c r="N382" s="35"/>
    </row>
    <row r="383">
      <c r="A383" s="73"/>
      <c r="B383" s="72"/>
      <c r="C383" s="65"/>
      <c r="D383" s="69"/>
      <c r="E383" s="12"/>
      <c r="F383" s="26"/>
      <c r="G383" s="12"/>
      <c r="H383" s="26"/>
      <c r="I383" s="26"/>
      <c r="J383" s="23"/>
      <c r="K383" s="1"/>
      <c r="L383" s="26"/>
      <c r="M383" s="26"/>
      <c r="N383" s="35"/>
    </row>
    <row r="384">
      <c r="A384" s="73"/>
      <c r="B384" s="72"/>
      <c r="C384" s="65"/>
      <c r="D384" s="69"/>
      <c r="E384" s="12"/>
      <c r="F384" s="26"/>
      <c r="G384" s="12"/>
      <c r="H384" s="26"/>
      <c r="I384" s="26"/>
      <c r="J384" s="23"/>
      <c r="K384" s="1"/>
      <c r="L384" s="26"/>
      <c r="M384" s="26"/>
      <c r="N384" s="35"/>
    </row>
    <row r="385">
      <c r="A385" s="73"/>
      <c r="B385" s="72"/>
      <c r="C385" s="39"/>
      <c r="D385" s="76"/>
      <c r="E385" s="12"/>
      <c r="F385" s="26"/>
      <c r="G385" s="12"/>
      <c r="H385" s="26"/>
      <c r="I385" s="26"/>
      <c r="J385" s="23"/>
      <c r="K385" s="1"/>
      <c r="L385" s="26"/>
      <c r="M385" s="26"/>
      <c r="N385" s="35"/>
    </row>
    <row r="386">
      <c r="A386" s="1"/>
      <c r="B386" s="53"/>
      <c r="C386" s="39"/>
      <c r="D386" s="76"/>
      <c r="E386" s="12"/>
      <c r="F386" s="26"/>
      <c r="G386" s="12"/>
      <c r="H386" s="26"/>
      <c r="I386" s="26"/>
      <c r="J386" s="23"/>
      <c r="K386" s="1"/>
      <c r="L386" s="26"/>
      <c r="M386" s="26"/>
      <c r="N386" s="35"/>
    </row>
    <row r="387">
      <c r="A387" s="1"/>
      <c r="B387" s="1"/>
      <c r="C387" s="39"/>
      <c r="D387" s="76"/>
      <c r="E387" s="12"/>
      <c r="F387" s="26"/>
      <c r="G387" s="12"/>
      <c r="H387" s="26"/>
      <c r="I387" s="26"/>
      <c r="J387" s="23"/>
      <c r="K387" s="1"/>
      <c r="L387" s="26"/>
      <c r="M387" s="26"/>
      <c r="N387" s="35"/>
    </row>
    <row r="388">
      <c r="A388" s="1"/>
      <c r="B388" s="1"/>
      <c r="C388" s="39"/>
      <c r="D388" s="76"/>
      <c r="E388" s="12"/>
      <c r="F388" s="26"/>
      <c r="G388" s="12"/>
      <c r="H388" s="26"/>
      <c r="I388" s="26"/>
      <c r="J388" s="23"/>
      <c r="K388" s="1"/>
      <c r="L388" s="26"/>
      <c r="M388" s="26"/>
      <c r="N388" s="35"/>
    </row>
    <row r="389">
      <c r="A389" s="1"/>
      <c r="B389" s="1"/>
      <c r="C389" s="39"/>
      <c r="D389" s="76"/>
      <c r="E389" s="12"/>
      <c r="F389" s="26"/>
      <c r="G389" s="12"/>
      <c r="H389" s="26"/>
      <c r="I389" s="26"/>
      <c r="J389" s="23"/>
      <c r="K389" s="1"/>
      <c r="L389" s="26"/>
      <c r="M389" s="26"/>
      <c r="N389" s="35"/>
    </row>
    <row r="390">
      <c r="A390" s="1"/>
      <c r="B390" s="1"/>
      <c r="C390" s="39"/>
      <c r="D390" s="76"/>
      <c r="E390" s="12"/>
      <c r="F390" s="26"/>
      <c r="G390" s="12"/>
      <c r="H390" s="26"/>
      <c r="I390" s="26"/>
      <c r="J390" s="23"/>
      <c r="K390" s="1"/>
      <c r="L390" s="26"/>
      <c r="M390" s="26"/>
      <c r="N390" s="35"/>
    </row>
    <row r="391">
      <c r="A391" s="1"/>
      <c r="B391" s="1"/>
      <c r="C391" s="39"/>
      <c r="D391" s="76"/>
      <c r="E391" s="12"/>
      <c r="F391" s="26"/>
      <c r="G391" s="12"/>
      <c r="H391" s="26"/>
      <c r="I391" s="26"/>
      <c r="J391" s="23"/>
      <c r="K391" s="1"/>
      <c r="L391" s="26"/>
      <c r="M391" s="26"/>
      <c r="N391" s="35"/>
    </row>
    <row r="392">
      <c r="A392" s="1"/>
      <c r="B392" s="1"/>
      <c r="C392" s="39"/>
      <c r="D392" s="76"/>
      <c r="E392" s="12"/>
      <c r="F392" s="26"/>
      <c r="G392" s="12"/>
      <c r="H392" s="26"/>
      <c r="I392" s="26"/>
      <c r="J392" s="23"/>
      <c r="K392" s="1"/>
      <c r="L392" s="26"/>
      <c r="M392" s="26"/>
      <c r="N392" s="35"/>
    </row>
    <row r="393">
      <c r="A393" s="1"/>
      <c r="B393" s="1"/>
      <c r="C393" s="65"/>
      <c r="D393" s="69"/>
      <c r="E393" s="12"/>
      <c r="F393" s="26"/>
      <c r="G393" s="12"/>
      <c r="H393" s="26"/>
      <c r="I393" s="26"/>
      <c r="J393" s="23"/>
      <c r="K393" s="1"/>
      <c r="L393" s="26"/>
      <c r="M393" s="26"/>
      <c r="N393" s="35"/>
    </row>
    <row r="394">
      <c r="A394" s="1"/>
      <c r="B394" s="1"/>
      <c r="C394" s="65"/>
      <c r="D394" s="69"/>
      <c r="E394" s="12"/>
      <c r="F394" s="26"/>
      <c r="G394" s="12"/>
      <c r="H394" s="26"/>
      <c r="I394" s="26"/>
      <c r="J394" s="23"/>
      <c r="K394" s="1"/>
      <c r="L394" s="26"/>
      <c r="M394" s="26"/>
      <c r="N394" s="35"/>
    </row>
    <row r="395">
      <c r="A395" s="1"/>
      <c r="B395" s="1"/>
      <c r="C395" s="65"/>
      <c r="D395" s="69"/>
      <c r="E395" s="12"/>
      <c r="F395" s="26"/>
      <c r="G395" s="12"/>
      <c r="H395" s="26"/>
      <c r="I395" s="26"/>
      <c r="J395" s="23"/>
      <c r="K395" s="1"/>
      <c r="L395" s="26"/>
      <c r="M395" s="26"/>
      <c r="N395" s="35"/>
    </row>
    <row r="396">
      <c r="A396" s="1"/>
      <c r="B396" s="1"/>
      <c r="C396" s="65"/>
      <c r="D396" s="69"/>
      <c r="E396" s="12"/>
      <c r="F396" s="26"/>
      <c r="G396" s="12"/>
      <c r="H396" s="26"/>
      <c r="I396" s="26"/>
      <c r="J396" s="23"/>
      <c r="K396" s="1"/>
      <c r="L396" s="26"/>
      <c r="M396" s="26"/>
      <c r="N396" s="35"/>
    </row>
    <row r="397">
      <c r="A397" s="1"/>
      <c r="B397" s="1"/>
      <c r="C397" s="65"/>
      <c r="D397" s="69"/>
      <c r="E397" s="12"/>
      <c r="F397" s="26"/>
      <c r="G397" s="12"/>
      <c r="H397" s="26"/>
      <c r="I397" s="26"/>
      <c r="J397" s="23"/>
      <c r="K397" s="1"/>
      <c r="L397" s="26"/>
      <c r="M397" s="26"/>
      <c r="N397" s="35"/>
    </row>
    <row r="398">
      <c r="A398" s="1"/>
      <c r="B398" s="1"/>
      <c r="C398" s="65"/>
      <c r="D398" s="69"/>
      <c r="E398" s="12"/>
      <c r="F398" s="26"/>
      <c r="G398" s="12"/>
      <c r="H398" s="26"/>
      <c r="I398" s="26"/>
      <c r="J398" s="23"/>
      <c r="K398" s="1"/>
      <c r="L398" s="26"/>
      <c r="M398" s="26"/>
      <c r="N398" s="35"/>
    </row>
    <row r="399">
      <c r="A399" s="1"/>
      <c r="B399" s="1"/>
      <c r="C399" s="65"/>
      <c r="D399" s="69"/>
      <c r="E399" s="12"/>
      <c r="F399" s="26"/>
      <c r="G399" s="12"/>
      <c r="H399" s="26"/>
      <c r="I399" s="26"/>
      <c r="J399" s="23"/>
      <c r="K399" s="1"/>
      <c r="L399" s="26"/>
      <c r="M399" s="26"/>
      <c r="N399" s="35"/>
    </row>
    <row r="400">
      <c r="A400" s="1"/>
      <c r="B400" s="1"/>
      <c r="C400" s="65"/>
      <c r="D400" s="69"/>
      <c r="E400" s="12"/>
      <c r="F400" s="26"/>
      <c r="G400" s="12"/>
      <c r="H400" s="26"/>
      <c r="I400" s="26"/>
      <c r="J400" s="23"/>
      <c r="K400" s="1"/>
      <c r="L400" s="26"/>
      <c r="M400" s="26"/>
      <c r="N400" s="35"/>
    </row>
    <row r="401">
      <c r="A401" s="1"/>
      <c r="B401" s="1"/>
      <c r="C401" s="65"/>
      <c r="D401" s="69"/>
      <c r="E401" s="12"/>
      <c r="F401" s="26"/>
      <c r="G401" s="12"/>
      <c r="H401" s="26"/>
      <c r="I401" s="26"/>
      <c r="J401" s="23"/>
      <c r="K401" s="1"/>
      <c r="L401" s="26"/>
      <c r="M401" s="26"/>
      <c r="N401" s="35"/>
    </row>
    <row r="402">
      <c r="A402" s="1"/>
      <c r="B402" s="1"/>
      <c r="C402" s="65"/>
      <c r="D402" s="69"/>
      <c r="E402" s="12"/>
      <c r="F402" s="26"/>
      <c r="G402" s="12"/>
      <c r="H402" s="26"/>
      <c r="I402" s="26"/>
      <c r="J402" s="23"/>
      <c r="K402" s="1"/>
      <c r="L402" s="26"/>
      <c r="M402" s="26"/>
      <c r="N402" s="35"/>
    </row>
    <row r="403">
      <c r="A403" s="1"/>
      <c r="B403" s="1"/>
      <c r="C403" s="65"/>
      <c r="D403" s="69"/>
      <c r="E403" s="12"/>
      <c r="F403" s="26"/>
      <c r="G403" s="12"/>
      <c r="H403" s="26"/>
      <c r="I403" s="26"/>
      <c r="J403" s="23"/>
      <c r="K403" s="1"/>
      <c r="L403" s="26"/>
      <c r="M403" s="26"/>
      <c r="N403" s="35"/>
    </row>
    <row r="404">
      <c r="A404" s="1"/>
      <c r="B404" s="1"/>
      <c r="C404" s="65"/>
      <c r="D404" s="69"/>
      <c r="E404" s="12"/>
      <c r="F404" s="26"/>
      <c r="G404" s="12"/>
      <c r="H404" s="26"/>
      <c r="I404" s="26"/>
      <c r="J404" s="23"/>
      <c r="K404" s="1"/>
      <c r="L404" s="26"/>
      <c r="M404" s="26"/>
      <c r="N404" s="35"/>
    </row>
    <row r="405">
      <c r="A405" s="1"/>
      <c r="B405" s="1"/>
      <c r="C405" s="65"/>
      <c r="D405" s="69"/>
      <c r="E405" s="12"/>
      <c r="F405" s="26"/>
      <c r="G405" s="12"/>
      <c r="H405" s="26"/>
      <c r="I405" s="26"/>
      <c r="J405" s="23"/>
      <c r="K405" s="1"/>
      <c r="L405" s="26"/>
      <c r="M405" s="26"/>
      <c r="N405" s="35"/>
    </row>
    <row r="406">
      <c r="A406" s="1"/>
      <c r="B406" s="1"/>
      <c r="C406" s="65"/>
      <c r="D406" s="69"/>
      <c r="E406" s="12"/>
      <c r="F406" s="26"/>
      <c r="G406" s="12"/>
      <c r="H406" s="26"/>
      <c r="I406" s="26"/>
      <c r="J406" s="23"/>
      <c r="K406" s="1"/>
      <c r="L406" s="26"/>
      <c r="M406" s="26"/>
      <c r="N406" s="35"/>
    </row>
    <row r="407">
      <c r="A407" s="1"/>
      <c r="B407" s="1"/>
      <c r="C407" s="65"/>
      <c r="D407" s="69"/>
      <c r="E407" s="12"/>
      <c r="F407" s="26"/>
      <c r="G407" s="12"/>
      <c r="H407" s="26"/>
      <c r="I407" s="26"/>
      <c r="J407" s="23"/>
      <c r="K407" s="1"/>
      <c r="L407" s="26"/>
      <c r="M407" s="26"/>
      <c r="N407" s="35"/>
    </row>
    <row r="408">
      <c r="A408" s="1"/>
      <c r="B408" s="1"/>
      <c r="C408" s="65"/>
      <c r="D408" s="69"/>
      <c r="E408" s="12"/>
      <c r="F408" s="26"/>
      <c r="G408" s="12"/>
      <c r="H408" s="26"/>
      <c r="I408" s="26"/>
      <c r="J408" s="23"/>
      <c r="K408" s="1"/>
      <c r="L408" s="26"/>
      <c r="M408" s="26"/>
      <c r="N408" s="35"/>
    </row>
    <row r="409">
      <c r="A409" s="1"/>
      <c r="B409" s="1"/>
      <c r="C409" s="65"/>
      <c r="D409" s="69"/>
      <c r="E409" s="12"/>
      <c r="F409" s="26"/>
      <c r="G409" s="12"/>
      <c r="H409" s="26"/>
      <c r="I409" s="26"/>
      <c r="J409" s="23"/>
      <c r="K409" s="1"/>
      <c r="L409" s="26"/>
      <c r="M409" s="26"/>
      <c r="N409" s="35"/>
    </row>
    <row r="410">
      <c r="A410" s="1"/>
      <c r="B410" s="1"/>
      <c r="C410" s="65"/>
      <c r="D410" s="69"/>
      <c r="E410" s="12"/>
      <c r="F410" s="26"/>
      <c r="G410" s="12"/>
      <c r="H410" s="26"/>
      <c r="I410" s="26"/>
      <c r="J410" s="23"/>
      <c r="K410" s="1"/>
      <c r="L410" s="26"/>
      <c r="M410" s="26"/>
      <c r="N410" s="35"/>
    </row>
    <row r="411">
      <c r="A411" s="1"/>
      <c r="B411" s="1"/>
      <c r="C411" s="65"/>
      <c r="D411" s="69"/>
      <c r="E411" s="12"/>
      <c r="F411" s="26"/>
      <c r="G411" s="12"/>
      <c r="H411" s="26"/>
      <c r="I411" s="26"/>
      <c r="J411" s="23"/>
      <c r="K411" s="1"/>
      <c r="L411" s="26"/>
      <c r="M411" s="26"/>
      <c r="N411" s="35"/>
    </row>
    <row r="412">
      <c r="A412" s="1"/>
      <c r="B412" s="1"/>
      <c r="C412" s="65"/>
      <c r="D412" s="69"/>
      <c r="E412" s="12"/>
      <c r="F412" s="26"/>
      <c r="G412" s="12"/>
      <c r="H412" s="26"/>
      <c r="I412" s="26"/>
      <c r="J412" s="23"/>
      <c r="K412" s="1"/>
      <c r="L412" s="26"/>
      <c r="M412" s="26"/>
      <c r="N412" s="35"/>
    </row>
    <row r="413">
      <c r="A413" s="1"/>
      <c r="B413" s="1"/>
      <c r="C413" s="65"/>
      <c r="D413" s="69"/>
      <c r="E413" s="12"/>
      <c r="F413" s="26"/>
      <c r="G413" s="12"/>
      <c r="H413" s="26"/>
      <c r="I413" s="26"/>
      <c r="J413" s="23"/>
      <c r="K413" s="1"/>
      <c r="L413" s="26"/>
      <c r="M413" s="26"/>
      <c r="N413" s="35"/>
    </row>
    <row r="414">
      <c r="A414" s="1"/>
      <c r="B414" s="1"/>
      <c r="C414" s="39"/>
      <c r="D414" s="76"/>
      <c r="E414" s="12"/>
      <c r="F414" s="26"/>
      <c r="G414" s="12"/>
      <c r="H414" s="26"/>
      <c r="I414" s="26"/>
      <c r="J414" s="23"/>
      <c r="K414" s="1"/>
      <c r="L414" s="26"/>
      <c r="M414" s="26"/>
      <c r="N414" s="35"/>
    </row>
    <row r="415">
      <c r="A415" s="1"/>
      <c r="B415" s="1"/>
      <c r="C415" s="39"/>
      <c r="D415" s="76"/>
      <c r="E415" s="12"/>
      <c r="F415" s="26"/>
      <c r="G415" s="12"/>
      <c r="H415" s="26"/>
      <c r="I415" s="26"/>
      <c r="J415" s="23"/>
      <c r="K415" s="1"/>
      <c r="L415" s="26"/>
      <c r="M415" s="26"/>
      <c r="N415" s="35"/>
    </row>
    <row r="416">
      <c r="A416" s="1"/>
      <c r="B416" s="1"/>
      <c r="C416" s="39"/>
      <c r="D416" s="76"/>
      <c r="E416" s="12"/>
      <c r="F416" s="26"/>
      <c r="G416" s="12"/>
      <c r="H416" s="26"/>
      <c r="I416" s="26"/>
      <c r="J416" s="23"/>
      <c r="K416" s="1"/>
      <c r="L416" s="26"/>
      <c r="M416" s="26"/>
      <c r="N416" s="35"/>
    </row>
    <row r="417">
      <c r="A417" s="1"/>
      <c r="B417" s="1"/>
      <c r="C417" s="65"/>
      <c r="D417" s="69"/>
      <c r="E417" s="12"/>
      <c r="F417" s="26"/>
      <c r="G417" s="12"/>
      <c r="H417" s="26"/>
      <c r="I417" s="26"/>
      <c r="J417" s="23"/>
      <c r="K417" s="1"/>
      <c r="L417" s="26"/>
      <c r="M417" s="26"/>
      <c r="N417" s="35"/>
    </row>
    <row r="418">
      <c r="A418" s="1"/>
      <c r="B418" s="1"/>
      <c r="C418" s="65"/>
      <c r="D418" s="69"/>
      <c r="E418" s="12"/>
      <c r="F418" s="26"/>
      <c r="G418" s="12"/>
      <c r="H418" s="26"/>
      <c r="I418" s="26"/>
      <c r="J418" s="23"/>
      <c r="K418" s="1"/>
      <c r="L418" s="26"/>
      <c r="M418" s="26"/>
      <c r="N418" s="35"/>
    </row>
    <row r="419">
      <c r="A419" s="1"/>
      <c r="B419" s="1"/>
      <c r="C419" s="65"/>
      <c r="D419" s="69"/>
      <c r="E419" s="12"/>
      <c r="F419" s="26"/>
      <c r="G419" s="12"/>
      <c r="H419" s="26"/>
      <c r="I419" s="26"/>
      <c r="J419" s="23"/>
      <c r="K419" s="1"/>
      <c r="L419" s="26"/>
      <c r="M419" s="26"/>
      <c r="N419" s="35"/>
    </row>
    <row r="420">
      <c r="A420" s="1"/>
      <c r="B420" s="1"/>
      <c r="C420" s="65"/>
      <c r="D420" s="69"/>
      <c r="E420" s="12"/>
      <c r="F420" s="26"/>
      <c r="G420" s="12"/>
      <c r="H420" s="26"/>
      <c r="I420" s="26"/>
      <c r="J420" s="23"/>
      <c r="K420" s="1"/>
      <c r="L420" s="26"/>
      <c r="M420" s="26"/>
      <c r="N420" s="35"/>
    </row>
    <row r="421">
      <c r="A421" s="1"/>
      <c r="B421" s="1"/>
      <c r="C421" s="65"/>
      <c r="D421" s="69"/>
      <c r="E421" s="12"/>
      <c r="F421" s="26"/>
      <c r="G421" s="12"/>
      <c r="H421" s="26"/>
      <c r="I421" s="26"/>
      <c r="J421" s="23"/>
      <c r="K421" s="1"/>
      <c r="L421" s="26"/>
      <c r="M421" s="26"/>
      <c r="N421" s="35"/>
    </row>
    <row r="422">
      <c r="A422" s="1"/>
      <c r="B422" s="1"/>
      <c r="C422" s="65"/>
      <c r="D422" s="69"/>
      <c r="E422" s="12"/>
      <c r="F422" s="26"/>
      <c r="G422" s="12"/>
      <c r="H422" s="26"/>
      <c r="I422" s="26"/>
      <c r="J422" s="23"/>
      <c r="K422" s="1"/>
      <c r="L422" s="26"/>
      <c r="M422" s="26"/>
      <c r="N422" s="35"/>
    </row>
    <row r="423">
      <c r="A423" s="1"/>
      <c r="B423" s="1"/>
      <c r="C423" s="65"/>
      <c r="D423" s="69"/>
      <c r="E423" s="12"/>
      <c r="F423" s="26"/>
      <c r="G423" s="12"/>
      <c r="H423" s="26"/>
      <c r="I423" s="26"/>
      <c r="J423" s="23"/>
      <c r="K423" s="1"/>
      <c r="L423" s="26"/>
      <c r="M423" s="26"/>
      <c r="N423" s="35"/>
    </row>
    <row r="424">
      <c r="A424" s="1"/>
      <c r="B424" s="1"/>
      <c r="C424" s="65"/>
      <c r="D424" s="69"/>
      <c r="E424" s="12"/>
      <c r="F424" s="26"/>
      <c r="G424" s="12"/>
      <c r="H424" s="26"/>
      <c r="I424" s="26"/>
      <c r="J424" s="23"/>
      <c r="K424" s="1"/>
      <c r="L424" s="26"/>
      <c r="M424" s="26"/>
      <c r="N424" s="35"/>
    </row>
    <row r="425">
      <c r="A425" s="1"/>
      <c r="B425" s="1"/>
      <c r="C425" s="65"/>
      <c r="D425" s="69"/>
      <c r="E425" s="12"/>
      <c r="F425" s="26"/>
      <c r="G425" s="12"/>
      <c r="H425" s="26"/>
      <c r="I425" s="26"/>
      <c r="J425" s="23"/>
      <c r="K425" s="1"/>
      <c r="L425" s="26"/>
      <c r="M425" s="26"/>
      <c r="N425" s="35"/>
    </row>
    <row r="426">
      <c r="A426" s="1"/>
      <c r="B426" s="1"/>
      <c r="C426" s="65"/>
      <c r="D426" s="69"/>
      <c r="E426" s="12"/>
      <c r="F426" s="26"/>
      <c r="G426" s="12"/>
      <c r="H426" s="26"/>
      <c r="I426" s="26"/>
      <c r="J426" s="23"/>
      <c r="K426" s="1"/>
      <c r="L426" s="26"/>
      <c r="M426" s="26"/>
      <c r="N426" s="35"/>
    </row>
    <row r="427">
      <c r="A427" s="1"/>
      <c r="B427" s="1"/>
      <c r="C427" s="65"/>
      <c r="D427" s="69"/>
      <c r="E427" s="12"/>
      <c r="F427" s="26"/>
      <c r="G427" s="12"/>
      <c r="H427" s="26"/>
      <c r="I427" s="26"/>
      <c r="J427" s="23"/>
      <c r="K427" s="1"/>
      <c r="L427" s="26"/>
      <c r="M427" s="26"/>
      <c r="N427" s="35"/>
    </row>
    <row r="428">
      <c r="A428" s="1"/>
      <c r="B428" s="1"/>
      <c r="C428" s="65"/>
      <c r="D428" s="69"/>
      <c r="E428" s="12"/>
      <c r="F428" s="26"/>
      <c r="G428" s="12"/>
      <c r="H428" s="26"/>
      <c r="I428" s="26"/>
      <c r="J428" s="23"/>
      <c r="K428" s="1"/>
      <c r="L428" s="26"/>
      <c r="M428" s="26"/>
      <c r="N428" s="35"/>
    </row>
    <row r="429">
      <c r="A429" s="1"/>
      <c r="B429" s="1"/>
      <c r="C429" s="65"/>
      <c r="D429" s="69"/>
      <c r="E429" s="12"/>
      <c r="F429" s="26"/>
      <c r="G429" s="12"/>
      <c r="H429" s="26"/>
      <c r="I429" s="26"/>
      <c r="J429" s="23"/>
      <c r="K429" s="1"/>
      <c r="L429" s="26"/>
      <c r="M429" s="26"/>
      <c r="N429" s="35"/>
    </row>
    <row r="430">
      <c r="A430" s="1"/>
      <c r="B430" s="1"/>
      <c r="C430" s="65"/>
      <c r="D430" s="69"/>
      <c r="E430" s="12"/>
      <c r="F430" s="26"/>
      <c r="G430" s="12"/>
      <c r="H430" s="26"/>
      <c r="I430" s="26"/>
      <c r="J430" s="23"/>
      <c r="K430" s="1"/>
      <c r="L430" s="26"/>
      <c r="M430" s="26"/>
      <c r="N430" s="35"/>
    </row>
    <row r="431">
      <c r="A431" s="1"/>
      <c r="B431" s="1"/>
      <c r="C431" s="65"/>
      <c r="D431" s="69"/>
      <c r="E431" s="12"/>
      <c r="F431" s="26"/>
      <c r="G431" s="12"/>
      <c r="H431" s="26"/>
      <c r="I431" s="26"/>
      <c r="J431" s="23"/>
      <c r="K431" s="1"/>
      <c r="L431" s="26"/>
      <c r="M431" s="26"/>
      <c r="N431" s="35"/>
    </row>
    <row r="432">
      <c r="A432" s="1"/>
      <c r="B432" s="1"/>
      <c r="C432" s="65"/>
      <c r="D432" s="69"/>
      <c r="E432" s="12"/>
      <c r="F432" s="26"/>
      <c r="G432" s="12"/>
      <c r="H432" s="26"/>
      <c r="I432" s="26"/>
      <c r="J432" s="23"/>
      <c r="K432" s="1"/>
      <c r="L432" s="26"/>
      <c r="M432" s="26"/>
      <c r="N432" s="35"/>
    </row>
    <row r="433">
      <c r="A433" s="1"/>
      <c r="B433" s="1"/>
      <c r="C433" s="65"/>
      <c r="D433" s="69"/>
      <c r="E433" s="12"/>
      <c r="F433" s="26"/>
      <c r="G433" s="12"/>
      <c r="H433" s="26"/>
      <c r="I433" s="26"/>
      <c r="J433" s="23"/>
      <c r="K433" s="1"/>
      <c r="L433" s="26"/>
      <c r="M433" s="26"/>
      <c r="N433" s="35"/>
    </row>
    <row r="434">
      <c r="A434" s="1"/>
      <c r="B434" s="1"/>
      <c r="C434" s="39"/>
      <c r="D434" s="76"/>
      <c r="E434" s="12"/>
      <c r="F434" s="26"/>
      <c r="G434" s="12"/>
      <c r="H434" s="26"/>
      <c r="I434" s="26"/>
      <c r="J434" s="23"/>
      <c r="K434" s="1"/>
      <c r="L434" s="26"/>
      <c r="M434" s="26"/>
      <c r="N434" s="35"/>
    </row>
    <row r="435">
      <c r="A435" s="1"/>
      <c r="B435" s="1"/>
      <c r="C435" s="65"/>
      <c r="D435" s="69"/>
      <c r="E435" s="12"/>
      <c r="F435" s="26"/>
      <c r="G435" s="12"/>
      <c r="H435" s="26"/>
      <c r="I435" s="26"/>
      <c r="J435" s="23"/>
      <c r="K435" s="1"/>
      <c r="L435" s="26"/>
      <c r="M435" s="26"/>
      <c r="N435" s="35"/>
    </row>
    <row r="436">
      <c r="A436" s="1"/>
      <c r="B436" s="1"/>
      <c r="C436" s="65"/>
      <c r="D436" s="69"/>
      <c r="E436" s="12"/>
      <c r="F436" s="26"/>
      <c r="G436" s="12"/>
      <c r="H436" s="26"/>
      <c r="I436" s="26"/>
      <c r="J436" s="23"/>
      <c r="K436" s="1"/>
      <c r="L436" s="26"/>
      <c r="M436" s="26"/>
      <c r="N436" s="35"/>
    </row>
    <row r="437">
      <c r="A437" s="1"/>
      <c r="B437" s="1"/>
      <c r="C437" s="65"/>
      <c r="D437" s="69"/>
      <c r="E437" s="12"/>
      <c r="F437" s="26"/>
      <c r="G437" s="12"/>
      <c r="H437" s="26"/>
      <c r="I437" s="26"/>
      <c r="J437" s="23"/>
      <c r="K437" s="1"/>
      <c r="L437" s="26"/>
      <c r="M437" s="26"/>
      <c r="N437" s="35"/>
    </row>
    <row r="438">
      <c r="A438" s="1"/>
      <c r="B438" s="1"/>
      <c r="C438" s="39"/>
      <c r="D438" s="76"/>
      <c r="E438" s="12"/>
      <c r="F438" s="26"/>
      <c r="G438" s="12"/>
      <c r="H438" s="26"/>
      <c r="I438" s="26"/>
      <c r="J438" s="23"/>
      <c r="K438" s="1"/>
      <c r="L438" s="26"/>
      <c r="M438" s="26"/>
      <c r="N438" s="35"/>
    </row>
    <row r="439">
      <c r="A439" s="1"/>
      <c r="B439" s="1"/>
      <c r="C439" s="39"/>
      <c r="D439" s="76"/>
      <c r="E439" s="12"/>
      <c r="F439" s="26"/>
      <c r="G439" s="12"/>
      <c r="H439" s="26"/>
      <c r="I439" s="26"/>
      <c r="J439" s="23"/>
      <c r="K439" s="1"/>
      <c r="L439" s="26"/>
      <c r="M439" s="26"/>
      <c r="N439" s="35"/>
    </row>
    <row r="440">
      <c r="A440" s="1"/>
      <c r="B440" s="1"/>
      <c r="C440" s="39"/>
      <c r="D440" s="76"/>
      <c r="E440" s="12"/>
      <c r="F440" s="26"/>
      <c r="G440" s="12"/>
      <c r="H440" s="26"/>
      <c r="I440" s="26"/>
      <c r="J440" s="23"/>
      <c r="K440" s="1"/>
      <c r="L440" s="26"/>
      <c r="M440" s="26"/>
      <c r="N440" s="35"/>
    </row>
    <row r="441">
      <c r="A441" s="1"/>
      <c r="B441" s="1"/>
      <c r="C441" s="39"/>
      <c r="D441" s="76"/>
      <c r="E441" s="12"/>
      <c r="F441" s="26"/>
      <c r="G441" s="12"/>
      <c r="H441" s="26"/>
      <c r="I441" s="26"/>
      <c r="J441" s="23"/>
      <c r="K441" s="1"/>
      <c r="L441" s="26"/>
      <c r="M441" s="26"/>
      <c r="N441" s="35"/>
    </row>
    <row r="442">
      <c r="A442" s="1"/>
      <c r="B442" s="1"/>
      <c r="C442" s="39"/>
      <c r="D442" s="76"/>
      <c r="E442" s="12"/>
      <c r="F442" s="26"/>
      <c r="G442" s="12"/>
      <c r="H442" s="26"/>
      <c r="I442" s="26"/>
      <c r="J442" s="23"/>
      <c r="K442" s="1"/>
      <c r="L442" s="26"/>
      <c r="M442" s="26"/>
      <c r="N442" s="35"/>
    </row>
    <row r="443">
      <c r="A443" s="1"/>
      <c r="B443" s="1"/>
      <c r="C443" s="65"/>
      <c r="D443" s="69"/>
      <c r="E443" s="12"/>
      <c r="F443" s="26"/>
      <c r="G443" s="12"/>
      <c r="H443" s="26"/>
      <c r="I443" s="26"/>
      <c r="J443" s="23"/>
      <c r="K443" s="1"/>
      <c r="L443" s="26"/>
      <c r="M443" s="26"/>
      <c r="N443" s="35"/>
    </row>
    <row r="444">
      <c r="A444" s="1"/>
      <c r="B444" s="1"/>
      <c r="C444" s="65"/>
      <c r="D444" s="69"/>
      <c r="E444" s="12"/>
      <c r="F444" s="26"/>
      <c r="G444" s="12"/>
      <c r="H444" s="26"/>
      <c r="I444" s="26"/>
      <c r="J444" s="23"/>
      <c r="K444" s="1"/>
      <c r="L444" s="26"/>
      <c r="M444" s="26"/>
      <c r="N444" s="35"/>
    </row>
    <row r="445">
      <c r="A445" s="1"/>
      <c r="B445" s="1"/>
      <c r="C445" s="65"/>
      <c r="D445" s="69"/>
      <c r="E445" s="12"/>
      <c r="F445" s="26"/>
      <c r="G445" s="12"/>
      <c r="H445" s="26"/>
      <c r="I445" s="26"/>
      <c r="J445" s="23"/>
      <c r="K445" s="1"/>
      <c r="L445" s="26"/>
      <c r="M445" s="26"/>
      <c r="N445" s="35"/>
    </row>
    <row r="446">
      <c r="A446" s="1"/>
      <c r="B446" s="1"/>
      <c r="C446" s="65"/>
      <c r="D446" s="69"/>
      <c r="E446" s="12"/>
      <c r="F446" s="26"/>
      <c r="G446" s="12"/>
      <c r="H446" s="26"/>
      <c r="I446" s="26"/>
      <c r="J446" s="23"/>
      <c r="K446" s="1"/>
      <c r="L446" s="26"/>
      <c r="M446" s="26"/>
      <c r="N446" s="35"/>
    </row>
    <row r="447">
      <c r="A447" s="1"/>
      <c r="B447" s="1"/>
      <c r="C447" s="65"/>
      <c r="D447" s="69"/>
      <c r="E447" s="12"/>
      <c r="F447" s="26"/>
      <c r="G447" s="12"/>
      <c r="H447" s="26"/>
      <c r="I447" s="26"/>
      <c r="J447" s="23"/>
      <c r="K447" s="1"/>
      <c r="L447" s="26"/>
      <c r="M447" s="26"/>
      <c r="N447" s="35"/>
    </row>
    <row r="448">
      <c r="A448" s="1"/>
      <c r="B448" s="1"/>
      <c r="C448" s="65"/>
      <c r="D448" s="69"/>
      <c r="E448" s="12"/>
      <c r="F448" s="26"/>
      <c r="G448" s="12"/>
      <c r="H448" s="26"/>
      <c r="I448" s="26"/>
      <c r="J448" s="23"/>
      <c r="K448" s="1"/>
      <c r="L448" s="26"/>
      <c r="M448" s="26"/>
      <c r="N448" s="35"/>
    </row>
    <row r="449">
      <c r="A449" s="1"/>
      <c r="B449" s="1"/>
      <c r="C449" s="65"/>
      <c r="D449" s="69"/>
      <c r="E449" s="12"/>
      <c r="F449" s="26"/>
      <c r="G449" s="12"/>
      <c r="H449" s="26"/>
      <c r="I449" s="26"/>
      <c r="J449" s="23"/>
      <c r="K449" s="1"/>
      <c r="L449" s="26"/>
      <c r="M449" s="26"/>
      <c r="N449" s="35"/>
    </row>
    <row r="450">
      <c r="A450" s="1"/>
      <c r="B450" s="1"/>
      <c r="C450" s="65"/>
      <c r="D450" s="69"/>
      <c r="E450" s="12"/>
      <c r="F450" s="26"/>
      <c r="G450" s="12"/>
      <c r="H450" s="26"/>
      <c r="I450" s="26"/>
      <c r="J450" s="23"/>
      <c r="K450" s="1"/>
      <c r="L450" s="26"/>
      <c r="M450" s="26"/>
      <c r="N450" s="35"/>
    </row>
    <row r="451">
      <c r="A451" s="1"/>
      <c r="B451" s="1"/>
      <c r="C451" s="65"/>
      <c r="D451" s="69"/>
      <c r="E451" s="12"/>
      <c r="F451" s="26"/>
      <c r="G451" s="12"/>
      <c r="H451" s="26"/>
      <c r="I451" s="26"/>
      <c r="J451" s="23"/>
      <c r="K451" s="1"/>
      <c r="L451" s="26"/>
      <c r="M451" s="26"/>
      <c r="N451" s="35"/>
    </row>
    <row r="452">
      <c r="A452" s="1"/>
      <c r="B452" s="1"/>
      <c r="C452" s="65"/>
      <c r="D452" s="69"/>
      <c r="E452" s="12"/>
      <c r="F452" s="26"/>
      <c r="G452" s="12"/>
      <c r="H452" s="26"/>
      <c r="I452" s="26"/>
      <c r="J452" s="23"/>
      <c r="K452" s="1"/>
      <c r="L452" s="26"/>
      <c r="M452" s="26"/>
      <c r="N452" s="35"/>
    </row>
    <row r="453">
      <c r="A453" s="1"/>
      <c r="B453" s="1"/>
      <c r="C453" s="65"/>
      <c r="D453" s="69"/>
      <c r="E453" s="12"/>
      <c r="F453" s="26"/>
      <c r="G453" s="12"/>
      <c r="H453" s="26"/>
      <c r="I453" s="26"/>
      <c r="J453" s="23"/>
      <c r="K453" s="1"/>
      <c r="L453" s="26"/>
      <c r="M453" s="26"/>
      <c r="N453" s="35"/>
    </row>
    <row r="454">
      <c r="A454" s="1"/>
      <c r="B454" s="1"/>
      <c r="C454" s="39"/>
      <c r="D454" s="76"/>
      <c r="E454" s="12"/>
      <c r="F454" s="26"/>
      <c r="G454" s="12"/>
      <c r="H454" s="26"/>
      <c r="I454" s="26"/>
      <c r="J454" s="23"/>
      <c r="K454" s="1"/>
      <c r="L454" s="26"/>
      <c r="M454" s="26"/>
      <c r="N454" s="35"/>
    </row>
    <row r="455">
      <c r="A455" s="1"/>
      <c r="B455" s="1"/>
      <c r="C455" s="65"/>
      <c r="D455" s="69"/>
      <c r="E455" s="12"/>
      <c r="F455" s="26"/>
      <c r="G455" s="12"/>
      <c r="H455" s="26"/>
      <c r="I455" s="26"/>
      <c r="J455" s="23"/>
      <c r="K455" s="1"/>
      <c r="L455" s="26"/>
      <c r="M455" s="26"/>
      <c r="N455" s="35"/>
    </row>
    <row r="456">
      <c r="A456" s="1"/>
      <c r="B456" s="1"/>
      <c r="C456" s="65"/>
      <c r="D456" s="69"/>
      <c r="E456" s="12"/>
      <c r="F456" s="26"/>
      <c r="G456" s="12"/>
      <c r="H456" s="26"/>
      <c r="I456" s="26"/>
      <c r="J456" s="23"/>
      <c r="K456" s="1"/>
      <c r="L456" s="26"/>
      <c r="M456" s="26"/>
      <c r="N456" s="35"/>
    </row>
    <row r="457">
      <c r="A457" s="1"/>
      <c r="B457" s="1"/>
      <c r="C457" s="65"/>
      <c r="D457" s="69"/>
      <c r="E457" s="12"/>
      <c r="F457" s="26"/>
      <c r="G457" s="12"/>
      <c r="H457" s="26"/>
      <c r="I457" s="26"/>
      <c r="J457" s="23"/>
      <c r="K457" s="1"/>
      <c r="L457" s="26"/>
      <c r="M457" s="26"/>
      <c r="N457" s="35"/>
    </row>
    <row r="458">
      <c r="A458" s="1"/>
      <c r="B458" s="1"/>
      <c r="C458" s="65"/>
      <c r="D458" s="69"/>
      <c r="E458" s="12"/>
      <c r="F458" s="26"/>
      <c r="G458" s="12"/>
      <c r="H458" s="26"/>
      <c r="I458" s="26"/>
      <c r="J458" s="23"/>
      <c r="K458" s="1"/>
      <c r="L458" s="26"/>
      <c r="M458" s="26"/>
      <c r="N458" s="35"/>
    </row>
    <row r="459">
      <c r="A459" s="1"/>
      <c r="B459" s="1"/>
      <c r="C459" s="65"/>
      <c r="D459" s="69"/>
      <c r="E459" s="12"/>
      <c r="F459" s="26"/>
      <c r="G459" s="12"/>
      <c r="H459" s="26"/>
      <c r="I459" s="26"/>
      <c r="J459" s="23"/>
      <c r="K459" s="1"/>
      <c r="L459" s="26"/>
      <c r="M459" s="26"/>
      <c r="N459" s="35"/>
    </row>
    <row r="460">
      <c r="A460" s="1"/>
      <c r="B460" s="1"/>
      <c r="C460" s="39"/>
      <c r="D460" s="76"/>
      <c r="E460" s="12"/>
      <c r="F460" s="26"/>
      <c r="G460" s="12"/>
      <c r="H460" s="26"/>
      <c r="I460" s="26"/>
      <c r="J460" s="23"/>
      <c r="K460" s="1"/>
      <c r="L460" s="26"/>
      <c r="M460" s="26"/>
      <c r="N460" s="35"/>
    </row>
    <row r="461">
      <c r="A461" s="1"/>
      <c r="B461" s="1"/>
      <c r="C461" s="65"/>
      <c r="D461" s="69"/>
      <c r="E461" s="12"/>
      <c r="F461" s="26"/>
      <c r="G461" s="12"/>
      <c r="H461" s="26"/>
      <c r="I461" s="26"/>
      <c r="J461" s="23"/>
      <c r="K461" s="1"/>
      <c r="L461" s="26"/>
      <c r="M461" s="26"/>
      <c r="N461" s="35"/>
    </row>
    <row r="462">
      <c r="A462" s="1"/>
      <c r="B462" s="1"/>
      <c r="C462" s="65"/>
      <c r="D462" s="69"/>
      <c r="E462" s="12"/>
      <c r="F462" s="26"/>
      <c r="G462" s="12"/>
      <c r="H462" s="26"/>
      <c r="I462" s="26"/>
      <c r="J462" s="23"/>
      <c r="K462" s="1"/>
      <c r="L462" s="26"/>
      <c r="M462" s="26"/>
      <c r="N462" s="35"/>
    </row>
    <row r="463">
      <c r="A463" s="1"/>
      <c r="B463" s="1"/>
      <c r="C463" s="65"/>
      <c r="D463" s="69"/>
      <c r="E463" s="12"/>
      <c r="F463" s="26"/>
      <c r="G463" s="12"/>
      <c r="H463" s="26"/>
      <c r="I463" s="26"/>
      <c r="J463" s="23"/>
      <c r="K463" s="1"/>
      <c r="L463" s="26"/>
      <c r="M463" s="26"/>
      <c r="N463" s="35"/>
    </row>
    <row r="464">
      <c r="A464" s="1"/>
      <c r="B464" s="1"/>
      <c r="C464" s="65"/>
      <c r="D464" s="69"/>
      <c r="E464" s="12"/>
      <c r="F464" s="26"/>
      <c r="G464" s="12"/>
      <c r="H464" s="26"/>
      <c r="I464" s="26"/>
      <c r="J464" s="23"/>
      <c r="K464" s="1"/>
      <c r="L464" s="26"/>
      <c r="M464" s="26"/>
      <c r="N464" s="35"/>
    </row>
    <row r="465">
      <c r="A465" s="1"/>
      <c r="B465" s="1"/>
      <c r="C465" s="65"/>
      <c r="D465" s="69"/>
      <c r="E465" s="12"/>
      <c r="F465" s="26"/>
      <c r="G465" s="12"/>
      <c r="H465" s="26"/>
      <c r="I465" s="26"/>
      <c r="J465" s="23"/>
      <c r="K465" s="1"/>
      <c r="L465" s="26"/>
      <c r="M465" s="26"/>
      <c r="N465" s="35"/>
    </row>
    <row r="466">
      <c r="A466" s="1"/>
      <c r="B466" s="1"/>
      <c r="C466" s="65"/>
      <c r="D466" s="69"/>
      <c r="E466" s="12"/>
      <c r="F466" s="26"/>
      <c r="G466" s="12"/>
      <c r="H466" s="26"/>
      <c r="I466" s="26"/>
      <c r="J466" s="23"/>
      <c r="K466" s="1"/>
      <c r="L466" s="26"/>
      <c r="M466" s="26"/>
      <c r="N466" s="35"/>
    </row>
    <row r="467">
      <c r="A467" s="1"/>
      <c r="B467" s="1"/>
      <c r="C467" s="65"/>
      <c r="D467" s="69"/>
      <c r="E467" s="12"/>
      <c r="F467" s="26"/>
      <c r="G467" s="12"/>
      <c r="H467" s="26"/>
      <c r="I467" s="26"/>
      <c r="J467" s="23"/>
      <c r="K467" s="1"/>
      <c r="L467" s="26"/>
      <c r="M467" s="26"/>
      <c r="N467" s="35"/>
    </row>
    <row r="468">
      <c r="A468" s="1"/>
      <c r="B468" s="1"/>
      <c r="C468" s="65"/>
      <c r="D468" s="69"/>
      <c r="E468" s="12"/>
      <c r="F468" s="26"/>
      <c r="G468" s="12"/>
      <c r="H468" s="26"/>
      <c r="I468" s="26"/>
      <c r="J468" s="23"/>
      <c r="K468" s="1"/>
      <c r="L468" s="26"/>
      <c r="M468" s="26"/>
      <c r="N468" s="35"/>
    </row>
    <row r="469">
      <c r="A469" s="1"/>
      <c r="B469" s="1"/>
      <c r="C469" s="65"/>
      <c r="D469" s="69"/>
      <c r="E469" s="12"/>
      <c r="F469" s="26"/>
      <c r="G469" s="12"/>
      <c r="H469" s="26"/>
      <c r="I469" s="26"/>
      <c r="J469" s="23"/>
      <c r="K469" s="1"/>
      <c r="L469" s="26"/>
      <c r="M469" s="26"/>
      <c r="N469" s="35"/>
    </row>
    <row r="470">
      <c r="A470" s="1"/>
      <c r="B470" s="1"/>
      <c r="C470" s="65"/>
      <c r="D470" s="69"/>
      <c r="E470" s="12"/>
      <c r="F470" s="26"/>
      <c r="G470" s="12"/>
      <c r="H470" s="26"/>
      <c r="I470" s="26"/>
      <c r="J470" s="23"/>
      <c r="K470" s="1"/>
      <c r="L470" s="26"/>
      <c r="M470" s="26"/>
      <c r="N470" s="35"/>
    </row>
    <row r="471">
      <c r="A471" s="1"/>
      <c r="B471" s="1"/>
      <c r="C471" s="65"/>
      <c r="D471" s="69"/>
      <c r="E471" s="12"/>
      <c r="F471" s="26"/>
      <c r="G471" s="12"/>
      <c r="H471" s="26"/>
      <c r="I471" s="26"/>
      <c r="J471" s="23"/>
      <c r="K471" s="1"/>
      <c r="L471" s="26"/>
      <c r="M471" s="26"/>
      <c r="N471" s="35"/>
    </row>
    <row r="472">
      <c r="A472" s="1"/>
      <c r="B472" s="1"/>
      <c r="C472" s="65"/>
      <c r="D472" s="69"/>
      <c r="E472" s="12"/>
      <c r="F472" s="26"/>
      <c r="G472" s="12"/>
      <c r="H472" s="26"/>
      <c r="I472" s="26"/>
      <c r="J472" s="23"/>
      <c r="K472" s="1"/>
      <c r="L472" s="26"/>
      <c r="M472" s="26"/>
      <c r="N472" s="35"/>
    </row>
    <row r="473">
      <c r="A473" s="1"/>
      <c r="B473" s="1"/>
      <c r="C473" s="39"/>
      <c r="D473" s="76"/>
      <c r="E473" s="12"/>
      <c r="F473" s="26"/>
      <c r="G473" s="12"/>
      <c r="H473" s="26"/>
      <c r="I473" s="26"/>
      <c r="J473" s="23"/>
      <c r="K473" s="1"/>
      <c r="L473" s="26"/>
      <c r="M473" s="26"/>
      <c r="N473" s="35"/>
    </row>
    <row r="474">
      <c r="A474" s="1"/>
      <c r="B474" s="1"/>
      <c r="C474" s="39"/>
      <c r="D474" s="76"/>
      <c r="E474" s="12"/>
      <c r="F474" s="26"/>
      <c r="G474" s="12"/>
      <c r="H474" s="26"/>
      <c r="I474" s="26"/>
      <c r="J474" s="23"/>
      <c r="K474" s="1"/>
      <c r="L474" s="26"/>
      <c r="M474" s="26"/>
      <c r="N474" s="35"/>
    </row>
    <row r="475">
      <c r="A475" s="1"/>
      <c r="B475" s="1"/>
      <c r="C475" s="39"/>
      <c r="D475" s="76"/>
      <c r="E475" s="12"/>
      <c r="F475" s="26"/>
      <c r="G475" s="12"/>
      <c r="H475" s="26"/>
      <c r="I475" s="26"/>
      <c r="J475" s="23"/>
      <c r="K475" s="1"/>
      <c r="L475" s="26"/>
      <c r="M475" s="26"/>
      <c r="N475" s="35"/>
    </row>
    <row r="476">
      <c r="A476" s="1"/>
      <c r="B476" s="1"/>
      <c r="C476" s="65"/>
      <c r="D476" s="69"/>
      <c r="E476" s="12"/>
      <c r="F476" s="26"/>
      <c r="G476" s="12"/>
      <c r="H476" s="26"/>
      <c r="I476" s="26"/>
      <c r="J476" s="23"/>
      <c r="K476" s="1"/>
      <c r="L476" s="26"/>
      <c r="M476" s="26"/>
      <c r="N476" s="35"/>
    </row>
    <row r="477">
      <c r="A477" s="1"/>
      <c r="B477" s="1"/>
      <c r="C477" s="65"/>
      <c r="D477" s="69"/>
      <c r="E477" s="12"/>
      <c r="F477" s="26"/>
      <c r="G477" s="12"/>
      <c r="H477" s="26"/>
      <c r="I477" s="26"/>
      <c r="J477" s="23"/>
      <c r="K477" s="1"/>
      <c r="L477" s="26"/>
      <c r="M477" s="26"/>
      <c r="N477" s="35"/>
    </row>
    <row r="478">
      <c r="A478" s="1"/>
      <c r="B478" s="1"/>
      <c r="C478" s="65"/>
      <c r="D478" s="69"/>
      <c r="E478" s="12"/>
      <c r="F478" s="26"/>
      <c r="G478" s="12"/>
      <c r="H478" s="26"/>
      <c r="I478" s="26"/>
      <c r="J478" s="23"/>
      <c r="K478" s="1"/>
      <c r="L478" s="26"/>
      <c r="M478" s="26"/>
      <c r="N478" s="35"/>
    </row>
    <row r="479">
      <c r="A479" s="1"/>
      <c r="B479" s="1"/>
      <c r="C479" s="65"/>
      <c r="D479" s="69"/>
      <c r="E479" s="12"/>
      <c r="F479" s="26"/>
      <c r="G479" s="12"/>
      <c r="H479" s="26"/>
      <c r="I479" s="26"/>
      <c r="J479" s="23"/>
      <c r="K479" s="1"/>
      <c r="L479" s="26"/>
      <c r="M479" s="26"/>
      <c r="N479" s="35"/>
    </row>
    <row r="480">
      <c r="A480" s="1"/>
      <c r="B480" s="1"/>
      <c r="C480" s="65"/>
      <c r="D480" s="69"/>
      <c r="E480" s="12"/>
      <c r="F480" s="26"/>
      <c r="G480" s="12"/>
      <c r="H480" s="26"/>
      <c r="I480" s="26"/>
      <c r="J480" s="23"/>
      <c r="K480" s="1"/>
      <c r="L480" s="26"/>
      <c r="M480" s="26"/>
      <c r="N480" s="35"/>
    </row>
    <row r="481">
      <c r="A481" s="1"/>
      <c r="B481" s="1"/>
      <c r="C481" s="65"/>
      <c r="D481" s="69"/>
      <c r="E481" s="12"/>
      <c r="F481" s="26"/>
      <c r="G481" s="12"/>
      <c r="H481" s="26"/>
      <c r="I481" s="26"/>
      <c r="J481" s="23"/>
      <c r="K481" s="1"/>
      <c r="L481" s="26"/>
      <c r="M481" s="26"/>
      <c r="N481" s="35"/>
    </row>
    <row r="482">
      <c r="A482" s="1"/>
      <c r="B482" s="1"/>
      <c r="C482" s="65"/>
      <c r="D482" s="69"/>
      <c r="E482" s="12"/>
      <c r="F482" s="26"/>
      <c r="G482" s="12"/>
      <c r="H482" s="26"/>
      <c r="I482" s="26"/>
      <c r="J482" s="23"/>
      <c r="K482" s="1"/>
      <c r="L482" s="26"/>
      <c r="M482" s="26"/>
      <c r="N482" s="35"/>
    </row>
    <row r="483">
      <c r="A483" s="1"/>
      <c r="B483" s="1"/>
      <c r="C483" s="65"/>
      <c r="D483" s="69"/>
      <c r="E483" s="12"/>
      <c r="F483" s="26"/>
      <c r="G483" s="12"/>
      <c r="H483" s="26"/>
      <c r="I483" s="26"/>
      <c r="J483" s="23"/>
      <c r="K483" s="1"/>
      <c r="L483" s="26"/>
      <c r="M483" s="26"/>
      <c r="N483" s="35"/>
    </row>
    <row r="484">
      <c r="A484" s="1"/>
      <c r="B484" s="1"/>
      <c r="C484" s="65"/>
      <c r="D484" s="69"/>
      <c r="E484" s="12"/>
      <c r="F484" s="26"/>
      <c r="G484" s="12"/>
      <c r="H484" s="26"/>
      <c r="I484" s="26"/>
      <c r="J484" s="23"/>
      <c r="K484" s="1"/>
      <c r="L484" s="26"/>
      <c r="M484" s="26"/>
      <c r="N484" s="35"/>
    </row>
    <row r="485">
      <c r="A485" s="1"/>
      <c r="B485" s="1"/>
      <c r="C485" s="65"/>
      <c r="D485" s="69"/>
      <c r="E485" s="12"/>
      <c r="F485" s="26"/>
      <c r="G485" s="12"/>
      <c r="H485" s="26"/>
      <c r="I485" s="26"/>
      <c r="J485" s="23"/>
      <c r="K485" s="1"/>
      <c r="L485" s="26"/>
      <c r="M485" s="26"/>
      <c r="N485" s="35"/>
    </row>
    <row r="486">
      <c r="A486" s="1"/>
      <c r="B486" s="1"/>
      <c r="C486" s="65"/>
      <c r="D486" s="69"/>
      <c r="E486" s="12"/>
      <c r="F486" s="26"/>
      <c r="G486" s="12"/>
      <c r="H486" s="26"/>
      <c r="I486" s="26"/>
      <c r="J486" s="23"/>
      <c r="K486" s="1"/>
      <c r="L486" s="26"/>
      <c r="M486" s="26"/>
      <c r="N486" s="35"/>
    </row>
    <row r="487">
      <c r="A487" s="1"/>
      <c r="B487" s="1"/>
      <c r="C487" s="65"/>
      <c r="D487" s="69"/>
      <c r="E487" s="12"/>
      <c r="F487" s="26"/>
      <c r="G487" s="12"/>
      <c r="H487" s="26"/>
      <c r="I487" s="26"/>
      <c r="J487" s="23"/>
      <c r="K487" s="1"/>
      <c r="L487" s="26"/>
      <c r="M487" s="26"/>
      <c r="N487" s="35"/>
    </row>
    <row r="488">
      <c r="A488" s="1"/>
      <c r="B488" s="1"/>
      <c r="C488" s="65"/>
      <c r="D488" s="69"/>
      <c r="E488" s="12"/>
      <c r="F488" s="26"/>
      <c r="G488" s="12"/>
      <c r="H488" s="26"/>
      <c r="I488" s="26"/>
      <c r="J488" s="23"/>
      <c r="K488" s="1"/>
      <c r="L488" s="26"/>
      <c r="M488" s="26"/>
      <c r="N488" s="35"/>
    </row>
    <row r="489">
      <c r="A489" s="1"/>
      <c r="B489" s="1"/>
      <c r="C489" s="65"/>
      <c r="D489" s="69"/>
      <c r="E489" s="12"/>
      <c r="F489" s="26"/>
      <c r="G489" s="12"/>
      <c r="H489" s="26"/>
      <c r="I489" s="26"/>
      <c r="J489" s="23"/>
      <c r="K489" s="1"/>
      <c r="L489" s="26"/>
      <c r="M489" s="26"/>
      <c r="N489" s="35"/>
    </row>
    <row r="490">
      <c r="A490" s="1"/>
      <c r="B490" s="1"/>
      <c r="C490" s="39"/>
      <c r="D490" s="76"/>
      <c r="E490" s="12"/>
      <c r="F490" s="26"/>
      <c r="G490" s="12"/>
      <c r="H490" s="26"/>
      <c r="I490" s="26"/>
      <c r="J490" s="23"/>
      <c r="K490" s="1"/>
      <c r="L490" s="26"/>
      <c r="M490" s="26"/>
      <c r="N490" s="35"/>
    </row>
    <row r="491">
      <c r="A491" s="1"/>
      <c r="B491" s="1"/>
      <c r="C491" s="65"/>
      <c r="D491" s="69"/>
      <c r="E491" s="12"/>
      <c r="F491" s="26"/>
      <c r="G491" s="12"/>
      <c r="H491" s="26"/>
      <c r="I491" s="26"/>
      <c r="J491" s="23"/>
      <c r="K491" s="1"/>
      <c r="L491" s="26"/>
      <c r="M491" s="26"/>
      <c r="N491" s="35"/>
    </row>
    <row r="492">
      <c r="A492" s="1"/>
      <c r="B492" s="1"/>
      <c r="C492" s="65"/>
      <c r="D492" s="69"/>
      <c r="E492" s="12"/>
      <c r="F492" s="26"/>
      <c r="G492" s="12"/>
      <c r="H492" s="26"/>
      <c r="I492" s="26"/>
      <c r="J492" s="23"/>
      <c r="K492" s="1"/>
      <c r="L492" s="26"/>
      <c r="M492" s="26"/>
      <c r="N492" s="35"/>
    </row>
    <row r="493">
      <c r="A493" s="1"/>
      <c r="B493" s="1"/>
      <c r="C493" s="39"/>
      <c r="D493" s="76"/>
      <c r="E493" s="12"/>
      <c r="F493" s="26"/>
      <c r="G493" s="12"/>
      <c r="H493" s="26"/>
      <c r="I493" s="26"/>
      <c r="J493" s="23"/>
      <c r="K493" s="1"/>
      <c r="L493" s="26"/>
      <c r="M493" s="26"/>
      <c r="N493" s="35"/>
    </row>
    <row r="494">
      <c r="A494" s="1"/>
      <c r="B494" s="1"/>
      <c r="C494" s="65"/>
      <c r="D494" s="69"/>
      <c r="E494" s="12"/>
      <c r="F494" s="26"/>
      <c r="G494" s="12"/>
      <c r="H494" s="26"/>
      <c r="I494" s="26"/>
      <c r="J494" s="23"/>
      <c r="K494" s="1"/>
      <c r="L494" s="26"/>
      <c r="M494" s="26"/>
      <c r="N494" s="35"/>
    </row>
    <row r="495">
      <c r="A495" s="1"/>
      <c r="B495" s="1"/>
      <c r="C495" s="39"/>
      <c r="D495" s="76"/>
      <c r="E495" s="12"/>
      <c r="F495" s="26"/>
      <c r="G495" s="12"/>
      <c r="H495" s="26"/>
      <c r="I495" s="26"/>
      <c r="J495" s="23"/>
      <c r="K495" s="1"/>
      <c r="L495" s="26"/>
      <c r="M495" s="26"/>
      <c r="N495" s="35"/>
    </row>
    <row r="496">
      <c r="A496" s="1"/>
      <c r="B496" s="1"/>
      <c r="C496" s="39"/>
      <c r="D496" s="76"/>
      <c r="E496" s="12"/>
      <c r="F496" s="26"/>
      <c r="G496" s="12"/>
      <c r="H496" s="26"/>
      <c r="I496" s="26"/>
      <c r="J496" s="23"/>
      <c r="K496" s="1"/>
      <c r="L496" s="26"/>
      <c r="M496" s="26"/>
      <c r="N496" s="35"/>
    </row>
    <row r="497">
      <c r="A497" s="1"/>
      <c r="B497" s="1"/>
      <c r="C497" s="39"/>
      <c r="D497" s="76"/>
      <c r="E497" s="12"/>
      <c r="F497" s="26"/>
      <c r="G497" s="12"/>
      <c r="H497" s="26"/>
      <c r="I497" s="26"/>
      <c r="J497" s="23"/>
      <c r="K497" s="1"/>
      <c r="L497" s="26"/>
      <c r="M497" s="26"/>
      <c r="N497" s="35"/>
    </row>
    <row r="498">
      <c r="A498" s="1"/>
      <c r="B498" s="1"/>
      <c r="C498" s="39"/>
      <c r="D498" s="76"/>
      <c r="E498" s="12"/>
      <c r="F498" s="26"/>
      <c r="G498" s="12"/>
      <c r="H498" s="26"/>
      <c r="I498" s="26"/>
      <c r="J498" s="23"/>
      <c r="K498" s="1"/>
      <c r="L498" s="26"/>
      <c r="M498" s="26"/>
      <c r="N498" s="35"/>
    </row>
    <row r="499">
      <c r="A499" s="1"/>
      <c r="B499" s="1"/>
      <c r="C499" s="39"/>
      <c r="D499" s="76"/>
      <c r="E499" s="12"/>
      <c r="F499" s="26"/>
      <c r="G499" s="12"/>
      <c r="H499" s="26"/>
      <c r="I499" s="26"/>
      <c r="J499" s="23"/>
      <c r="K499" s="1"/>
      <c r="L499" s="26"/>
      <c r="M499" s="26"/>
      <c r="N499" s="35"/>
    </row>
    <row r="500">
      <c r="A500" s="1"/>
      <c r="B500" s="1"/>
      <c r="C500" s="39"/>
      <c r="D500" s="76"/>
      <c r="E500" s="12"/>
      <c r="F500" s="26"/>
      <c r="G500" s="12"/>
      <c r="H500" s="26"/>
      <c r="I500" s="26"/>
      <c r="J500" s="23"/>
      <c r="K500" s="1"/>
      <c r="L500" s="26"/>
      <c r="M500" s="26"/>
      <c r="N500" s="35"/>
    </row>
    <row r="501">
      <c r="A501" s="1"/>
      <c r="B501" s="1"/>
      <c r="C501" s="39"/>
      <c r="D501" s="76"/>
      <c r="E501" s="12"/>
      <c r="F501" s="26"/>
      <c r="G501" s="12"/>
      <c r="H501" s="26"/>
      <c r="I501" s="26"/>
      <c r="J501" s="23"/>
      <c r="K501" s="1"/>
      <c r="L501" s="26"/>
      <c r="M501" s="26"/>
      <c r="N501" s="35"/>
    </row>
    <row r="502">
      <c r="A502" s="1"/>
      <c r="B502" s="1"/>
      <c r="C502" s="39"/>
      <c r="D502" s="76"/>
      <c r="E502" s="12"/>
      <c r="F502" s="26"/>
      <c r="G502" s="12"/>
      <c r="H502" s="26"/>
      <c r="I502" s="26"/>
      <c r="J502" s="23"/>
      <c r="K502" s="1"/>
      <c r="L502" s="26"/>
      <c r="M502" s="26"/>
      <c r="N502" s="35"/>
    </row>
    <row r="503">
      <c r="A503" s="1"/>
      <c r="B503" s="1"/>
      <c r="C503" s="65"/>
      <c r="D503" s="69"/>
      <c r="E503" s="12"/>
      <c r="F503" s="26"/>
      <c r="G503" s="12"/>
      <c r="H503" s="26"/>
      <c r="I503" s="26"/>
      <c r="J503" s="23"/>
      <c r="K503" s="1"/>
      <c r="L503" s="26"/>
      <c r="M503" s="26"/>
      <c r="N503" s="35"/>
    </row>
    <row r="504">
      <c r="A504" s="1"/>
      <c r="B504" s="1"/>
      <c r="C504" s="1"/>
      <c r="D504" s="26"/>
      <c r="E504" s="12"/>
      <c r="F504" s="26"/>
      <c r="G504" s="12"/>
      <c r="H504" s="26"/>
      <c r="I504" s="26"/>
      <c r="J504" s="23"/>
      <c r="K504" s="1"/>
      <c r="L504" s="26"/>
      <c r="M504" s="26"/>
      <c r="N504" s="35"/>
    </row>
    <row r="505">
      <c r="A505" s="1"/>
      <c r="B505" s="1"/>
      <c r="C505" s="1"/>
      <c r="D505" s="26"/>
      <c r="E505" s="12"/>
      <c r="F505" s="26"/>
      <c r="G505" s="12"/>
      <c r="H505" s="26"/>
      <c r="I505" s="26"/>
      <c r="J505" s="23"/>
      <c r="K505" s="1"/>
      <c r="L505" s="26"/>
      <c r="M505" s="26"/>
      <c r="N505" s="35"/>
    </row>
    <row r="506">
      <c r="A506" s="1"/>
      <c r="B506" s="1"/>
      <c r="C506" s="1"/>
      <c r="D506" s="26"/>
      <c r="E506" s="12"/>
      <c r="F506" s="26"/>
      <c r="G506" s="12"/>
      <c r="H506" s="26"/>
      <c r="I506" s="26"/>
      <c r="J506" s="23"/>
      <c r="K506" s="1"/>
      <c r="L506" s="26"/>
      <c r="M506" s="26"/>
      <c r="N506" s="35"/>
    </row>
    <row r="507">
      <c r="A507" s="1"/>
      <c r="B507" s="1"/>
      <c r="C507" s="1"/>
      <c r="D507" s="26"/>
      <c r="E507" s="12"/>
      <c r="F507" s="26"/>
      <c r="G507" s="12"/>
      <c r="H507" s="26"/>
      <c r="I507" s="26"/>
      <c r="J507" s="23"/>
      <c r="K507" s="1"/>
      <c r="L507" s="26"/>
      <c r="M507" s="26"/>
      <c r="N507" s="35"/>
    </row>
    <row r="508">
      <c r="A508" s="1"/>
      <c r="B508" s="1"/>
      <c r="C508" s="1"/>
      <c r="D508" s="26"/>
      <c r="E508" s="12"/>
      <c r="F508" s="26"/>
      <c r="G508" s="12"/>
      <c r="H508" s="26"/>
      <c r="I508" s="26"/>
      <c r="J508" s="23"/>
      <c r="K508" s="1"/>
      <c r="L508" s="26"/>
      <c r="M508" s="26"/>
      <c r="N508" s="35"/>
    </row>
    <row r="509">
      <c r="A509" s="1"/>
      <c r="B509" s="1"/>
      <c r="C509" s="1"/>
      <c r="D509" s="26"/>
      <c r="E509" s="12"/>
      <c r="F509" s="26"/>
      <c r="G509" s="12"/>
      <c r="H509" s="26"/>
      <c r="I509" s="26"/>
      <c r="J509" s="23"/>
      <c r="K509" s="1"/>
      <c r="L509" s="26"/>
      <c r="M509" s="26"/>
      <c r="N509" s="35"/>
    </row>
    <row r="510">
      <c r="A510" s="1"/>
      <c r="B510" s="1"/>
      <c r="C510" s="1"/>
      <c r="D510" s="26"/>
      <c r="E510" s="12"/>
      <c r="F510" s="26"/>
      <c r="G510" s="12"/>
      <c r="H510" s="26"/>
      <c r="I510" s="26"/>
      <c r="J510" s="23"/>
      <c r="K510" s="1"/>
      <c r="L510" s="26"/>
      <c r="M510" s="26"/>
      <c r="N510" s="35"/>
    </row>
    <row r="511">
      <c r="A511" s="1"/>
      <c r="B511" s="1"/>
      <c r="C511" s="1"/>
      <c r="D511" s="26"/>
      <c r="E511" s="12"/>
      <c r="F511" s="26"/>
      <c r="G511" s="12"/>
      <c r="H511" s="26"/>
      <c r="I511" s="26"/>
      <c r="J511" s="23"/>
      <c r="K511" s="1"/>
      <c r="L511" s="26"/>
      <c r="M511" s="26"/>
      <c r="N511" s="35"/>
    </row>
    <row r="512">
      <c r="A512" s="1"/>
      <c r="B512" s="1"/>
      <c r="C512" s="1"/>
      <c r="D512" s="26"/>
      <c r="E512" s="12"/>
      <c r="F512" s="26"/>
      <c r="G512" s="12"/>
      <c r="H512" s="26"/>
      <c r="I512" s="26"/>
      <c r="J512" s="23"/>
      <c r="K512" s="1"/>
      <c r="L512" s="26"/>
      <c r="M512" s="26"/>
      <c r="N512" s="35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  <c r="N513" s="35"/>
    </row>
    <row r="514">
      <c r="A514" s="1"/>
      <c r="B514" s="1"/>
      <c r="C514" s="23"/>
      <c r="D514" s="23"/>
      <c r="E514" s="23"/>
      <c r="F514" s="1"/>
      <c r="G514" s="23"/>
      <c r="H514" s="23"/>
      <c r="I514" s="1"/>
      <c r="J514" s="1"/>
      <c r="K514" s="1"/>
      <c r="N514" s="35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  <c r="N515" s="35"/>
    </row>
    <row r="516">
      <c r="A516" s="1"/>
      <c r="B516" s="1"/>
      <c r="C516" s="23"/>
      <c r="D516" s="23"/>
      <c r="E516" s="23"/>
      <c r="F516" s="1"/>
      <c r="G516" s="23"/>
      <c r="H516" s="23"/>
      <c r="I516" s="1"/>
      <c r="J516" s="1"/>
      <c r="K516" s="1"/>
      <c r="N516" s="35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  <c r="N517" s="35"/>
    </row>
    <row r="518">
      <c r="A518" s="1"/>
      <c r="B518" s="1"/>
      <c r="C518" s="23"/>
      <c r="D518" s="23"/>
      <c r="E518" s="23"/>
      <c r="F518" s="1"/>
      <c r="G518" s="23"/>
      <c r="H518" s="23"/>
      <c r="I518" s="1"/>
      <c r="J518" s="1"/>
      <c r="K518" s="1"/>
      <c r="N518" s="35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  <c r="N519" s="35"/>
    </row>
    <row r="520">
      <c r="A520" s="1"/>
      <c r="B520" s="1"/>
      <c r="C520" s="26"/>
      <c r="D520" s="23"/>
      <c r="E520" s="23"/>
      <c r="F520" s="1"/>
      <c r="G520" s="23"/>
      <c r="H520" s="23"/>
      <c r="I520" s="1"/>
      <c r="J520" s="1"/>
      <c r="K520" s="1"/>
      <c r="N520" s="35"/>
    </row>
    <row r="521">
      <c r="A521" s="1"/>
      <c r="B521" s="1"/>
      <c r="C521" s="26"/>
      <c r="D521" s="23"/>
      <c r="E521" s="23"/>
      <c r="F521" s="1"/>
      <c r="G521" s="23"/>
      <c r="H521" s="23"/>
      <c r="I521" s="1"/>
      <c r="J521" s="1"/>
      <c r="K521" s="1"/>
      <c r="N521" s="35"/>
    </row>
    <row r="522">
      <c r="A522" s="1"/>
      <c r="B522" s="1"/>
      <c r="C522" s="26"/>
      <c r="D522" s="23"/>
      <c r="E522" s="23"/>
      <c r="F522" s="1"/>
      <c r="G522" s="23"/>
      <c r="H522" s="23"/>
      <c r="I522" s="1"/>
      <c r="J522" s="1"/>
      <c r="K522" s="1"/>
      <c r="N522" s="35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  <c r="N523" s="35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  <c r="N524" s="35"/>
    </row>
    <row r="525">
      <c r="A525" s="1"/>
      <c r="B525" s="1"/>
      <c r="C525" s="23"/>
      <c r="D525" s="23"/>
      <c r="E525" s="23"/>
      <c r="F525" s="1"/>
      <c r="G525" s="23"/>
      <c r="H525" s="23"/>
      <c r="I525" s="1"/>
      <c r="J525" s="1"/>
      <c r="K525" s="1"/>
      <c r="N525" s="35"/>
    </row>
    <row r="526">
      <c r="A526" s="1"/>
      <c r="B526" s="1"/>
      <c r="C526" s="23"/>
      <c r="D526" s="23"/>
      <c r="E526" s="23"/>
      <c r="F526" s="1"/>
      <c r="G526" s="23"/>
      <c r="H526" s="23"/>
      <c r="I526" s="1"/>
      <c r="J526" s="1"/>
      <c r="K526" s="1"/>
      <c r="N526" s="35"/>
    </row>
    <row r="527">
      <c r="A527" s="1"/>
      <c r="B527" s="1"/>
      <c r="C527" s="23"/>
      <c r="D527" s="23"/>
      <c r="E527" s="23"/>
      <c r="F527" s="1"/>
      <c r="G527" s="23"/>
      <c r="H527" s="23"/>
      <c r="I527" s="1"/>
      <c r="J527" s="1"/>
      <c r="K527" s="1"/>
      <c r="N527" s="35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  <c r="N528" s="35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  <c r="N529" s="35"/>
    </row>
    <row r="530">
      <c r="A530" s="1"/>
      <c r="B530" s="1"/>
      <c r="C530" s="26"/>
      <c r="D530" s="23"/>
      <c r="E530" s="23"/>
      <c r="F530" s="1"/>
      <c r="G530" s="23"/>
      <c r="H530" s="23"/>
      <c r="I530" s="1"/>
      <c r="J530" s="1"/>
      <c r="K530" s="1"/>
      <c r="N530" s="35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  <c r="N531" s="35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  <c r="N532" s="35"/>
    </row>
    <row r="533">
      <c r="A533" s="1"/>
      <c r="B533" s="1"/>
      <c r="C533" s="23"/>
      <c r="D533" s="23"/>
      <c r="E533" s="23"/>
      <c r="F533" s="1"/>
      <c r="G533" s="23"/>
      <c r="H533" s="23"/>
      <c r="I533" s="1"/>
      <c r="J533" s="1"/>
      <c r="K533" s="1"/>
      <c r="N533" s="35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  <c r="N534" s="35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  <c r="N535" s="35"/>
    </row>
    <row r="536">
      <c r="A536" s="1"/>
      <c r="B536" s="1"/>
      <c r="C536" s="23"/>
      <c r="D536" s="23"/>
      <c r="E536" s="26"/>
      <c r="F536" s="1"/>
      <c r="G536" s="23"/>
      <c r="H536" s="23"/>
      <c r="I536" s="1"/>
      <c r="J536" s="1"/>
      <c r="K536" s="1"/>
      <c r="N536" s="35"/>
    </row>
    <row r="537">
      <c r="A537" s="1"/>
      <c r="B537" s="1"/>
      <c r="C537" s="23"/>
      <c r="D537" s="23"/>
      <c r="E537" s="26"/>
      <c r="F537" s="1"/>
      <c r="G537" s="23"/>
      <c r="H537" s="23"/>
      <c r="I537" s="1"/>
      <c r="J537" s="1"/>
      <c r="K537" s="1"/>
      <c r="N537" s="35"/>
    </row>
    <row r="538">
      <c r="A538" s="1"/>
      <c r="B538" s="1"/>
      <c r="C538" s="23"/>
      <c r="D538" s="23"/>
      <c r="E538" s="26"/>
      <c r="F538" s="1"/>
      <c r="G538" s="23"/>
      <c r="H538" s="23"/>
      <c r="I538" s="1"/>
      <c r="J538" s="1"/>
      <c r="K538" s="1"/>
      <c r="N538" s="35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  <c r="N539" s="35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  <c r="N540" s="35"/>
    </row>
    <row r="541">
      <c r="A541" s="1"/>
      <c r="B541" s="1"/>
      <c r="C541" s="23"/>
      <c r="D541" s="26"/>
      <c r="E541" s="23"/>
      <c r="F541" s="1"/>
      <c r="G541" s="23"/>
      <c r="H541" s="23"/>
      <c r="I541" s="1"/>
      <c r="J541" s="1"/>
      <c r="K541" s="1"/>
      <c r="N541" s="35"/>
    </row>
    <row r="542">
      <c r="A542" s="1"/>
      <c r="B542" s="1"/>
      <c r="C542" s="23"/>
      <c r="D542" s="23"/>
      <c r="E542" s="23"/>
      <c r="F542" s="1"/>
      <c r="G542" s="23"/>
      <c r="H542" s="23"/>
      <c r="I542" s="1"/>
      <c r="J542" s="1"/>
      <c r="K542" s="1"/>
      <c r="N542" s="35"/>
    </row>
    <row r="543">
      <c r="A543" s="1"/>
      <c r="B543" s="1"/>
      <c r="C543" s="23"/>
      <c r="D543" s="23"/>
      <c r="E543" s="23"/>
      <c r="F543" s="1"/>
      <c r="G543" s="23"/>
      <c r="H543" s="23"/>
      <c r="I543" s="1"/>
      <c r="J543" s="1"/>
      <c r="K543" s="1"/>
      <c r="N543" s="35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  <c r="N544" s="35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  <c r="N545" s="35"/>
    </row>
    <row r="546">
      <c r="A546" s="1"/>
      <c r="B546" s="1"/>
      <c r="C546" s="26"/>
      <c r="D546" s="23"/>
      <c r="E546" s="26"/>
      <c r="F546" s="1"/>
      <c r="G546" s="23"/>
      <c r="H546" s="23"/>
      <c r="I546" s="1"/>
      <c r="J546" s="1"/>
      <c r="K546" s="1"/>
      <c r="N546" s="35"/>
    </row>
    <row r="547">
      <c r="A547" s="1"/>
      <c r="B547" s="1"/>
      <c r="C547" s="23"/>
      <c r="D547" s="23"/>
      <c r="E547" s="26"/>
      <c r="F547" s="1"/>
      <c r="G547" s="23"/>
      <c r="H547" s="23"/>
      <c r="I547" s="1"/>
      <c r="J547" s="1"/>
      <c r="K547" s="1"/>
      <c r="N547" s="35"/>
    </row>
    <row r="548">
      <c r="A548" s="1"/>
      <c r="B548" s="1"/>
      <c r="C548" s="23"/>
      <c r="D548" s="23"/>
      <c r="E548" s="26"/>
      <c r="F548" s="1"/>
      <c r="G548" s="23"/>
      <c r="H548" s="23"/>
      <c r="I548" s="1"/>
      <c r="J548" s="1"/>
      <c r="K548" s="1"/>
      <c r="N548" s="35"/>
    </row>
    <row r="549">
      <c r="A549" s="1"/>
      <c r="B549" s="1"/>
      <c r="C549" s="23"/>
      <c r="D549" s="23"/>
      <c r="E549" s="26"/>
      <c r="F549" s="1"/>
      <c r="G549" s="23"/>
      <c r="H549" s="23"/>
      <c r="I549" s="1"/>
      <c r="J549" s="1"/>
      <c r="K549" s="1"/>
      <c r="N549" s="35"/>
    </row>
    <row r="550">
      <c r="A550" s="1"/>
      <c r="B550" s="1"/>
      <c r="C550" s="23"/>
      <c r="D550" s="23"/>
      <c r="E550" s="23"/>
      <c r="F550" s="1"/>
      <c r="G550" s="23"/>
      <c r="H550" s="23"/>
      <c r="I550" s="1"/>
      <c r="J550" s="1"/>
      <c r="K550" s="1"/>
      <c r="N550" s="35"/>
    </row>
    <row r="551">
      <c r="A551" s="1"/>
      <c r="B551" s="1"/>
      <c r="C551" s="23"/>
      <c r="D551" s="23"/>
      <c r="E551" s="23"/>
      <c r="F551" s="1"/>
      <c r="G551" s="23"/>
      <c r="H551" s="23"/>
      <c r="I551" s="1"/>
      <c r="J551" s="1"/>
      <c r="K551" s="1"/>
      <c r="N551" s="35"/>
    </row>
    <row r="552">
      <c r="A552" s="1"/>
      <c r="B552" s="1"/>
      <c r="C552" s="23"/>
      <c r="D552" s="23"/>
      <c r="E552" s="23"/>
      <c r="F552" s="1"/>
      <c r="G552" s="23"/>
      <c r="H552" s="23"/>
      <c r="I552" s="1"/>
      <c r="J552" s="1"/>
      <c r="K552" s="1"/>
      <c r="N552" s="35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  <c r="N553" s="35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  <c r="N554" s="35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  <c r="N555" s="35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  <c r="N556" s="35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  <c r="N557" s="35"/>
    </row>
    <row r="558">
      <c r="A558" s="1"/>
      <c r="B558" s="1"/>
      <c r="C558" s="23"/>
      <c r="D558" s="26"/>
      <c r="E558" s="23"/>
      <c r="F558" s="1"/>
      <c r="G558" s="23"/>
      <c r="H558" s="23"/>
      <c r="I558" s="1"/>
      <c r="J558" s="1"/>
      <c r="K558" s="1"/>
      <c r="N558" s="35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  <c r="N559" s="35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  <c r="N560" s="35"/>
    </row>
    <row r="561">
      <c r="A561" s="1"/>
      <c r="B561" s="1"/>
      <c r="C561" s="23"/>
      <c r="D561" s="23"/>
      <c r="E561" s="23"/>
      <c r="F561" s="1"/>
      <c r="G561" s="23"/>
      <c r="H561" s="23"/>
      <c r="I561" s="1"/>
      <c r="J561" s="1"/>
      <c r="K561" s="1"/>
      <c r="N561" s="35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  <c r="N562" s="35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  <c r="N563" s="35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  <c r="N564" s="35"/>
    </row>
    <row r="565">
      <c r="A565" s="1"/>
      <c r="B565" s="1"/>
      <c r="C565" s="26"/>
      <c r="D565" s="23"/>
      <c r="E565" s="23"/>
      <c r="F565" s="1"/>
      <c r="G565" s="23"/>
      <c r="H565" s="23"/>
      <c r="I565" s="1"/>
      <c r="J565" s="1"/>
      <c r="K565" s="1"/>
      <c r="N565" s="35"/>
    </row>
    <row r="566">
      <c r="A566" s="1"/>
      <c r="B566" s="1"/>
      <c r="C566" s="26"/>
      <c r="D566" s="23"/>
      <c r="E566" s="23"/>
      <c r="F566" s="1"/>
      <c r="G566" s="23"/>
      <c r="H566" s="23"/>
      <c r="I566" s="1"/>
      <c r="J566" s="1"/>
      <c r="K566" s="1"/>
      <c r="N566" s="35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  <c r="N567" s="35"/>
    </row>
    <row r="568">
      <c r="A568" s="1"/>
      <c r="B568" s="1"/>
      <c r="C568" s="23"/>
      <c r="D568" s="23"/>
      <c r="E568" s="23"/>
      <c r="F568" s="1"/>
      <c r="G568" s="23"/>
      <c r="H568" s="23"/>
      <c r="I568" s="1"/>
      <c r="J568" s="1"/>
      <c r="K568" s="1"/>
      <c r="N568" s="35"/>
    </row>
    <row r="569">
      <c r="A569" s="1"/>
      <c r="B569" s="1"/>
      <c r="C569" s="23"/>
      <c r="D569" s="23"/>
      <c r="E569" s="23"/>
      <c r="F569" s="1"/>
      <c r="G569" s="23"/>
      <c r="H569" s="23"/>
      <c r="I569" s="1"/>
      <c r="J569" s="1"/>
      <c r="K569" s="1"/>
      <c r="N569" s="35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  <c r="N570" s="35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  <c r="N571" s="35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  <c r="N572" s="35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  <c r="N573" s="35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  <c r="N574" s="35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  <c r="N575" s="35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  <c r="N576" s="35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  <c r="N577" s="35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  <c r="N578" s="35"/>
    </row>
    <row r="579">
      <c r="A579" s="1"/>
      <c r="B579" s="1"/>
      <c r="C579" s="26"/>
      <c r="D579" s="23"/>
      <c r="E579" s="23"/>
      <c r="F579" s="1"/>
      <c r="G579" s="23"/>
      <c r="H579" s="23"/>
      <c r="I579" s="1"/>
      <c r="J579" s="1"/>
      <c r="K579" s="1"/>
      <c r="N579" s="35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  <c r="N580" s="35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N581" s="35"/>
    </row>
    <row r="582">
      <c r="A582" s="1"/>
      <c r="B582" s="1"/>
      <c r="C582" s="23"/>
      <c r="D582" s="23"/>
      <c r="E582" s="23"/>
      <c r="F582" s="1"/>
      <c r="G582" s="23"/>
      <c r="H582" s="23"/>
      <c r="I582" s="1"/>
      <c r="J582" s="1"/>
      <c r="N582" s="35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N583" s="35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  <c r="N584" s="35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  <c r="N585" s="35"/>
    </row>
    <row r="586">
      <c r="A586" s="1"/>
      <c r="B586" s="1"/>
      <c r="C586" s="26"/>
      <c r="D586" s="23"/>
      <c r="E586" s="23"/>
      <c r="F586" s="1"/>
      <c r="G586" s="23"/>
      <c r="H586" s="23"/>
      <c r="I586" s="1"/>
      <c r="J586" s="1"/>
      <c r="N586" s="35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  <c r="N587" s="35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  <c r="N588" s="35"/>
    </row>
    <row r="589">
      <c r="A589" s="1"/>
      <c r="B589" s="1"/>
      <c r="C589" s="23"/>
      <c r="D589" s="23"/>
      <c r="E589" s="23"/>
      <c r="F589" s="1"/>
      <c r="G589" s="23"/>
      <c r="H589" s="23"/>
      <c r="I589" s="1"/>
      <c r="J589" s="1"/>
      <c r="N589" s="35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  <c r="N590" s="35"/>
    </row>
    <row r="591">
      <c r="A591" s="1"/>
    </row>
    <row r="592">
      <c r="A592" s="1"/>
      <c r="B592" s="1"/>
      <c r="C592" s="26"/>
      <c r="D592" s="23"/>
      <c r="E592" s="23"/>
      <c r="F592" s="1"/>
      <c r="G592" s="23"/>
      <c r="H592" s="23"/>
      <c r="I592" s="1"/>
      <c r="J592" s="1"/>
      <c r="N592" s="35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  <c r="N593" s="35"/>
    </row>
    <row r="594">
      <c r="A594" s="1"/>
      <c r="B594" s="1"/>
      <c r="C594" s="23"/>
      <c r="D594" s="23"/>
      <c r="E594" s="23"/>
      <c r="F594" s="1"/>
      <c r="G594" s="23"/>
      <c r="H594" s="23"/>
      <c r="I594" s="1"/>
      <c r="J594" s="1"/>
      <c r="N594" s="35"/>
    </row>
    <row r="595">
      <c r="A595" s="1"/>
      <c r="B595" s="1"/>
      <c r="C595" s="23"/>
      <c r="D595" s="23"/>
      <c r="E595" s="23"/>
      <c r="F595" s="1"/>
      <c r="G595" s="23"/>
      <c r="H595" s="23"/>
      <c r="I595" s="1"/>
      <c r="J595" s="1"/>
      <c r="N595" s="35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  <c r="N596" s="35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  <c r="N597" s="35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  <c r="N598" s="35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  <c r="N599" s="35"/>
    </row>
    <row r="600">
      <c r="A600" s="1"/>
      <c r="B600" s="1"/>
      <c r="C600" s="23"/>
      <c r="D600" s="26"/>
      <c r="E600" s="23"/>
      <c r="F600" s="1"/>
      <c r="G600" s="23"/>
      <c r="H600" s="23"/>
      <c r="I600" s="1"/>
      <c r="J600" s="1"/>
      <c r="N600" s="35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  <c r="N601" s="35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  <c r="N602" s="35"/>
    </row>
    <row r="603">
      <c r="A603" s="1"/>
      <c r="B603" s="1"/>
      <c r="C603" s="23"/>
      <c r="D603" s="23"/>
      <c r="E603" s="23"/>
      <c r="F603" s="1"/>
      <c r="G603" s="23"/>
      <c r="H603" s="23"/>
      <c r="I603" s="1"/>
      <c r="J603" s="1"/>
      <c r="N603" s="35"/>
    </row>
    <row r="604">
      <c r="A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  <c r="N605" s="35"/>
    </row>
    <row r="606">
      <c r="A606" s="1"/>
    </row>
    <row r="607">
      <c r="A607" s="1"/>
      <c r="B607" s="1"/>
      <c r="C607" s="23"/>
      <c r="D607" s="23"/>
      <c r="E607" s="23"/>
      <c r="F607" s="1"/>
      <c r="G607" s="23"/>
      <c r="H607" s="23"/>
      <c r="I607" s="1"/>
      <c r="J607" s="1"/>
      <c r="N607" s="35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  <c r="N608" s="35"/>
    </row>
    <row r="609">
      <c r="A609" s="1"/>
      <c r="B609" s="1"/>
      <c r="C609" s="26"/>
      <c r="D609" s="26"/>
      <c r="E609" s="23"/>
      <c r="F609" s="1"/>
      <c r="G609" s="23"/>
      <c r="H609" s="23"/>
      <c r="I609" s="1"/>
      <c r="J609" s="1"/>
      <c r="N609" s="35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  <c r="N610" s="35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  <c r="N611" s="35"/>
    </row>
    <row r="612">
      <c r="A612" s="1"/>
      <c r="B612" s="1"/>
      <c r="C612" s="23"/>
      <c r="D612" s="23"/>
      <c r="E612" s="23"/>
      <c r="F612" s="1"/>
      <c r="G612" s="23"/>
      <c r="H612" s="23"/>
      <c r="I612" s="1"/>
      <c r="J612" s="1"/>
      <c r="N612" s="35"/>
    </row>
    <row r="613">
      <c r="A613" s="1"/>
      <c r="B613" s="1"/>
      <c r="C613" s="26"/>
      <c r="D613" s="23"/>
      <c r="E613" s="23"/>
      <c r="F613" s="1"/>
      <c r="G613" s="23"/>
      <c r="H613" s="23"/>
      <c r="I613" s="1"/>
      <c r="J613" s="1"/>
      <c r="N613" s="35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  <c r="N614" s="35"/>
    </row>
    <row r="615">
      <c r="A615" s="1"/>
    </row>
    <row r="616">
      <c r="A616" s="1"/>
      <c r="B616" s="1"/>
      <c r="C616" s="23"/>
      <c r="D616" s="23"/>
      <c r="E616" s="23"/>
      <c r="F616" s="1"/>
      <c r="G616" s="23"/>
      <c r="H616" s="23"/>
      <c r="I616" s="1"/>
      <c r="J616" s="1"/>
      <c r="N616" s="35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  <c r="N617" s="35"/>
    </row>
    <row r="618">
      <c r="A618" s="1"/>
      <c r="B618" s="1"/>
      <c r="C618" s="23"/>
      <c r="D618" s="23"/>
      <c r="E618" s="23"/>
      <c r="F618" s="1"/>
      <c r="G618" s="23"/>
      <c r="H618" s="23"/>
      <c r="I618" s="1"/>
      <c r="J618" s="1"/>
      <c r="N618" s="35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  <c r="N619" s="35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  <c r="N620" s="35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  <c r="N621" s="35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  <c r="N622" s="35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  <c r="N623" s="35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  <c r="N624" s="35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  <c r="N625" s="35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  <c r="N626" s="35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  <c r="N627" s="35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  <c r="N628" s="35"/>
    </row>
    <row r="629">
      <c r="A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  <c r="N630" s="35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  <c r="N631" s="35"/>
    </row>
    <row r="632">
      <c r="A632" s="1"/>
      <c r="B632" s="1"/>
      <c r="C632" s="23"/>
      <c r="D632" s="23"/>
      <c r="E632" s="23"/>
      <c r="F632" s="1"/>
      <c r="G632" s="23"/>
      <c r="H632" s="23"/>
      <c r="I632" s="1"/>
      <c r="J632" s="1"/>
      <c r="N632" s="35"/>
    </row>
    <row r="633">
      <c r="A633" s="1"/>
      <c r="B633" s="1"/>
      <c r="C633" s="26"/>
      <c r="D633" s="23"/>
      <c r="E633" s="26"/>
      <c r="F633" s="1"/>
      <c r="G633" s="23"/>
      <c r="H633" s="23"/>
      <c r="I633" s="1"/>
      <c r="J633" s="1"/>
      <c r="N633" s="35"/>
    </row>
    <row r="634">
      <c r="A634" s="1"/>
      <c r="B634" s="1"/>
      <c r="C634" s="26"/>
      <c r="D634" s="23"/>
      <c r="E634" s="26"/>
      <c r="F634" s="1"/>
      <c r="G634" s="23"/>
      <c r="H634" s="23"/>
      <c r="I634" s="1"/>
      <c r="J634" s="1"/>
      <c r="N634" s="35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  <c r="N635" s="35"/>
    </row>
    <row r="636">
      <c r="A636" s="1"/>
      <c r="B636" s="1"/>
      <c r="C636" s="23"/>
      <c r="D636" s="23"/>
      <c r="E636" s="23"/>
      <c r="F636" s="1"/>
      <c r="G636" s="23"/>
      <c r="H636" s="23"/>
      <c r="I636" s="1"/>
      <c r="J636" s="1"/>
      <c r="N636" s="35"/>
    </row>
    <row r="637">
      <c r="A637" s="1"/>
      <c r="B637" s="1"/>
      <c r="C637" s="23"/>
      <c r="D637" s="23"/>
      <c r="E637" s="23"/>
      <c r="F637" s="1"/>
      <c r="G637" s="23"/>
      <c r="H637" s="23"/>
      <c r="I637" s="1"/>
      <c r="J637" s="1"/>
      <c r="N637" s="35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  <c r="N638" s="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4</v>
      </c>
      <c r="B1" s="40" t="str">
        <f t="shared" ref="B1:K1" si="1">B9</f>
        <v>Intelligence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40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Stamina</v>
      </c>
    </row>
    <row r="2">
      <c r="A2" s="41" t="s">
        <v>111</v>
      </c>
      <c r="B2" s="42">
        <f t="shared" ref="B2:G2" si="2">Average(B7:B1001)</f>
        <v>19662.99669</v>
      </c>
      <c r="C2" s="43">
        <f t="shared" si="2"/>
        <v>15.53331126</v>
      </c>
      <c r="D2" s="43">
        <f t="shared" si="2"/>
        <v>17.38638742</v>
      </c>
      <c r="E2" s="43">
        <f t="shared" si="2"/>
        <v>1.3145</v>
      </c>
      <c r="F2" s="42">
        <f t="shared" si="2"/>
        <v>855.1701987</v>
      </c>
      <c r="G2" s="43">
        <f t="shared" si="2"/>
        <v>0.6320827815</v>
      </c>
      <c r="H2" s="43">
        <f>Average(O7:O1001)</f>
        <v>0.5840463576</v>
      </c>
      <c r="I2" s="42">
        <f t="shared" ref="I2:K2" si="3">Average(I7:I1001)</f>
        <v>347.5860927</v>
      </c>
      <c r="J2" s="42">
        <f t="shared" si="3"/>
        <v>603.2539735</v>
      </c>
      <c r="K2" s="42">
        <f t="shared" si="3"/>
        <v>29109.21854</v>
      </c>
    </row>
    <row r="3">
      <c r="A3" s="41" t="s">
        <v>112</v>
      </c>
      <c r="B3" s="42">
        <f t="shared" ref="B3:K3" si="4">Min(B7:B1001)</f>
        <v>17488</v>
      </c>
      <c r="C3" s="43">
        <f t="shared" si="4"/>
        <v>12.51</v>
      </c>
      <c r="D3" s="43">
        <f t="shared" si="4"/>
        <v>14.764</v>
      </c>
      <c r="E3" s="43">
        <f t="shared" si="4"/>
        <v>0.687</v>
      </c>
      <c r="F3" s="42">
        <f t="shared" si="4"/>
        <v>810.5</v>
      </c>
      <c r="G3" s="43">
        <f t="shared" si="4"/>
        <v>0.597</v>
      </c>
      <c r="H3" s="43">
        <f t="shared" si="4"/>
        <v>0.48</v>
      </c>
      <c r="I3" s="42">
        <f t="shared" si="4"/>
        <v>310.5</v>
      </c>
      <c r="J3" s="42">
        <f t="shared" si="4"/>
        <v>506</v>
      </c>
      <c r="K3" s="42">
        <f t="shared" si="4"/>
        <v>25860</v>
      </c>
    </row>
    <row r="4">
      <c r="A4" s="41" t="s">
        <v>113</v>
      </c>
      <c r="B4" s="42">
        <f t="shared" ref="B4:G4" si="5">Median(B7:B1001)</f>
        <v>18341</v>
      </c>
      <c r="C4" s="43">
        <f t="shared" si="5"/>
        <v>15.2265</v>
      </c>
      <c r="D4" s="43">
        <f t="shared" si="5"/>
        <v>16.8455</v>
      </c>
      <c r="E4" s="43">
        <f t="shared" si="5"/>
        <v>1.247</v>
      </c>
      <c r="F4" s="42">
        <f t="shared" si="5"/>
        <v>864.8</v>
      </c>
      <c r="G4" s="43">
        <f t="shared" si="5"/>
        <v>0.628</v>
      </c>
      <c r="H4" s="43">
        <f>Median(O7:O1001)</f>
        <v>0.52</v>
      </c>
      <c r="I4" s="42">
        <f t="shared" ref="I4:K4" si="6">Median(I7:I1001)</f>
        <v>350.5</v>
      </c>
      <c r="J4" s="42">
        <f t="shared" si="6"/>
        <v>607.7</v>
      </c>
      <c r="K4" s="42">
        <f t="shared" si="6"/>
        <v>27121</v>
      </c>
    </row>
    <row r="5">
      <c r="A5" s="41" t="s">
        <v>114</v>
      </c>
      <c r="B5" s="42">
        <f t="shared" ref="B5:K5" si="7">Max(B7:B1001)</f>
        <v>25166</v>
      </c>
      <c r="C5" s="43">
        <f t="shared" si="7"/>
        <v>17.563</v>
      </c>
      <c r="D5" s="43">
        <f t="shared" si="7"/>
        <v>23.926</v>
      </c>
      <c r="E5" s="43">
        <f t="shared" si="7"/>
        <v>2.068</v>
      </c>
      <c r="F5" s="42">
        <f t="shared" si="7"/>
        <v>864.8</v>
      </c>
      <c r="G5" s="43">
        <f t="shared" si="7"/>
        <v>0.741</v>
      </c>
      <c r="H5" s="43">
        <f t="shared" si="7"/>
        <v>1.708</v>
      </c>
      <c r="I5" s="42">
        <f t="shared" si="7"/>
        <v>350.5</v>
      </c>
      <c r="J5" s="42">
        <f t="shared" si="7"/>
        <v>647</v>
      </c>
      <c r="K5" s="42">
        <f t="shared" si="7"/>
        <v>37212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</row>
    <row r="7">
      <c r="A7" s="1"/>
      <c r="B7" s="1"/>
      <c r="C7" s="23"/>
      <c r="D7" s="23"/>
      <c r="E7" s="23"/>
      <c r="F7" s="1"/>
      <c r="G7" s="23"/>
      <c r="H7" s="23"/>
      <c r="I7" s="1"/>
      <c r="J7" s="1"/>
      <c r="K7" s="1"/>
    </row>
    <row r="8">
      <c r="A8" s="1" t="s">
        <v>513</v>
      </c>
      <c r="B8" s="1"/>
      <c r="C8" s="1"/>
      <c r="D8" s="1"/>
      <c r="E8" s="1"/>
      <c r="F8" s="1"/>
      <c r="G8" s="1"/>
      <c r="H8" s="1"/>
      <c r="I8" s="1"/>
      <c r="J8" s="1"/>
      <c r="K8" s="1"/>
      <c r="M8" s="64">
        <f>average(M10:M1001)</f>
        <v>14.71835099</v>
      </c>
    </row>
    <row r="9">
      <c r="A9" s="1" t="s">
        <v>482</v>
      </c>
      <c r="B9" s="1" t="s">
        <v>514</v>
      </c>
      <c r="C9" s="1" t="s">
        <v>23</v>
      </c>
      <c r="D9" s="1" t="s">
        <v>12</v>
      </c>
      <c r="E9" s="1" t="s">
        <v>24</v>
      </c>
      <c r="F9" s="1" t="s">
        <v>25</v>
      </c>
      <c r="G9" s="1" t="s">
        <v>26</v>
      </c>
      <c r="H9" s="1" t="s">
        <v>483</v>
      </c>
      <c r="I9" s="1" t="s">
        <v>484</v>
      </c>
      <c r="J9" s="1" t="s">
        <v>485</v>
      </c>
      <c r="K9" s="1" t="s">
        <v>486</v>
      </c>
      <c r="L9" s="1" t="s">
        <v>498</v>
      </c>
      <c r="M9" s="1" t="s">
        <v>499</v>
      </c>
      <c r="N9" s="1" t="s">
        <v>26</v>
      </c>
      <c r="O9" s="1" t="s">
        <v>483</v>
      </c>
    </row>
    <row r="10">
      <c r="A10" s="1">
        <v>0.0</v>
      </c>
      <c r="B10" s="1">
        <v>18341.0</v>
      </c>
      <c r="C10" s="23">
        <v>12.51</v>
      </c>
      <c r="D10" s="23">
        <v>15.303</v>
      </c>
      <c r="E10" s="23">
        <v>0.687</v>
      </c>
      <c r="F10" s="1">
        <v>810.5</v>
      </c>
      <c r="G10" s="23">
        <v>0.622</v>
      </c>
      <c r="H10" s="23">
        <v>0.522</v>
      </c>
      <c r="I10" s="1">
        <v>310.5</v>
      </c>
      <c r="J10" s="1">
        <v>587.9</v>
      </c>
      <c r="K10" s="1">
        <v>27121.0</v>
      </c>
      <c r="L10" s="1">
        <v>100.0</v>
      </c>
      <c r="M10" s="23">
        <v>14.53</v>
      </c>
      <c r="O10" s="23">
        <f t="shared" ref="O10:O313" si="8">if(H10&gt;100%,100%,H10)</f>
        <v>0.522</v>
      </c>
    </row>
    <row r="11">
      <c r="A11" s="1">
        <v>2.0</v>
      </c>
      <c r="B11" s="1">
        <v>18341.0</v>
      </c>
      <c r="C11" s="23">
        <v>12.532</v>
      </c>
      <c r="D11" s="23">
        <v>15.303</v>
      </c>
      <c r="E11" s="23">
        <v>1.041</v>
      </c>
      <c r="F11" s="1">
        <v>810.5</v>
      </c>
      <c r="G11" s="23">
        <v>0.622</v>
      </c>
      <c r="H11" s="23">
        <v>0.522</v>
      </c>
      <c r="I11" s="1">
        <v>318.5</v>
      </c>
      <c r="J11" s="1">
        <v>587.9</v>
      </c>
      <c r="K11" s="1">
        <v>27121.0</v>
      </c>
      <c r="L11" s="1">
        <v>100.0</v>
      </c>
      <c r="M11" s="26">
        <v>14.53</v>
      </c>
      <c r="O11" s="23">
        <f t="shared" si="8"/>
        <v>0.522</v>
      </c>
    </row>
    <row r="12">
      <c r="A12" s="1">
        <v>4.0</v>
      </c>
      <c r="B12" s="1">
        <v>18341.0</v>
      </c>
      <c r="C12" s="26">
        <v>13.818</v>
      </c>
      <c r="D12" s="23">
        <v>17.264</v>
      </c>
      <c r="E12" s="23">
        <v>1.041</v>
      </c>
      <c r="F12" s="1">
        <v>810.5</v>
      </c>
      <c r="G12" s="23">
        <v>0.622</v>
      </c>
      <c r="H12" s="23">
        <v>0.564</v>
      </c>
      <c r="I12" s="1">
        <v>318.5</v>
      </c>
      <c r="J12" s="1">
        <v>587.9</v>
      </c>
      <c r="K12" s="1">
        <v>27121.0</v>
      </c>
      <c r="L12" s="1">
        <v>100.0</v>
      </c>
      <c r="M12" s="26">
        <v>14.593</v>
      </c>
      <c r="O12" s="23">
        <f t="shared" si="8"/>
        <v>0.564</v>
      </c>
    </row>
    <row r="13">
      <c r="A13" s="1">
        <v>6.0</v>
      </c>
      <c r="B13" s="1">
        <v>21754.0</v>
      </c>
      <c r="C13" s="26">
        <v>14.629</v>
      </c>
      <c r="D13" s="23">
        <v>21.332</v>
      </c>
      <c r="E13" s="23">
        <v>1.103</v>
      </c>
      <c r="F13" s="1">
        <v>849.8</v>
      </c>
      <c r="G13" s="23">
        <v>0.615</v>
      </c>
      <c r="H13" s="23">
        <v>1.613</v>
      </c>
      <c r="I13" s="1">
        <v>322.5</v>
      </c>
      <c r="J13" s="1">
        <v>565.0</v>
      </c>
      <c r="K13" s="1">
        <v>32167.0</v>
      </c>
      <c r="L13" s="1">
        <v>100.0</v>
      </c>
      <c r="M13" s="23">
        <v>14.593</v>
      </c>
      <c r="O13" s="23">
        <f t="shared" si="8"/>
        <v>1</v>
      </c>
    </row>
    <row r="14">
      <c r="A14" s="1">
        <v>8.0</v>
      </c>
      <c r="B14" s="1">
        <v>22607.0</v>
      </c>
      <c r="C14" s="26">
        <v>15.183</v>
      </c>
      <c r="D14" s="23">
        <v>20.965</v>
      </c>
      <c r="E14" s="23">
        <v>1.103</v>
      </c>
      <c r="F14" s="1">
        <v>849.8</v>
      </c>
      <c r="G14" s="23">
        <v>0.615</v>
      </c>
      <c r="H14" s="23">
        <v>1.613</v>
      </c>
      <c r="I14" s="1">
        <v>322.5</v>
      </c>
      <c r="J14" s="1">
        <v>565.0</v>
      </c>
      <c r="K14" s="1">
        <v>33428.0</v>
      </c>
      <c r="L14" s="1">
        <v>100.0</v>
      </c>
      <c r="M14" s="23">
        <v>14.766</v>
      </c>
      <c r="O14" s="23">
        <f t="shared" si="8"/>
        <v>1</v>
      </c>
    </row>
    <row r="15">
      <c r="A15" s="1">
        <v>10.0</v>
      </c>
      <c r="B15" s="1">
        <v>22607.0</v>
      </c>
      <c r="C15" s="23">
        <v>15.43</v>
      </c>
      <c r="D15" s="23">
        <v>21.18</v>
      </c>
      <c r="E15" s="23">
        <v>1.103</v>
      </c>
      <c r="F15" s="1">
        <v>864.8</v>
      </c>
      <c r="G15" s="23">
        <v>0.615</v>
      </c>
      <c r="H15" s="23">
        <v>1.655</v>
      </c>
      <c r="I15" s="1">
        <v>322.5</v>
      </c>
      <c r="J15" s="1">
        <v>565.0</v>
      </c>
      <c r="K15" s="1">
        <v>33428.0</v>
      </c>
      <c r="L15" s="1">
        <v>100.0</v>
      </c>
      <c r="M15" s="23">
        <v>14.766</v>
      </c>
      <c r="O15" s="23">
        <f t="shared" si="8"/>
        <v>1</v>
      </c>
    </row>
    <row r="16">
      <c r="A16" s="1">
        <v>12.0</v>
      </c>
      <c r="B16" s="1">
        <v>22607.0</v>
      </c>
      <c r="C16" s="23">
        <v>15.556</v>
      </c>
      <c r="D16" s="23">
        <v>22.893</v>
      </c>
      <c r="E16" s="23">
        <v>1.103</v>
      </c>
      <c r="F16" s="1">
        <v>864.8</v>
      </c>
      <c r="G16" s="23">
        <v>0.615</v>
      </c>
      <c r="H16" s="23">
        <v>0.656</v>
      </c>
      <c r="I16" s="1">
        <v>322.5</v>
      </c>
      <c r="J16" s="1">
        <v>565.0</v>
      </c>
      <c r="K16" s="1">
        <v>33428.0</v>
      </c>
      <c r="L16" s="1">
        <v>100.0</v>
      </c>
      <c r="M16" s="23">
        <v>14.87</v>
      </c>
      <c r="O16" s="23">
        <f t="shared" si="8"/>
        <v>0.656</v>
      </c>
    </row>
    <row r="17">
      <c r="A17" s="1">
        <v>14.0</v>
      </c>
      <c r="B17" s="1">
        <v>22607.0</v>
      </c>
      <c r="C17" s="23">
        <v>15.942</v>
      </c>
      <c r="D17" s="23">
        <v>23.108</v>
      </c>
      <c r="E17" s="23">
        <v>1.223</v>
      </c>
      <c r="F17" s="1">
        <v>864.8</v>
      </c>
      <c r="G17" s="23">
        <v>0.615</v>
      </c>
      <c r="H17" s="23">
        <v>0.656</v>
      </c>
      <c r="I17" s="1">
        <v>322.5</v>
      </c>
      <c r="J17" s="1">
        <v>565.0</v>
      </c>
      <c r="K17" s="1">
        <v>33428.0</v>
      </c>
      <c r="L17" s="1">
        <v>100.0</v>
      </c>
      <c r="M17" s="26">
        <v>14.87</v>
      </c>
      <c r="O17" s="23">
        <f t="shared" si="8"/>
        <v>0.656</v>
      </c>
      <c r="P17" s="23">
        <v>0.5691</v>
      </c>
    </row>
    <row r="18">
      <c r="A18" s="1">
        <v>17.0</v>
      </c>
      <c r="B18" s="1">
        <v>22607.0</v>
      </c>
      <c r="C18" s="23">
        <v>16.075</v>
      </c>
      <c r="D18" s="23">
        <v>18.946</v>
      </c>
      <c r="E18" s="23">
        <v>1.595</v>
      </c>
      <c r="F18" s="1">
        <v>864.8</v>
      </c>
      <c r="G18" s="23">
        <v>0.615</v>
      </c>
      <c r="H18" s="23">
        <v>0.648</v>
      </c>
      <c r="I18" s="1">
        <v>322.5</v>
      </c>
      <c r="J18" s="1">
        <v>565.0</v>
      </c>
      <c r="K18" s="1">
        <v>33428.0</v>
      </c>
      <c r="L18" s="1">
        <v>100.0</v>
      </c>
      <c r="M18" s="26">
        <v>14.975</v>
      </c>
      <c r="O18" s="23">
        <f t="shared" si="8"/>
        <v>0.648</v>
      </c>
    </row>
    <row r="19">
      <c r="A19" s="1">
        <v>19.0</v>
      </c>
      <c r="B19" s="1">
        <v>22607.0</v>
      </c>
      <c r="C19" s="26">
        <v>15.445</v>
      </c>
      <c r="D19" s="23">
        <v>18.381</v>
      </c>
      <c r="E19" s="23">
        <v>1.597</v>
      </c>
      <c r="F19" s="1">
        <v>864.8</v>
      </c>
      <c r="G19" s="23">
        <v>0.615</v>
      </c>
      <c r="H19" s="23">
        <v>0.648</v>
      </c>
      <c r="I19" s="1">
        <v>326.5</v>
      </c>
      <c r="J19" s="1">
        <v>565.0</v>
      </c>
      <c r="K19" s="1">
        <v>33428.0</v>
      </c>
      <c r="L19" s="1">
        <v>100.0</v>
      </c>
      <c r="M19" s="23">
        <v>14.975</v>
      </c>
      <c r="O19" s="23">
        <f t="shared" si="8"/>
        <v>0.648</v>
      </c>
    </row>
    <row r="20">
      <c r="A20" s="1">
        <v>21.0</v>
      </c>
      <c r="B20" s="1">
        <v>22607.0</v>
      </c>
      <c r="C20" s="26">
        <v>15.084</v>
      </c>
      <c r="D20" s="23">
        <v>17.898</v>
      </c>
      <c r="E20" s="23">
        <v>1.767</v>
      </c>
      <c r="F20" s="1">
        <v>864.8</v>
      </c>
      <c r="G20" s="23">
        <v>0.615</v>
      </c>
      <c r="H20" s="23">
        <v>0.648</v>
      </c>
      <c r="I20" s="1">
        <v>326.5</v>
      </c>
      <c r="J20" s="1">
        <v>565.0</v>
      </c>
      <c r="K20" s="1">
        <v>33428.0</v>
      </c>
      <c r="L20" s="1">
        <v>100.0</v>
      </c>
      <c r="M20" s="23">
        <v>14.861</v>
      </c>
      <c r="O20" s="23">
        <f t="shared" si="8"/>
        <v>0.648</v>
      </c>
    </row>
    <row r="21">
      <c r="A21" s="1">
        <v>23.0</v>
      </c>
      <c r="B21" s="1">
        <v>19194.0</v>
      </c>
      <c r="C21" s="23">
        <v>14.295</v>
      </c>
      <c r="D21" s="23">
        <v>16.926</v>
      </c>
      <c r="E21" s="23">
        <v>1.658</v>
      </c>
      <c r="F21" s="1">
        <v>864.8</v>
      </c>
      <c r="G21" s="23">
        <v>0.615</v>
      </c>
      <c r="H21" s="23">
        <v>0.648</v>
      </c>
      <c r="I21" s="1">
        <v>326.5</v>
      </c>
      <c r="J21" s="1">
        <v>565.0</v>
      </c>
      <c r="K21" s="1">
        <v>28382.0</v>
      </c>
      <c r="L21" s="1">
        <v>100.0</v>
      </c>
      <c r="M21" s="23">
        <v>14.861</v>
      </c>
      <c r="O21" s="23">
        <f t="shared" si="8"/>
        <v>0.648</v>
      </c>
    </row>
    <row r="22">
      <c r="A22" s="1">
        <v>25.0</v>
      </c>
      <c r="B22" s="1">
        <v>18341.0</v>
      </c>
      <c r="C22" s="26">
        <v>14.245</v>
      </c>
      <c r="D22" s="23">
        <v>16.847</v>
      </c>
      <c r="E22" s="23">
        <v>1.763</v>
      </c>
      <c r="F22" s="1">
        <v>864.8</v>
      </c>
      <c r="G22" s="23">
        <v>0.615</v>
      </c>
      <c r="H22" s="23">
        <v>0.658</v>
      </c>
      <c r="I22" s="1">
        <v>326.5</v>
      </c>
      <c r="J22" s="1">
        <v>565.0</v>
      </c>
      <c r="K22" s="1">
        <v>27121.0</v>
      </c>
      <c r="L22" s="1">
        <v>100.0</v>
      </c>
      <c r="M22" s="23">
        <v>14.861</v>
      </c>
      <c r="O22" s="23">
        <f t="shared" si="8"/>
        <v>0.658</v>
      </c>
    </row>
    <row r="23">
      <c r="A23" s="1">
        <v>27.0</v>
      </c>
      <c r="B23" s="1">
        <v>18341.0</v>
      </c>
      <c r="C23" s="23">
        <v>14.484</v>
      </c>
      <c r="D23" s="23">
        <v>16.769</v>
      </c>
      <c r="E23" s="23">
        <v>1.867</v>
      </c>
      <c r="F23" s="1">
        <v>864.8</v>
      </c>
      <c r="G23" s="23">
        <v>0.615</v>
      </c>
      <c r="H23" s="23">
        <v>0.658</v>
      </c>
      <c r="I23" s="1">
        <v>326.5</v>
      </c>
      <c r="J23" s="1">
        <v>565.0</v>
      </c>
      <c r="K23" s="1">
        <v>27121.0</v>
      </c>
      <c r="L23" s="1">
        <v>100.0</v>
      </c>
      <c r="M23" s="23">
        <v>14.716</v>
      </c>
      <c r="O23" s="23">
        <f t="shared" si="8"/>
        <v>0.658</v>
      </c>
    </row>
    <row r="24">
      <c r="A24" s="1">
        <v>29.0</v>
      </c>
      <c r="B24" s="1">
        <v>18341.0</v>
      </c>
      <c r="C24" s="23">
        <v>14.635</v>
      </c>
      <c r="D24" s="23">
        <v>16.878</v>
      </c>
      <c r="E24" s="23">
        <v>1.736</v>
      </c>
      <c r="F24" s="1">
        <v>864.8</v>
      </c>
      <c r="G24" s="23">
        <v>0.615</v>
      </c>
      <c r="H24" s="23">
        <v>0.666</v>
      </c>
      <c r="I24" s="1">
        <v>326.5</v>
      </c>
      <c r="J24" s="1">
        <v>565.0</v>
      </c>
      <c r="K24" s="1">
        <v>27121.0</v>
      </c>
      <c r="L24" s="1">
        <v>100.0</v>
      </c>
      <c r="M24" s="23">
        <v>14.716</v>
      </c>
      <c r="O24" s="23">
        <f t="shared" si="8"/>
        <v>0.666</v>
      </c>
    </row>
    <row r="25">
      <c r="A25" s="1">
        <v>31.0</v>
      </c>
      <c r="B25" s="1">
        <v>18341.0</v>
      </c>
      <c r="C25" s="23">
        <v>14.318</v>
      </c>
      <c r="D25" s="23">
        <v>16.588</v>
      </c>
      <c r="E25" s="23">
        <v>1.736</v>
      </c>
      <c r="F25" s="1">
        <v>864.8</v>
      </c>
      <c r="G25" s="23">
        <v>0.641</v>
      </c>
      <c r="H25" s="23">
        <v>0.498</v>
      </c>
      <c r="I25" s="1">
        <v>326.5</v>
      </c>
      <c r="J25" s="1">
        <v>647.0</v>
      </c>
      <c r="K25" s="1">
        <v>27121.0</v>
      </c>
      <c r="L25" s="1">
        <v>100.0</v>
      </c>
      <c r="M25" s="23">
        <v>14.693</v>
      </c>
      <c r="O25" s="23">
        <f t="shared" si="8"/>
        <v>0.498</v>
      </c>
    </row>
    <row r="26">
      <c r="A26" s="1">
        <v>33.0</v>
      </c>
      <c r="B26" s="1">
        <v>18341.0</v>
      </c>
      <c r="C26" s="23">
        <v>14.295</v>
      </c>
      <c r="D26" s="23">
        <v>16.588</v>
      </c>
      <c r="E26" s="23">
        <v>1.736</v>
      </c>
      <c r="F26" s="1">
        <v>849.8</v>
      </c>
      <c r="G26" s="23">
        <v>0.641</v>
      </c>
      <c r="H26" s="23">
        <v>0.498</v>
      </c>
      <c r="I26" s="1">
        <v>326.5</v>
      </c>
      <c r="J26" s="1">
        <v>647.0</v>
      </c>
      <c r="K26" s="1">
        <v>27121.0</v>
      </c>
      <c r="L26" s="1">
        <v>100.0</v>
      </c>
      <c r="M26" s="23">
        <v>14.693</v>
      </c>
      <c r="O26" s="23">
        <f t="shared" si="8"/>
        <v>0.498</v>
      </c>
    </row>
    <row r="27">
      <c r="A27" s="1">
        <v>35.0</v>
      </c>
      <c r="B27" s="1">
        <v>17970.0</v>
      </c>
      <c r="C27" s="23">
        <v>14.135</v>
      </c>
      <c r="D27" s="23">
        <v>16.894</v>
      </c>
      <c r="E27" s="23">
        <v>1.365</v>
      </c>
      <c r="F27" s="1">
        <v>849.8</v>
      </c>
      <c r="G27" s="23">
        <v>0.641</v>
      </c>
      <c r="H27" s="23">
        <v>0.53</v>
      </c>
      <c r="I27" s="1">
        <v>326.5</v>
      </c>
      <c r="J27" s="1">
        <v>647.0</v>
      </c>
      <c r="K27" s="1">
        <v>27121.0</v>
      </c>
      <c r="L27" s="1">
        <v>100.0</v>
      </c>
      <c r="M27" s="23">
        <v>14.697</v>
      </c>
      <c r="O27" s="23">
        <f t="shared" si="8"/>
        <v>0.53</v>
      </c>
    </row>
    <row r="28">
      <c r="A28" s="1">
        <v>37.0</v>
      </c>
      <c r="B28" s="1">
        <v>18341.0</v>
      </c>
      <c r="C28" s="23">
        <v>14.083</v>
      </c>
      <c r="D28" s="23">
        <v>15.809</v>
      </c>
      <c r="E28" s="23">
        <v>1.365</v>
      </c>
      <c r="F28" s="1">
        <v>849.8</v>
      </c>
      <c r="G28" s="23">
        <v>0.641</v>
      </c>
      <c r="H28" s="23">
        <v>0.53</v>
      </c>
      <c r="I28" s="1">
        <v>326.5</v>
      </c>
      <c r="J28" s="1">
        <v>647.0</v>
      </c>
      <c r="K28" s="1">
        <v>27121.0</v>
      </c>
      <c r="L28" s="1">
        <v>100.0</v>
      </c>
      <c r="M28" s="23">
        <v>14.697</v>
      </c>
      <c r="O28" s="23">
        <f t="shared" si="8"/>
        <v>0.53</v>
      </c>
    </row>
    <row r="29">
      <c r="A29" s="1">
        <v>39.0</v>
      </c>
      <c r="B29" s="1">
        <v>18341.0</v>
      </c>
      <c r="C29" s="23">
        <v>14.048</v>
      </c>
      <c r="D29" s="23">
        <v>15.794</v>
      </c>
      <c r="E29" s="23">
        <v>1.365</v>
      </c>
      <c r="F29" s="1">
        <v>849.8</v>
      </c>
      <c r="G29" s="23">
        <v>0.641</v>
      </c>
      <c r="H29" s="23">
        <v>0.572</v>
      </c>
      <c r="I29" s="1">
        <v>326.5</v>
      </c>
      <c r="J29" s="1">
        <v>647.0</v>
      </c>
      <c r="K29" s="1">
        <v>27121.0</v>
      </c>
      <c r="L29" s="1">
        <v>100.0</v>
      </c>
      <c r="M29" s="23">
        <v>14.628</v>
      </c>
      <c r="O29" s="23">
        <f t="shared" si="8"/>
        <v>0.572</v>
      </c>
    </row>
    <row r="30">
      <c r="A30" s="1">
        <v>41.0</v>
      </c>
      <c r="B30" s="1">
        <v>18341.0</v>
      </c>
      <c r="C30" s="23">
        <v>14.556</v>
      </c>
      <c r="D30" s="26">
        <v>15.794</v>
      </c>
      <c r="E30" s="23">
        <v>1.365</v>
      </c>
      <c r="F30" s="1">
        <v>849.8</v>
      </c>
      <c r="G30" s="23">
        <v>0.641</v>
      </c>
      <c r="H30" s="23">
        <v>0.572</v>
      </c>
      <c r="I30" s="1">
        <v>326.5</v>
      </c>
      <c r="J30" s="1">
        <v>647.0</v>
      </c>
      <c r="K30" s="1">
        <v>27121.0</v>
      </c>
      <c r="L30" s="1">
        <v>100.0</v>
      </c>
      <c r="M30" s="26">
        <v>14.628</v>
      </c>
      <c r="O30" s="23">
        <f t="shared" si="8"/>
        <v>0.572</v>
      </c>
    </row>
    <row r="31">
      <c r="A31" s="1">
        <v>43.0</v>
      </c>
      <c r="B31" s="1">
        <v>18341.0</v>
      </c>
      <c r="C31" s="23">
        <v>14.614</v>
      </c>
      <c r="D31" s="26">
        <v>15.846</v>
      </c>
      <c r="E31" s="23">
        <v>1.115</v>
      </c>
      <c r="F31" s="1">
        <v>864.8</v>
      </c>
      <c r="G31" s="23">
        <v>0.641</v>
      </c>
      <c r="H31" s="23">
        <v>0.572</v>
      </c>
      <c r="I31" s="1">
        <v>326.5</v>
      </c>
      <c r="J31" s="1">
        <v>647.0</v>
      </c>
      <c r="K31" s="1">
        <v>27121.0</v>
      </c>
      <c r="L31" s="1">
        <v>100.0</v>
      </c>
      <c r="M31" s="26">
        <v>14.622</v>
      </c>
      <c r="O31" s="23">
        <f t="shared" si="8"/>
        <v>0.572</v>
      </c>
    </row>
    <row r="32">
      <c r="A32" s="1">
        <v>45.0</v>
      </c>
      <c r="B32" s="1">
        <v>18341.0</v>
      </c>
      <c r="C32" s="26">
        <v>14.847</v>
      </c>
      <c r="D32" s="23">
        <v>15.361</v>
      </c>
      <c r="E32" s="23">
        <v>1.115</v>
      </c>
      <c r="F32" s="1">
        <v>864.8</v>
      </c>
      <c r="G32" s="23">
        <v>0.641</v>
      </c>
      <c r="H32" s="23">
        <v>0.572</v>
      </c>
      <c r="I32" s="1">
        <v>326.5</v>
      </c>
      <c r="J32" s="1">
        <v>647.0</v>
      </c>
      <c r="K32" s="1">
        <v>27121.0</v>
      </c>
      <c r="L32" s="1">
        <v>100.0</v>
      </c>
      <c r="M32" s="26">
        <v>14.622</v>
      </c>
      <c r="O32" s="23">
        <f t="shared" si="8"/>
        <v>0.572</v>
      </c>
    </row>
    <row r="33">
      <c r="A33" s="1">
        <v>47.0</v>
      </c>
      <c r="B33" s="1">
        <v>20047.0</v>
      </c>
      <c r="C33" s="26">
        <v>15.006</v>
      </c>
      <c r="D33" s="23">
        <v>15.515</v>
      </c>
      <c r="E33" s="23">
        <v>1.115</v>
      </c>
      <c r="F33" s="1">
        <v>864.8</v>
      </c>
      <c r="G33" s="23">
        <v>0.615</v>
      </c>
      <c r="H33" s="23">
        <v>0.572</v>
      </c>
      <c r="I33" s="1">
        <v>326.5</v>
      </c>
      <c r="J33" s="1">
        <v>565.0</v>
      </c>
      <c r="K33" s="1">
        <v>29644.0</v>
      </c>
      <c r="L33" s="1">
        <v>100.0</v>
      </c>
      <c r="M33" s="26">
        <v>14.637</v>
      </c>
      <c r="O33" s="23">
        <f t="shared" si="8"/>
        <v>0.572</v>
      </c>
    </row>
    <row r="34">
      <c r="A34" s="1">
        <v>49.0</v>
      </c>
      <c r="B34" s="1">
        <v>20047.0</v>
      </c>
      <c r="C34" s="23">
        <v>14.994</v>
      </c>
      <c r="D34" s="23">
        <v>15.515</v>
      </c>
      <c r="E34" s="23">
        <v>1.115</v>
      </c>
      <c r="F34" s="1">
        <v>864.8</v>
      </c>
      <c r="G34" s="23">
        <v>0.615</v>
      </c>
      <c r="H34" s="23">
        <v>0.582</v>
      </c>
      <c r="I34" s="1">
        <v>326.5</v>
      </c>
      <c r="J34" s="1">
        <v>565.0</v>
      </c>
      <c r="K34" s="1">
        <v>29644.0</v>
      </c>
      <c r="L34" s="1">
        <v>100.0</v>
      </c>
      <c r="M34" s="23">
        <v>14.637</v>
      </c>
      <c r="O34" s="23">
        <f t="shared" si="8"/>
        <v>0.582</v>
      </c>
    </row>
    <row r="35">
      <c r="A35" s="1">
        <v>51.0</v>
      </c>
      <c r="B35" s="1">
        <v>20047.0</v>
      </c>
      <c r="C35" s="23">
        <v>15.011</v>
      </c>
      <c r="D35" s="23">
        <v>15.513</v>
      </c>
      <c r="E35" s="23">
        <v>1.117</v>
      </c>
      <c r="F35" s="1">
        <v>864.8</v>
      </c>
      <c r="G35" s="23">
        <v>0.615</v>
      </c>
      <c r="H35" s="23">
        <v>0.582</v>
      </c>
      <c r="I35" s="1">
        <v>330.5</v>
      </c>
      <c r="J35" s="1">
        <v>565.0</v>
      </c>
      <c r="K35" s="1">
        <v>29644.0</v>
      </c>
      <c r="L35" s="1">
        <v>100.0</v>
      </c>
      <c r="M35" s="23">
        <v>14.625</v>
      </c>
      <c r="O35" s="23">
        <f t="shared" si="8"/>
        <v>0.582</v>
      </c>
    </row>
    <row r="36">
      <c r="A36" s="1">
        <v>53.0</v>
      </c>
      <c r="B36" s="1">
        <v>20047.0</v>
      </c>
      <c r="C36" s="23">
        <v>14.953</v>
      </c>
      <c r="D36" s="23">
        <v>15.461</v>
      </c>
      <c r="E36" s="23">
        <v>0.697</v>
      </c>
      <c r="F36" s="1">
        <v>864.8</v>
      </c>
      <c r="G36" s="23">
        <v>0.615</v>
      </c>
      <c r="H36" s="23">
        <v>0.574</v>
      </c>
      <c r="I36" s="1">
        <v>330.5</v>
      </c>
      <c r="J36" s="1">
        <v>565.0</v>
      </c>
      <c r="K36" s="1">
        <v>29644.0</v>
      </c>
      <c r="L36" s="1">
        <v>100.0</v>
      </c>
      <c r="M36" s="23">
        <v>14.625</v>
      </c>
      <c r="O36" s="23">
        <f t="shared" si="8"/>
        <v>0.574</v>
      </c>
    </row>
    <row r="37">
      <c r="A37" s="1">
        <v>55.0</v>
      </c>
      <c r="B37" s="1">
        <v>20047.0</v>
      </c>
      <c r="C37" s="26">
        <v>14.83</v>
      </c>
      <c r="D37" s="23">
        <v>16.157</v>
      </c>
      <c r="E37" s="23">
        <v>0.697</v>
      </c>
      <c r="F37" s="1">
        <v>849.8</v>
      </c>
      <c r="G37" s="23">
        <v>0.615</v>
      </c>
      <c r="H37" s="23">
        <v>0.574</v>
      </c>
      <c r="I37" s="1">
        <v>330.5</v>
      </c>
      <c r="J37" s="1">
        <v>565.0</v>
      </c>
      <c r="K37" s="1">
        <v>29644.0</v>
      </c>
      <c r="L37" s="1">
        <v>100.0</v>
      </c>
      <c r="M37" s="23">
        <v>14.625</v>
      </c>
      <c r="O37" s="23">
        <f t="shared" si="8"/>
        <v>0.574</v>
      </c>
    </row>
    <row r="38">
      <c r="A38" s="1">
        <v>57.0</v>
      </c>
      <c r="B38" s="1">
        <v>20047.0</v>
      </c>
      <c r="C38" s="26">
        <v>14.831</v>
      </c>
      <c r="D38" s="23">
        <v>16.16</v>
      </c>
      <c r="E38" s="23">
        <v>1.117</v>
      </c>
      <c r="F38" s="1">
        <v>849.8</v>
      </c>
      <c r="G38" s="23">
        <v>0.615</v>
      </c>
      <c r="H38" s="23">
        <v>0.574</v>
      </c>
      <c r="I38" s="1">
        <v>330.5</v>
      </c>
      <c r="J38" s="1">
        <v>565.0</v>
      </c>
      <c r="K38" s="1">
        <v>29644.0</v>
      </c>
      <c r="L38" s="1">
        <v>100.0</v>
      </c>
      <c r="M38" s="26">
        <v>14.64</v>
      </c>
      <c r="O38" s="23">
        <f t="shared" si="8"/>
        <v>0.574</v>
      </c>
    </row>
    <row r="39">
      <c r="A39" s="1">
        <v>59.0</v>
      </c>
      <c r="B39" s="1">
        <v>20047.0</v>
      </c>
      <c r="C39" s="23">
        <v>15.195</v>
      </c>
      <c r="D39" s="23">
        <v>16.484</v>
      </c>
      <c r="E39" s="23">
        <v>1.117</v>
      </c>
      <c r="F39" s="1">
        <v>849.8</v>
      </c>
      <c r="G39" s="23">
        <v>0.615</v>
      </c>
      <c r="H39" s="23">
        <v>0.48</v>
      </c>
      <c r="I39" s="1">
        <v>330.5</v>
      </c>
      <c r="J39" s="1">
        <v>565.0</v>
      </c>
      <c r="K39" s="1">
        <v>29644.0</v>
      </c>
      <c r="L39" s="1">
        <v>100.0</v>
      </c>
      <c r="M39" s="26">
        <v>14.64</v>
      </c>
      <c r="O39" s="23">
        <f t="shared" si="8"/>
        <v>0.48</v>
      </c>
    </row>
    <row r="40">
      <c r="A40" s="1">
        <v>61.0</v>
      </c>
      <c r="B40" s="1">
        <v>20047.0</v>
      </c>
      <c r="C40" s="26">
        <v>14.778</v>
      </c>
      <c r="D40" s="23">
        <v>16.118</v>
      </c>
      <c r="E40" s="23">
        <v>1.117</v>
      </c>
      <c r="F40" s="1">
        <v>849.8</v>
      </c>
      <c r="G40" s="23">
        <v>0.615</v>
      </c>
      <c r="H40" s="23">
        <v>0.488</v>
      </c>
      <c r="I40" s="1">
        <v>330.5</v>
      </c>
      <c r="J40" s="1">
        <v>565.0</v>
      </c>
      <c r="K40" s="1">
        <v>29644.0</v>
      </c>
      <c r="L40" s="1">
        <v>100.0</v>
      </c>
      <c r="M40" s="23">
        <v>14.663</v>
      </c>
      <c r="O40" s="23">
        <f t="shared" si="8"/>
        <v>0.488</v>
      </c>
    </row>
    <row r="41">
      <c r="A41" s="1">
        <v>63.0</v>
      </c>
      <c r="B41" s="1">
        <v>18341.0</v>
      </c>
      <c r="C41" s="26">
        <v>14.625</v>
      </c>
      <c r="D41" s="23">
        <v>15.967</v>
      </c>
      <c r="E41" s="23">
        <v>1.117</v>
      </c>
      <c r="F41" s="1">
        <v>849.8</v>
      </c>
      <c r="G41" s="23">
        <v>0.641</v>
      </c>
      <c r="H41" s="23">
        <v>0.488</v>
      </c>
      <c r="I41" s="1">
        <v>330.5</v>
      </c>
      <c r="J41" s="1">
        <v>647.0</v>
      </c>
      <c r="K41" s="1">
        <v>27121.0</v>
      </c>
      <c r="L41" s="1">
        <v>100.0</v>
      </c>
      <c r="M41" s="23">
        <v>14.663</v>
      </c>
      <c r="O41" s="23">
        <f t="shared" si="8"/>
        <v>0.488</v>
      </c>
    </row>
    <row r="42">
      <c r="A42" s="1">
        <v>65.0</v>
      </c>
      <c r="B42" s="1">
        <v>18341.0</v>
      </c>
      <c r="C42" s="26">
        <v>14.87</v>
      </c>
      <c r="D42" s="23">
        <v>16.289</v>
      </c>
      <c r="E42" s="23">
        <v>1.237</v>
      </c>
      <c r="F42" s="1">
        <v>849.8</v>
      </c>
      <c r="G42" s="23">
        <v>0.641</v>
      </c>
      <c r="H42" s="26">
        <v>0.488</v>
      </c>
      <c r="I42" s="1">
        <v>330.5</v>
      </c>
      <c r="J42" s="1">
        <v>647.0</v>
      </c>
      <c r="K42" s="1">
        <v>27121.0</v>
      </c>
      <c r="L42" s="1">
        <v>100.0</v>
      </c>
      <c r="M42" s="23">
        <v>14.657</v>
      </c>
      <c r="O42" s="23">
        <f t="shared" si="8"/>
        <v>0.488</v>
      </c>
    </row>
    <row r="43">
      <c r="A43" s="1">
        <v>67.0</v>
      </c>
      <c r="B43" s="1">
        <v>18341.0</v>
      </c>
      <c r="C43" s="23">
        <v>14.815</v>
      </c>
      <c r="D43" s="23">
        <v>16.139</v>
      </c>
      <c r="E43" s="23">
        <v>0.819</v>
      </c>
      <c r="F43" s="1">
        <v>849.8</v>
      </c>
      <c r="G43" s="23">
        <v>0.641</v>
      </c>
      <c r="H43" s="23">
        <v>0.488</v>
      </c>
      <c r="I43" s="1">
        <v>334.5</v>
      </c>
      <c r="J43" s="1">
        <v>647.0</v>
      </c>
      <c r="K43" s="1">
        <v>27121.0</v>
      </c>
      <c r="L43" s="1">
        <v>100.0</v>
      </c>
      <c r="M43" s="23">
        <v>14.657</v>
      </c>
      <c r="O43" s="23">
        <f t="shared" si="8"/>
        <v>0.488</v>
      </c>
    </row>
    <row r="44">
      <c r="A44" s="1">
        <v>69.0</v>
      </c>
      <c r="B44" s="1">
        <v>18341.0</v>
      </c>
      <c r="C44" s="26">
        <v>14.837</v>
      </c>
      <c r="D44" s="23">
        <v>19.705</v>
      </c>
      <c r="E44" s="23">
        <v>1.239</v>
      </c>
      <c r="F44" s="1">
        <v>849.8</v>
      </c>
      <c r="G44" s="23">
        <v>0.641</v>
      </c>
      <c r="H44" s="23">
        <v>1.529</v>
      </c>
      <c r="I44" s="1">
        <v>334.5</v>
      </c>
      <c r="J44" s="1">
        <v>647.0</v>
      </c>
      <c r="K44" s="1">
        <v>27121.0</v>
      </c>
      <c r="L44" s="1">
        <v>100.0</v>
      </c>
      <c r="M44" s="23">
        <v>14.641</v>
      </c>
      <c r="O44" s="23">
        <f t="shared" si="8"/>
        <v>1</v>
      </c>
    </row>
    <row r="45">
      <c r="A45" s="1">
        <v>71.0</v>
      </c>
      <c r="B45" s="1">
        <v>18341.0</v>
      </c>
      <c r="C45" s="23">
        <v>14.859</v>
      </c>
      <c r="D45" s="23">
        <v>19.705</v>
      </c>
      <c r="E45" s="23">
        <v>1.241</v>
      </c>
      <c r="F45" s="1">
        <v>849.8</v>
      </c>
      <c r="G45" s="23">
        <v>0.641</v>
      </c>
      <c r="H45" s="23">
        <v>1.522</v>
      </c>
      <c r="I45" s="1">
        <v>338.5</v>
      </c>
      <c r="J45" s="1">
        <v>647.0</v>
      </c>
      <c r="K45" s="1">
        <v>27121.0</v>
      </c>
      <c r="L45" s="1">
        <v>100.0</v>
      </c>
      <c r="M45" s="23">
        <v>14.641</v>
      </c>
      <c r="O45" s="23">
        <f t="shared" si="8"/>
        <v>1</v>
      </c>
    </row>
    <row r="46">
      <c r="A46" s="1">
        <v>73.0</v>
      </c>
      <c r="B46" s="1">
        <v>18341.0</v>
      </c>
      <c r="C46" s="23">
        <v>14.871</v>
      </c>
      <c r="D46" s="23">
        <v>19.705</v>
      </c>
      <c r="E46" s="23">
        <v>1.243</v>
      </c>
      <c r="F46" s="1">
        <v>849.8</v>
      </c>
      <c r="G46" s="23">
        <v>0.641</v>
      </c>
      <c r="H46" s="23">
        <v>1.522</v>
      </c>
      <c r="I46" s="1">
        <v>342.5</v>
      </c>
      <c r="J46" s="1">
        <v>647.0</v>
      </c>
      <c r="K46" s="1">
        <v>27121.0</v>
      </c>
      <c r="L46" s="1">
        <v>100.0</v>
      </c>
      <c r="M46" s="23">
        <v>14.64</v>
      </c>
      <c r="O46" s="23">
        <f t="shared" si="8"/>
        <v>1</v>
      </c>
    </row>
    <row r="47">
      <c r="A47" s="1">
        <v>75.0</v>
      </c>
      <c r="B47" s="1">
        <v>21754.0</v>
      </c>
      <c r="C47" s="23">
        <v>15.996</v>
      </c>
      <c r="D47" s="23">
        <v>20.919</v>
      </c>
      <c r="E47" s="23">
        <v>1.245</v>
      </c>
      <c r="F47" s="1">
        <v>849.8</v>
      </c>
      <c r="G47" s="23">
        <v>0.641</v>
      </c>
      <c r="H47" s="23">
        <v>0.53</v>
      </c>
      <c r="I47" s="1">
        <v>346.5</v>
      </c>
      <c r="J47" s="1">
        <v>647.0</v>
      </c>
      <c r="K47" s="1">
        <v>32167.0</v>
      </c>
      <c r="L47" s="1">
        <v>100.0</v>
      </c>
      <c r="M47" s="23">
        <v>14.64</v>
      </c>
      <c r="O47" s="23">
        <f t="shared" si="8"/>
        <v>0.53</v>
      </c>
    </row>
    <row r="48">
      <c r="A48" s="1">
        <v>77.0</v>
      </c>
      <c r="B48" s="1">
        <v>20900.0</v>
      </c>
      <c r="C48" s="23">
        <v>16.58</v>
      </c>
      <c r="D48" s="23">
        <v>21.582</v>
      </c>
      <c r="E48" s="23">
        <v>1.245</v>
      </c>
      <c r="F48" s="1">
        <v>849.8</v>
      </c>
      <c r="G48" s="23">
        <v>0.641</v>
      </c>
      <c r="H48" s="23">
        <v>0.53</v>
      </c>
      <c r="I48" s="1">
        <v>346.5</v>
      </c>
      <c r="J48" s="1">
        <v>647.0</v>
      </c>
      <c r="K48" s="1">
        <v>30905.0</v>
      </c>
      <c r="L48" s="1">
        <v>100.0</v>
      </c>
      <c r="M48" s="23">
        <v>14.89</v>
      </c>
      <c r="O48" s="23">
        <f t="shared" si="8"/>
        <v>0.53</v>
      </c>
    </row>
    <row r="49">
      <c r="A49" s="1">
        <v>79.0</v>
      </c>
      <c r="B49" s="1">
        <v>22607.0</v>
      </c>
      <c r="C49" s="23">
        <v>17.135</v>
      </c>
      <c r="D49" s="23">
        <v>18.158</v>
      </c>
      <c r="E49" s="23">
        <v>1.245</v>
      </c>
      <c r="F49" s="1">
        <v>849.8</v>
      </c>
      <c r="G49" s="23">
        <v>0.641</v>
      </c>
      <c r="H49" s="23">
        <v>0.53</v>
      </c>
      <c r="I49" s="1">
        <v>346.5</v>
      </c>
      <c r="J49" s="1">
        <v>647.0</v>
      </c>
      <c r="K49" s="1">
        <v>33428.0</v>
      </c>
      <c r="L49" s="1">
        <v>100.0</v>
      </c>
      <c r="M49" s="23">
        <v>14.89</v>
      </c>
      <c r="O49" s="23">
        <f t="shared" si="8"/>
        <v>0.53</v>
      </c>
    </row>
    <row r="50">
      <c r="A50" s="1">
        <v>81.0</v>
      </c>
      <c r="B50" s="1">
        <v>22149.0</v>
      </c>
      <c r="C50" s="23">
        <v>17.135</v>
      </c>
      <c r="D50" s="23">
        <v>18.158</v>
      </c>
      <c r="E50" s="23">
        <v>1.127</v>
      </c>
      <c r="F50" s="1">
        <v>849.8</v>
      </c>
      <c r="G50" s="23">
        <v>0.609</v>
      </c>
      <c r="H50" s="23">
        <v>0.53</v>
      </c>
      <c r="I50" s="1">
        <v>350.5</v>
      </c>
      <c r="J50" s="1">
        <v>545.2</v>
      </c>
      <c r="K50" s="1">
        <v>33428.0</v>
      </c>
      <c r="L50" s="1">
        <v>100.0</v>
      </c>
      <c r="M50" s="23">
        <v>14.89</v>
      </c>
      <c r="O50" s="23">
        <f t="shared" si="8"/>
        <v>0.53</v>
      </c>
    </row>
    <row r="51">
      <c r="A51" s="1">
        <v>83.0</v>
      </c>
      <c r="B51" s="1">
        <v>22607.0</v>
      </c>
      <c r="C51" s="23">
        <v>17.146</v>
      </c>
      <c r="D51" s="23">
        <v>18.141</v>
      </c>
      <c r="E51" s="23">
        <v>1.127</v>
      </c>
      <c r="F51" s="1">
        <v>849.8</v>
      </c>
      <c r="G51" s="23">
        <v>0.609</v>
      </c>
      <c r="H51" s="23">
        <v>0.53</v>
      </c>
      <c r="I51" s="1">
        <v>350.5</v>
      </c>
      <c r="J51" s="1">
        <v>545.2</v>
      </c>
      <c r="K51" s="1">
        <v>33428.0</v>
      </c>
      <c r="L51" s="1">
        <v>100.0</v>
      </c>
      <c r="M51" s="23">
        <v>14.964</v>
      </c>
      <c r="O51" s="23">
        <f t="shared" si="8"/>
        <v>0.53</v>
      </c>
    </row>
    <row r="52">
      <c r="A52" s="1">
        <v>85.0</v>
      </c>
      <c r="B52" s="1">
        <v>22607.0</v>
      </c>
      <c r="C52" s="23">
        <v>17.205</v>
      </c>
      <c r="D52" s="23">
        <v>18.175</v>
      </c>
      <c r="E52" s="23">
        <v>1.127</v>
      </c>
      <c r="F52" s="1">
        <v>849.8</v>
      </c>
      <c r="G52" s="23">
        <v>0.615</v>
      </c>
      <c r="H52" s="23">
        <v>0.54</v>
      </c>
      <c r="I52" s="1">
        <v>350.5</v>
      </c>
      <c r="J52" s="1">
        <v>565.0</v>
      </c>
      <c r="K52" s="1">
        <v>33428.0</v>
      </c>
      <c r="L52" s="1">
        <v>100.0</v>
      </c>
      <c r="M52" s="23">
        <v>14.964</v>
      </c>
      <c r="O52" s="23">
        <f t="shared" si="8"/>
        <v>0.54</v>
      </c>
    </row>
    <row r="53">
      <c r="A53" s="1">
        <v>87.0</v>
      </c>
      <c r="B53" s="1">
        <v>22607.0</v>
      </c>
      <c r="C53" s="23">
        <v>17.295</v>
      </c>
      <c r="D53" s="23">
        <v>19.08</v>
      </c>
      <c r="E53" s="23">
        <v>1.127</v>
      </c>
      <c r="F53" s="1">
        <v>864.8</v>
      </c>
      <c r="G53" s="23">
        <v>0.615</v>
      </c>
      <c r="H53" s="23">
        <v>0.54</v>
      </c>
      <c r="I53" s="1">
        <v>350.5</v>
      </c>
      <c r="J53" s="1">
        <v>565.0</v>
      </c>
      <c r="K53" s="1">
        <v>33428.0</v>
      </c>
      <c r="L53" s="1">
        <v>100.0</v>
      </c>
      <c r="M53" s="23">
        <v>14.968</v>
      </c>
      <c r="O53" s="23">
        <f t="shared" si="8"/>
        <v>0.54</v>
      </c>
    </row>
    <row r="54">
      <c r="A54" s="1">
        <v>89.0</v>
      </c>
      <c r="B54" s="1">
        <v>22607.0</v>
      </c>
      <c r="C54" s="23">
        <v>15.839</v>
      </c>
      <c r="D54" s="23">
        <v>17.724</v>
      </c>
      <c r="E54" s="23">
        <v>1.127</v>
      </c>
      <c r="F54" s="1">
        <v>864.8</v>
      </c>
      <c r="G54" s="23">
        <v>0.615</v>
      </c>
      <c r="H54" s="23">
        <v>0.498</v>
      </c>
      <c r="I54" s="1">
        <v>350.5</v>
      </c>
      <c r="J54" s="1">
        <v>565.0</v>
      </c>
      <c r="K54" s="1">
        <v>33428.0</v>
      </c>
      <c r="L54" s="1">
        <v>100.0</v>
      </c>
      <c r="M54" s="23">
        <v>14.968</v>
      </c>
      <c r="O54" s="23">
        <f t="shared" si="8"/>
        <v>0.498</v>
      </c>
    </row>
    <row r="55">
      <c r="A55" s="1">
        <v>91.0</v>
      </c>
      <c r="B55" s="1">
        <v>20047.0</v>
      </c>
      <c r="C55" s="26">
        <v>15.175</v>
      </c>
      <c r="D55" s="23">
        <v>17.054</v>
      </c>
      <c r="E55" s="23">
        <v>1.127</v>
      </c>
      <c r="F55" s="1">
        <v>864.8</v>
      </c>
      <c r="G55" s="23">
        <v>0.615</v>
      </c>
      <c r="H55" s="23">
        <v>0.498</v>
      </c>
      <c r="I55" s="1">
        <v>350.5</v>
      </c>
      <c r="J55" s="1">
        <v>565.0</v>
      </c>
      <c r="K55" s="1">
        <v>29644.0</v>
      </c>
      <c r="L55" s="1">
        <v>100.0</v>
      </c>
      <c r="M55" s="23">
        <v>14.804</v>
      </c>
      <c r="O55" s="23">
        <f t="shared" si="8"/>
        <v>0.498</v>
      </c>
    </row>
    <row r="56">
      <c r="A56" s="1">
        <v>93.0</v>
      </c>
      <c r="B56" s="1">
        <v>18341.0</v>
      </c>
      <c r="C56" s="23">
        <v>14.641</v>
      </c>
      <c r="D56" s="23">
        <v>16.557</v>
      </c>
      <c r="E56" s="23">
        <v>1.227</v>
      </c>
      <c r="F56" s="1">
        <v>864.8</v>
      </c>
      <c r="G56" s="23">
        <v>0.615</v>
      </c>
      <c r="H56" s="23">
        <v>0.498</v>
      </c>
      <c r="I56" s="1">
        <v>350.5</v>
      </c>
      <c r="J56" s="1">
        <v>565.0</v>
      </c>
      <c r="K56" s="1">
        <v>27121.0</v>
      </c>
      <c r="L56" s="1">
        <v>100.0</v>
      </c>
      <c r="M56" s="23">
        <v>14.804</v>
      </c>
      <c r="O56" s="23">
        <f t="shared" si="8"/>
        <v>0.498</v>
      </c>
    </row>
    <row r="57">
      <c r="A57" s="1">
        <v>95.0</v>
      </c>
      <c r="B57" s="1">
        <v>18341.0</v>
      </c>
      <c r="C57" s="23">
        <v>14.279</v>
      </c>
      <c r="D57" s="23">
        <v>16.71</v>
      </c>
      <c r="E57" s="23">
        <v>1.227</v>
      </c>
      <c r="F57" s="1">
        <v>864.8</v>
      </c>
      <c r="G57" s="23">
        <v>0.615</v>
      </c>
      <c r="H57" s="23">
        <v>0.498</v>
      </c>
      <c r="I57" s="1">
        <v>350.5</v>
      </c>
      <c r="J57" s="1">
        <v>565.0</v>
      </c>
      <c r="K57" s="1">
        <v>27121.0</v>
      </c>
      <c r="L57" s="1">
        <v>100.0</v>
      </c>
      <c r="M57" s="23">
        <v>14.683</v>
      </c>
      <c r="O57" s="23">
        <f t="shared" si="8"/>
        <v>0.498</v>
      </c>
    </row>
    <row r="58">
      <c r="A58" s="1">
        <v>97.0</v>
      </c>
      <c r="B58" s="1">
        <v>18341.0</v>
      </c>
      <c r="C58" s="23">
        <v>14.292</v>
      </c>
      <c r="D58" s="23">
        <v>16.71</v>
      </c>
      <c r="E58" s="23">
        <v>1.477</v>
      </c>
      <c r="F58" s="1">
        <v>864.8</v>
      </c>
      <c r="G58" s="23">
        <v>0.641</v>
      </c>
      <c r="H58" s="23">
        <v>0.498</v>
      </c>
      <c r="I58" s="1">
        <v>350.5</v>
      </c>
      <c r="J58" s="1">
        <v>647.0</v>
      </c>
      <c r="K58" s="1">
        <v>27121.0</v>
      </c>
      <c r="L58" s="1">
        <v>100.0</v>
      </c>
      <c r="M58" s="23">
        <v>14.683</v>
      </c>
      <c r="O58" s="23">
        <f t="shared" si="8"/>
        <v>0.498</v>
      </c>
    </row>
    <row r="59">
      <c r="A59" s="1">
        <v>99.0</v>
      </c>
      <c r="B59" s="1">
        <v>18341.0</v>
      </c>
      <c r="C59" s="23">
        <v>14.744</v>
      </c>
      <c r="D59" s="23">
        <v>15.793</v>
      </c>
      <c r="E59" s="23">
        <v>1.477</v>
      </c>
      <c r="F59" s="1">
        <v>849.8</v>
      </c>
      <c r="G59" s="23">
        <v>0.641</v>
      </c>
      <c r="H59" s="23">
        <v>0.498</v>
      </c>
      <c r="I59" s="1">
        <v>350.5</v>
      </c>
      <c r="J59" s="1">
        <v>647.0</v>
      </c>
      <c r="K59" s="1">
        <v>27121.0</v>
      </c>
      <c r="L59" s="1">
        <v>100.0</v>
      </c>
      <c r="M59" s="23">
        <v>14.624</v>
      </c>
      <c r="O59" s="23">
        <f t="shared" si="8"/>
        <v>0.498</v>
      </c>
    </row>
    <row r="60">
      <c r="A60" s="1">
        <v>101.0</v>
      </c>
      <c r="B60" s="1">
        <v>18341.0</v>
      </c>
      <c r="C60" s="23">
        <v>15.086</v>
      </c>
      <c r="D60" s="23">
        <v>16.132</v>
      </c>
      <c r="E60" s="23">
        <v>1.937</v>
      </c>
      <c r="F60" s="1">
        <v>864.8</v>
      </c>
      <c r="G60" s="23">
        <v>0.641</v>
      </c>
      <c r="H60" s="23">
        <v>0.498</v>
      </c>
      <c r="I60" s="1">
        <v>350.5</v>
      </c>
      <c r="J60" s="1">
        <v>647.0</v>
      </c>
      <c r="K60" s="1">
        <v>27121.0</v>
      </c>
      <c r="L60" s="1">
        <v>100.0</v>
      </c>
      <c r="M60" s="23">
        <v>14.624</v>
      </c>
      <c r="O60" s="23">
        <f t="shared" si="8"/>
        <v>0.498</v>
      </c>
    </row>
    <row r="61">
      <c r="A61" s="1">
        <v>103.0</v>
      </c>
      <c r="B61" s="1">
        <v>18341.0</v>
      </c>
      <c r="C61" s="23">
        <v>15.053</v>
      </c>
      <c r="D61" s="26">
        <v>16.138</v>
      </c>
      <c r="E61" s="23">
        <v>1.937</v>
      </c>
      <c r="F61" s="1">
        <v>864.8</v>
      </c>
      <c r="G61" s="23">
        <v>0.641</v>
      </c>
      <c r="H61" s="23">
        <v>0.488</v>
      </c>
      <c r="I61" s="1">
        <v>350.5</v>
      </c>
      <c r="J61" s="1">
        <v>647.0</v>
      </c>
      <c r="K61" s="1">
        <v>27121.0</v>
      </c>
      <c r="L61" s="1">
        <v>100.0</v>
      </c>
      <c r="M61" s="23">
        <v>14.652</v>
      </c>
      <c r="O61" s="23">
        <f t="shared" si="8"/>
        <v>0.488</v>
      </c>
    </row>
    <row r="62">
      <c r="A62" s="1">
        <v>105.0</v>
      </c>
      <c r="B62" s="1">
        <v>18341.0</v>
      </c>
      <c r="C62" s="23">
        <v>15.077</v>
      </c>
      <c r="D62" s="26">
        <v>16.138</v>
      </c>
      <c r="E62" s="23">
        <v>1.937</v>
      </c>
      <c r="F62" s="1">
        <v>864.8</v>
      </c>
      <c r="G62" s="23">
        <v>0.641</v>
      </c>
      <c r="H62" s="23">
        <v>0.488</v>
      </c>
      <c r="I62" s="1">
        <v>350.5</v>
      </c>
      <c r="J62" s="1">
        <v>647.0</v>
      </c>
      <c r="K62" s="1">
        <v>27121.0</v>
      </c>
      <c r="L62" s="1">
        <v>100.0</v>
      </c>
      <c r="M62" s="23">
        <v>14.652</v>
      </c>
      <c r="O62" s="23">
        <f t="shared" si="8"/>
        <v>0.488</v>
      </c>
    </row>
    <row r="63">
      <c r="A63" s="1">
        <v>107.0</v>
      </c>
      <c r="B63" s="1">
        <v>18341.0</v>
      </c>
      <c r="C63" s="23">
        <v>15.065</v>
      </c>
      <c r="D63" s="23">
        <v>15.423</v>
      </c>
      <c r="E63" s="23">
        <v>1.937</v>
      </c>
      <c r="F63" s="1">
        <v>864.8</v>
      </c>
      <c r="G63" s="23">
        <v>0.641</v>
      </c>
      <c r="H63" s="23">
        <v>0.488</v>
      </c>
      <c r="I63" s="1">
        <v>350.5</v>
      </c>
      <c r="J63" s="1">
        <v>647.0</v>
      </c>
      <c r="K63" s="1">
        <v>27121.0</v>
      </c>
      <c r="L63" s="1">
        <v>100.0</v>
      </c>
      <c r="M63" s="23">
        <v>14.652</v>
      </c>
      <c r="O63" s="23">
        <f t="shared" si="8"/>
        <v>0.488</v>
      </c>
    </row>
    <row r="64">
      <c r="A64" s="1">
        <v>109.0</v>
      </c>
      <c r="B64" s="1">
        <v>18341.0</v>
      </c>
      <c r="C64" s="23">
        <v>15.054</v>
      </c>
      <c r="D64" s="26">
        <v>15.415</v>
      </c>
      <c r="E64" s="23">
        <v>1.937</v>
      </c>
      <c r="F64" s="1">
        <v>864.8</v>
      </c>
      <c r="G64" s="23">
        <v>0.641</v>
      </c>
      <c r="H64" s="23">
        <v>0.488</v>
      </c>
      <c r="I64" s="1">
        <v>350.5</v>
      </c>
      <c r="J64" s="1">
        <v>647.0</v>
      </c>
      <c r="K64" s="1">
        <v>27121.0</v>
      </c>
      <c r="L64" s="1">
        <v>100.0</v>
      </c>
      <c r="M64" s="26">
        <v>14.611</v>
      </c>
      <c r="O64" s="23">
        <f t="shared" si="8"/>
        <v>0.488</v>
      </c>
    </row>
    <row r="65">
      <c r="A65" s="1">
        <v>111.0</v>
      </c>
      <c r="B65" s="1">
        <v>20047.0</v>
      </c>
      <c r="C65" s="26">
        <v>15.831</v>
      </c>
      <c r="D65" s="26">
        <v>16.106</v>
      </c>
      <c r="E65" s="23">
        <v>1.937</v>
      </c>
      <c r="F65" s="1">
        <v>864.8</v>
      </c>
      <c r="G65" s="23">
        <v>0.641</v>
      </c>
      <c r="H65" s="23">
        <v>0.48</v>
      </c>
      <c r="I65" s="1">
        <v>350.5</v>
      </c>
      <c r="J65" s="1">
        <v>647.0</v>
      </c>
      <c r="K65" s="1">
        <v>29644.0</v>
      </c>
      <c r="L65" s="1">
        <v>100.0</v>
      </c>
      <c r="M65" s="26">
        <v>14.611</v>
      </c>
      <c r="O65" s="23">
        <f t="shared" si="8"/>
        <v>0.48</v>
      </c>
    </row>
    <row r="66">
      <c r="A66" s="1">
        <v>113.0</v>
      </c>
      <c r="B66" s="1">
        <v>20047.0</v>
      </c>
      <c r="C66" s="23">
        <v>15.82</v>
      </c>
      <c r="D66" s="23">
        <v>16.111</v>
      </c>
      <c r="E66" s="26">
        <v>1.828</v>
      </c>
      <c r="F66" s="1">
        <v>849.8</v>
      </c>
      <c r="G66" s="23">
        <v>0.615</v>
      </c>
      <c r="H66" s="23">
        <v>0.498</v>
      </c>
      <c r="I66" s="1">
        <v>350.5</v>
      </c>
      <c r="J66" s="1">
        <v>565.0</v>
      </c>
      <c r="K66" s="1">
        <v>29644.0</v>
      </c>
      <c r="L66" s="1">
        <v>100.0</v>
      </c>
      <c r="M66" s="26">
        <v>14.637</v>
      </c>
      <c r="O66" s="23">
        <f t="shared" si="8"/>
        <v>0.498</v>
      </c>
    </row>
    <row r="67">
      <c r="A67" s="1">
        <v>115.0</v>
      </c>
      <c r="B67" s="1">
        <v>20047.0</v>
      </c>
      <c r="C67" s="23">
        <v>16.063</v>
      </c>
      <c r="D67" s="23">
        <v>16.327</v>
      </c>
      <c r="E67" s="23">
        <v>1.828</v>
      </c>
      <c r="F67" s="1">
        <v>864.8</v>
      </c>
      <c r="G67" s="23">
        <v>0.615</v>
      </c>
      <c r="H67" s="23">
        <v>0.498</v>
      </c>
      <c r="I67" s="1">
        <v>350.5</v>
      </c>
      <c r="J67" s="1">
        <v>565.0</v>
      </c>
      <c r="K67" s="1">
        <v>29644.0</v>
      </c>
      <c r="L67" s="1">
        <v>100.0</v>
      </c>
      <c r="M67" s="26">
        <v>14.637</v>
      </c>
      <c r="O67" s="23">
        <f t="shared" si="8"/>
        <v>0.498</v>
      </c>
    </row>
    <row r="68">
      <c r="A68" s="1">
        <v>118.0</v>
      </c>
      <c r="B68" s="1">
        <v>20047.0</v>
      </c>
      <c r="C68" s="23">
        <v>16.08</v>
      </c>
      <c r="D68" s="23">
        <v>16.327</v>
      </c>
      <c r="E68" s="23">
        <v>1.828</v>
      </c>
      <c r="F68" s="1">
        <v>864.8</v>
      </c>
      <c r="G68" s="23">
        <v>0.615</v>
      </c>
      <c r="H68" s="26">
        <v>0.498</v>
      </c>
      <c r="I68" s="1">
        <v>350.5</v>
      </c>
      <c r="J68" s="1">
        <v>565.0</v>
      </c>
      <c r="K68" s="1">
        <v>29644.0</v>
      </c>
      <c r="L68" s="1">
        <v>100.0</v>
      </c>
      <c r="M68" s="26">
        <v>14.637</v>
      </c>
      <c r="O68" s="23">
        <f t="shared" si="8"/>
        <v>0.498</v>
      </c>
    </row>
    <row r="69">
      <c r="A69" s="1">
        <v>120.0</v>
      </c>
      <c r="B69" s="1">
        <v>20047.0</v>
      </c>
      <c r="C69" s="23">
        <v>16.08</v>
      </c>
      <c r="D69" s="23">
        <v>16.327</v>
      </c>
      <c r="E69" s="23">
        <v>1.497</v>
      </c>
      <c r="F69" s="1">
        <v>864.8</v>
      </c>
      <c r="G69" s="23">
        <v>0.615</v>
      </c>
      <c r="H69" s="23">
        <v>0.498</v>
      </c>
      <c r="I69" s="1">
        <v>350.5</v>
      </c>
      <c r="J69" s="1">
        <v>565.0</v>
      </c>
      <c r="K69" s="1">
        <v>29644.0</v>
      </c>
      <c r="L69" s="1">
        <v>100.0</v>
      </c>
      <c r="M69" s="23">
        <v>14.637</v>
      </c>
      <c r="O69" s="23">
        <f t="shared" si="8"/>
        <v>0.498</v>
      </c>
    </row>
    <row r="70">
      <c r="A70" s="1">
        <v>122.0</v>
      </c>
      <c r="B70" s="1">
        <v>20047.0</v>
      </c>
      <c r="C70" s="23">
        <v>16.104</v>
      </c>
      <c r="D70" s="23">
        <v>16.329</v>
      </c>
      <c r="E70" s="23">
        <v>1.077</v>
      </c>
      <c r="F70" s="1">
        <v>864.8</v>
      </c>
      <c r="G70" s="23">
        <v>0.615</v>
      </c>
      <c r="H70" s="23">
        <v>0.498</v>
      </c>
      <c r="I70" s="1">
        <v>350.5</v>
      </c>
      <c r="J70" s="1">
        <v>565.0</v>
      </c>
      <c r="K70" s="1">
        <v>29644.0</v>
      </c>
      <c r="L70" s="1">
        <v>100.0</v>
      </c>
      <c r="M70" s="23">
        <v>14.638</v>
      </c>
      <c r="O70" s="23">
        <f t="shared" si="8"/>
        <v>0.498</v>
      </c>
    </row>
    <row r="71">
      <c r="A71" s="1">
        <v>124.0</v>
      </c>
      <c r="B71" s="1">
        <v>20047.0</v>
      </c>
      <c r="C71" s="26">
        <v>16.104</v>
      </c>
      <c r="D71" s="23">
        <v>16.329</v>
      </c>
      <c r="E71" s="23">
        <v>1.077</v>
      </c>
      <c r="F71" s="1">
        <v>864.8</v>
      </c>
      <c r="G71" s="23">
        <v>0.615</v>
      </c>
      <c r="H71" s="23">
        <v>0.498</v>
      </c>
      <c r="I71" s="1">
        <v>350.5</v>
      </c>
      <c r="J71" s="1">
        <v>565.0</v>
      </c>
      <c r="K71" s="1">
        <v>29644.0</v>
      </c>
      <c r="L71" s="1">
        <v>100.0</v>
      </c>
      <c r="M71" s="23">
        <v>14.638</v>
      </c>
      <c r="O71" s="23">
        <f t="shared" si="8"/>
        <v>0.498</v>
      </c>
    </row>
    <row r="72">
      <c r="A72" s="1">
        <v>126.0</v>
      </c>
      <c r="B72" s="1">
        <v>20047.0</v>
      </c>
      <c r="C72" s="23">
        <v>15.52</v>
      </c>
      <c r="D72" s="23">
        <v>15.78</v>
      </c>
      <c r="E72" s="23">
        <v>1.077</v>
      </c>
      <c r="F72" s="1">
        <v>864.8</v>
      </c>
      <c r="G72" s="23">
        <v>0.615</v>
      </c>
      <c r="H72" s="23">
        <v>0.498</v>
      </c>
      <c r="I72" s="1">
        <v>350.5</v>
      </c>
      <c r="J72" s="1">
        <v>565.0</v>
      </c>
      <c r="K72" s="1">
        <v>29644.0</v>
      </c>
      <c r="L72" s="1">
        <v>100.0</v>
      </c>
      <c r="M72" s="23">
        <v>14.599</v>
      </c>
      <c r="O72" s="23">
        <f t="shared" si="8"/>
        <v>0.498</v>
      </c>
    </row>
    <row r="73">
      <c r="A73" s="1">
        <v>128.0</v>
      </c>
      <c r="B73" s="1">
        <v>18341.0</v>
      </c>
      <c r="C73" s="23">
        <v>14.853</v>
      </c>
      <c r="D73" s="23">
        <v>15.629</v>
      </c>
      <c r="E73" s="23">
        <v>1.077</v>
      </c>
      <c r="F73" s="1">
        <v>849.8</v>
      </c>
      <c r="G73" s="23">
        <v>0.615</v>
      </c>
      <c r="H73" s="23">
        <v>0.498</v>
      </c>
      <c r="I73" s="1">
        <v>350.5</v>
      </c>
      <c r="J73" s="1">
        <v>565.0</v>
      </c>
      <c r="K73" s="1">
        <v>27121.0</v>
      </c>
      <c r="L73" s="1">
        <v>100.0</v>
      </c>
      <c r="M73" s="23">
        <v>14.599</v>
      </c>
      <c r="O73" s="23">
        <f t="shared" si="8"/>
        <v>0.498</v>
      </c>
    </row>
    <row r="74">
      <c r="A74" s="1">
        <v>130.0</v>
      </c>
      <c r="B74" s="1">
        <v>17970.0</v>
      </c>
      <c r="C74" s="23">
        <v>15.15</v>
      </c>
      <c r="D74" s="23">
        <v>15.376</v>
      </c>
      <c r="E74" s="23">
        <v>1.077</v>
      </c>
      <c r="F74" s="1">
        <v>849.8</v>
      </c>
      <c r="G74" s="23">
        <v>0.641</v>
      </c>
      <c r="H74" s="23">
        <v>0.498</v>
      </c>
      <c r="I74" s="1">
        <v>350.5</v>
      </c>
      <c r="J74" s="1">
        <v>647.0</v>
      </c>
      <c r="K74" s="1">
        <v>27121.0</v>
      </c>
      <c r="L74" s="1">
        <v>100.0</v>
      </c>
      <c r="M74" s="23">
        <v>14.582</v>
      </c>
      <c r="O74" s="23">
        <f t="shared" si="8"/>
        <v>0.498</v>
      </c>
    </row>
    <row r="75">
      <c r="A75" s="1">
        <v>132.0</v>
      </c>
      <c r="B75" s="1">
        <v>18341.0</v>
      </c>
      <c r="C75" s="23">
        <v>15.22</v>
      </c>
      <c r="D75" s="23">
        <v>15.408</v>
      </c>
      <c r="E75" s="23">
        <v>1.497</v>
      </c>
      <c r="F75" s="1">
        <v>849.8</v>
      </c>
      <c r="G75" s="23">
        <v>0.641</v>
      </c>
      <c r="H75" s="23">
        <v>1.498</v>
      </c>
      <c r="I75" s="1">
        <v>350.5</v>
      </c>
      <c r="J75" s="1">
        <v>647.0</v>
      </c>
      <c r="K75" s="1">
        <v>27121.0</v>
      </c>
      <c r="L75" s="1">
        <v>100.0</v>
      </c>
      <c r="M75" s="26">
        <v>14.582</v>
      </c>
      <c r="O75" s="23">
        <f t="shared" si="8"/>
        <v>1</v>
      </c>
    </row>
    <row r="76">
      <c r="A76" s="1">
        <v>134.0</v>
      </c>
      <c r="B76" s="1">
        <v>18341.0</v>
      </c>
      <c r="C76" s="23">
        <v>14.857</v>
      </c>
      <c r="D76" s="23">
        <v>19.295</v>
      </c>
      <c r="E76" s="23">
        <v>1.497</v>
      </c>
      <c r="F76" s="1">
        <v>864.8</v>
      </c>
      <c r="G76" s="23">
        <v>0.741</v>
      </c>
      <c r="H76" s="23">
        <v>1.518</v>
      </c>
      <c r="I76" s="1">
        <v>350.5</v>
      </c>
      <c r="J76" s="1">
        <v>647.0</v>
      </c>
      <c r="K76" s="1">
        <v>27121.0</v>
      </c>
      <c r="L76" s="1">
        <v>100.0</v>
      </c>
      <c r="M76" s="26">
        <v>14.657</v>
      </c>
      <c r="O76" s="23">
        <f t="shared" si="8"/>
        <v>1</v>
      </c>
    </row>
    <row r="77">
      <c r="A77" s="1">
        <v>136.0</v>
      </c>
      <c r="B77" s="1">
        <v>18341.0</v>
      </c>
      <c r="C77" s="23">
        <v>14.951</v>
      </c>
      <c r="D77" s="23">
        <v>20.661</v>
      </c>
      <c r="E77" s="23">
        <v>1.127</v>
      </c>
      <c r="F77" s="1">
        <v>864.8</v>
      </c>
      <c r="G77" s="23">
        <v>0.741</v>
      </c>
      <c r="H77" s="23">
        <v>0.518</v>
      </c>
      <c r="I77" s="1">
        <v>350.5</v>
      </c>
      <c r="J77" s="1">
        <v>647.0</v>
      </c>
      <c r="K77" s="1">
        <v>27121.0</v>
      </c>
      <c r="L77" s="1">
        <v>100.0</v>
      </c>
      <c r="M77" s="23">
        <v>14.657</v>
      </c>
      <c r="O77" s="23">
        <f t="shared" si="8"/>
        <v>0.518</v>
      </c>
    </row>
    <row r="78">
      <c r="A78" s="1">
        <v>138.0</v>
      </c>
      <c r="B78" s="1">
        <v>18341.0</v>
      </c>
      <c r="C78" s="23">
        <v>15.04</v>
      </c>
      <c r="D78" s="23">
        <v>21.765</v>
      </c>
      <c r="E78" s="23">
        <v>1.127</v>
      </c>
      <c r="F78" s="1">
        <v>864.8</v>
      </c>
      <c r="G78" s="23">
        <v>0.741</v>
      </c>
      <c r="H78" s="23">
        <v>0.518</v>
      </c>
      <c r="I78" s="1">
        <v>350.5</v>
      </c>
      <c r="J78" s="1">
        <v>647.0</v>
      </c>
      <c r="K78" s="1">
        <v>27121.0</v>
      </c>
      <c r="L78" s="1">
        <v>99.0</v>
      </c>
      <c r="M78" s="23">
        <v>14.657</v>
      </c>
      <c r="O78" s="23">
        <f t="shared" si="8"/>
        <v>0.518</v>
      </c>
    </row>
    <row r="79">
      <c r="A79" s="1">
        <v>140.0</v>
      </c>
      <c r="B79" s="1">
        <v>18341.0</v>
      </c>
      <c r="C79" s="23">
        <v>14.429</v>
      </c>
      <c r="D79" s="23">
        <v>20.436</v>
      </c>
      <c r="E79" s="23">
        <v>1.127</v>
      </c>
      <c r="F79" s="1">
        <v>864.8</v>
      </c>
      <c r="G79" s="23">
        <v>0.741</v>
      </c>
      <c r="H79" s="23">
        <v>0.518</v>
      </c>
      <c r="I79" s="1">
        <v>350.5</v>
      </c>
      <c r="J79" s="1">
        <v>647.0</v>
      </c>
      <c r="K79" s="1">
        <v>27121.0</v>
      </c>
      <c r="L79" s="1">
        <v>100.0</v>
      </c>
      <c r="M79" s="23">
        <v>14.792</v>
      </c>
      <c r="O79" s="23">
        <f t="shared" si="8"/>
        <v>0.518</v>
      </c>
    </row>
    <row r="80">
      <c r="A80" s="1">
        <v>142.0</v>
      </c>
      <c r="B80" s="1">
        <v>18341.0</v>
      </c>
      <c r="C80" s="23">
        <v>14.983</v>
      </c>
      <c r="D80" s="23">
        <v>20.436</v>
      </c>
      <c r="E80" s="23">
        <v>1.127</v>
      </c>
      <c r="F80" s="1">
        <v>864.8</v>
      </c>
      <c r="G80" s="23">
        <v>0.741</v>
      </c>
      <c r="H80" s="23">
        <v>0.518</v>
      </c>
      <c r="I80" s="1">
        <v>350.5</v>
      </c>
      <c r="J80" s="1">
        <v>647.0</v>
      </c>
      <c r="K80" s="1">
        <v>27121.0</v>
      </c>
      <c r="L80" s="1">
        <v>100.0</v>
      </c>
      <c r="M80" s="23">
        <v>14.792</v>
      </c>
      <c r="O80" s="23">
        <f t="shared" si="8"/>
        <v>0.518</v>
      </c>
    </row>
    <row r="81">
      <c r="A81" s="1">
        <v>144.0</v>
      </c>
      <c r="B81" s="1">
        <v>21754.0</v>
      </c>
      <c r="C81" s="23">
        <v>16.424</v>
      </c>
      <c r="D81" s="23">
        <v>18.049</v>
      </c>
      <c r="E81" s="23">
        <v>1.127</v>
      </c>
      <c r="F81" s="1">
        <v>864.8</v>
      </c>
      <c r="G81" s="23">
        <v>0.641</v>
      </c>
      <c r="H81" s="23">
        <v>0.488</v>
      </c>
      <c r="I81" s="1">
        <v>350.5</v>
      </c>
      <c r="J81" s="1">
        <v>647.0</v>
      </c>
      <c r="K81" s="1">
        <v>32167.0</v>
      </c>
      <c r="L81" s="1">
        <v>100.0</v>
      </c>
      <c r="M81" s="23">
        <v>14.711</v>
      </c>
      <c r="O81" s="23">
        <f t="shared" si="8"/>
        <v>0.488</v>
      </c>
    </row>
    <row r="82">
      <c r="A82" s="1">
        <v>146.0</v>
      </c>
      <c r="B82" s="1">
        <v>22607.0</v>
      </c>
      <c r="C82" s="23">
        <v>17.166</v>
      </c>
      <c r="D82" s="23">
        <v>18.761</v>
      </c>
      <c r="E82" s="23">
        <v>1.127</v>
      </c>
      <c r="F82" s="1">
        <v>849.8</v>
      </c>
      <c r="G82" s="23">
        <v>0.641</v>
      </c>
      <c r="H82" s="23">
        <v>0.488</v>
      </c>
      <c r="I82" s="1">
        <v>350.5</v>
      </c>
      <c r="J82" s="1">
        <v>647.0</v>
      </c>
      <c r="K82" s="1">
        <v>33428.0</v>
      </c>
      <c r="L82" s="1">
        <v>100.0</v>
      </c>
      <c r="M82" s="23">
        <v>14.711</v>
      </c>
      <c r="O82" s="23">
        <f t="shared" si="8"/>
        <v>0.488</v>
      </c>
    </row>
    <row r="83">
      <c r="A83" s="1">
        <v>148.0</v>
      </c>
      <c r="B83" s="1">
        <v>22607.0</v>
      </c>
      <c r="C83" s="23">
        <v>16.83</v>
      </c>
      <c r="D83" s="23">
        <v>19.799</v>
      </c>
      <c r="E83" s="23">
        <v>1.127</v>
      </c>
      <c r="F83" s="1">
        <v>864.8</v>
      </c>
      <c r="G83" s="23">
        <v>0.615</v>
      </c>
      <c r="H83" s="23">
        <v>0.488</v>
      </c>
      <c r="I83" s="1">
        <v>350.5</v>
      </c>
      <c r="J83" s="1">
        <v>565.0</v>
      </c>
      <c r="K83" s="1">
        <v>33428.0</v>
      </c>
      <c r="L83" s="1">
        <v>100.0</v>
      </c>
      <c r="M83" s="23">
        <v>15.049</v>
      </c>
      <c r="O83" s="23">
        <f t="shared" si="8"/>
        <v>0.488</v>
      </c>
    </row>
    <row r="84">
      <c r="A84" s="1">
        <v>150.0</v>
      </c>
      <c r="B84" s="1">
        <v>22607.0</v>
      </c>
      <c r="C84" s="23">
        <v>17.492</v>
      </c>
      <c r="D84" s="23">
        <v>19.573</v>
      </c>
      <c r="E84" s="23">
        <v>1.127</v>
      </c>
      <c r="F84" s="1">
        <v>864.8</v>
      </c>
      <c r="G84" s="23">
        <v>0.615</v>
      </c>
      <c r="H84" s="23">
        <v>0.48</v>
      </c>
      <c r="I84" s="1">
        <v>350.5</v>
      </c>
      <c r="J84" s="1">
        <v>565.0</v>
      </c>
      <c r="K84" s="1">
        <v>33428.0</v>
      </c>
      <c r="L84" s="1">
        <v>100.0</v>
      </c>
      <c r="M84" s="23">
        <v>15.049</v>
      </c>
      <c r="O84" s="23">
        <f t="shared" si="8"/>
        <v>0.48</v>
      </c>
    </row>
    <row r="85">
      <c r="A85" s="1">
        <v>152.0</v>
      </c>
      <c r="B85" s="1">
        <v>22607.0</v>
      </c>
      <c r="C85" s="23">
        <v>16.971</v>
      </c>
      <c r="D85" s="23">
        <v>19.557</v>
      </c>
      <c r="E85" s="23">
        <v>1.127</v>
      </c>
      <c r="F85" s="1">
        <v>864.8</v>
      </c>
      <c r="G85" s="23">
        <v>0.615</v>
      </c>
      <c r="H85" s="23">
        <v>0.498</v>
      </c>
      <c r="I85" s="1">
        <v>350.5</v>
      </c>
      <c r="J85" s="1">
        <v>565.0</v>
      </c>
      <c r="K85" s="1">
        <v>33428.0</v>
      </c>
      <c r="L85" s="1">
        <v>100.0</v>
      </c>
      <c r="M85" s="23">
        <v>14.981</v>
      </c>
      <c r="O85" s="23">
        <f t="shared" si="8"/>
        <v>0.498</v>
      </c>
    </row>
    <row r="86">
      <c r="A86" s="1">
        <v>154.0</v>
      </c>
      <c r="B86" s="1">
        <v>22607.0</v>
      </c>
      <c r="C86" s="23">
        <v>17.513</v>
      </c>
      <c r="D86" s="23">
        <v>19.557</v>
      </c>
      <c r="E86" s="23">
        <v>1.127</v>
      </c>
      <c r="F86" s="1">
        <v>864.8</v>
      </c>
      <c r="G86" s="23">
        <v>0.615</v>
      </c>
      <c r="H86" s="23">
        <v>0.498</v>
      </c>
      <c r="I86" s="1">
        <v>350.5</v>
      </c>
      <c r="J86" s="1">
        <v>565.0</v>
      </c>
      <c r="K86" s="1">
        <v>33428.0</v>
      </c>
      <c r="L86" s="1">
        <v>100.0</v>
      </c>
      <c r="M86" s="26">
        <v>14.981</v>
      </c>
      <c r="O86" s="23">
        <f t="shared" si="8"/>
        <v>0.498</v>
      </c>
    </row>
    <row r="87">
      <c r="A87" s="1">
        <v>156.0</v>
      </c>
      <c r="B87" s="1">
        <v>22607.0</v>
      </c>
      <c r="C87" s="23">
        <v>17.512</v>
      </c>
      <c r="D87" s="23">
        <v>19.542</v>
      </c>
      <c r="E87" s="23">
        <v>1.127</v>
      </c>
      <c r="F87" s="1">
        <v>864.8</v>
      </c>
      <c r="G87" s="23">
        <v>0.615</v>
      </c>
      <c r="H87" s="23">
        <v>0.498</v>
      </c>
      <c r="I87" s="1">
        <v>350.5</v>
      </c>
      <c r="J87" s="1">
        <v>565.0</v>
      </c>
      <c r="K87" s="1">
        <v>33428.0</v>
      </c>
      <c r="L87" s="1">
        <v>100.0</v>
      </c>
      <c r="M87" s="26">
        <v>14.913</v>
      </c>
      <c r="O87" s="23">
        <f t="shared" si="8"/>
        <v>0.498</v>
      </c>
    </row>
    <row r="88">
      <c r="A88" s="1">
        <v>158.0</v>
      </c>
      <c r="B88" s="1">
        <v>20900.0</v>
      </c>
      <c r="C88" s="23">
        <v>16.321</v>
      </c>
      <c r="D88" s="23">
        <v>18.412</v>
      </c>
      <c r="E88" s="23">
        <v>1.127</v>
      </c>
      <c r="F88" s="1">
        <v>864.8</v>
      </c>
      <c r="G88" s="23">
        <v>0.615</v>
      </c>
      <c r="H88" s="23">
        <v>0.498</v>
      </c>
      <c r="I88" s="1">
        <v>350.5</v>
      </c>
      <c r="J88" s="1">
        <v>565.0</v>
      </c>
      <c r="K88" s="1">
        <v>30905.0</v>
      </c>
      <c r="L88" s="1">
        <v>99.0</v>
      </c>
      <c r="M88" s="23">
        <v>14.913</v>
      </c>
      <c r="O88" s="23">
        <f t="shared" si="8"/>
        <v>0.498</v>
      </c>
    </row>
    <row r="89">
      <c r="A89" s="1">
        <v>160.0</v>
      </c>
      <c r="B89" s="1">
        <v>17488.0</v>
      </c>
      <c r="C89" s="23">
        <v>14.856</v>
      </c>
      <c r="D89" s="23">
        <v>17.625</v>
      </c>
      <c r="E89" s="23">
        <v>1.127</v>
      </c>
      <c r="F89" s="1">
        <v>810.5</v>
      </c>
      <c r="G89" s="23">
        <v>0.597</v>
      </c>
      <c r="H89" s="23">
        <v>0.54</v>
      </c>
      <c r="I89" s="1">
        <v>350.5</v>
      </c>
      <c r="J89" s="1">
        <v>506.0</v>
      </c>
      <c r="K89" s="1">
        <v>25860.0</v>
      </c>
      <c r="L89" s="1">
        <v>100.0</v>
      </c>
      <c r="M89" s="23">
        <v>14.779</v>
      </c>
      <c r="O89" s="23">
        <f t="shared" si="8"/>
        <v>0.54</v>
      </c>
    </row>
    <row r="90">
      <c r="A90" s="1">
        <v>162.0</v>
      </c>
      <c r="B90" s="1">
        <v>18341.0</v>
      </c>
      <c r="C90" s="23">
        <v>14.678</v>
      </c>
      <c r="D90" s="23">
        <v>16.167</v>
      </c>
      <c r="E90" s="23">
        <v>1.127</v>
      </c>
      <c r="F90" s="1">
        <v>810.5</v>
      </c>
      <c r="G90" s="23">
        <v>0.597</v>
      </c>
      <c r="H90" s="23">
        <v>0.54</v>
      </c>
      <c r="I90" s="1">
        <v>350.5</v>
      </c>
      <c r="J90" s="1">
        <v>506.0</v>
      </c>
      <c r="K90" s="1">
        <v>27121.0</v>
      </c>
      <c r="L90" s="1">
        <v>100.0</v>
      </c>
      <c r="M90" s="23">
        <v>14.779</v>
      </c>
      <c r="O90" s="23">
        <f t="shared" si="8"/>
        <v>0.54</v>
      </c>
    </row>
    <row r="91">
      <c r="A91" s="1">
        <v>164.0</v>
      </c>
      <c r="B91" s="1">
        <v>18341.0</v>
      </c>
      <c r="C91" s="26">
        <v>14.736</v>
      </c>
      <c r="D91" s="23">
        <v>16.141</v>
      </c>
      <c r="E91" s="23">
        <v>0.827</v>
      </c>
      <c r="F91" s="1">
        <v>849.8</v>
      </c>
      <c r="G91" s="23">
        <v>0.634</v>
      </c>
      <c r="H91" s="23">
        <v>0.54</v>
      </c>
      <c r="I91" s="1">
        <v>350.5</v>
      </c>
      <c r="J91" s="1">
        <v>627.2</v>
      </c>
      <c r="K91" s="1">
        <v>27121.0</v>
      </c>
      <c r="L91" s="1">
        <v>100.0</v>
      </c>
      <c r="M91" s="23">
        <v>14.667</v>
      </c>
      <c r="O91" s="23">
        <f t="shared" si="8"/>
        <v>0.54</v>
      </c>
    </row>
    <row r="92">
      <c r="A92" s="1">
        <v>166.0</v>
      </c>
      <c r="B92" s="1">
        <v>18341.0</v>
      </c>
      <c r="C92" s="23">
        <v>15.029</v>
      </c>
      <c r="D92" s="23">
        <v>16.141</v>
      </c>
      <c r="E92" s="23">
        <v>1.247</v>
      </c>
      <c r="F92" s="1">
        <v>849.8</v>
      </c>
      <c r="G92" s="23">
        <v>0.641</v>
      </c>
      <c r="H92" s="23">
        <v>0.54</v>
      </c>
      <c r="I92" s="1">
        <v>350.5</v>
      </c>
      <c r="J92" s="1">
        <v>647.0</v>
      </c>
      <c r="K92" s="1">
        <v>27121.0</v>
      </c>
      <c r="L92" s="1">
        <v>100.0</v>
      </c>
      <c r="M92" s="26">
        <v>14.667</v>
      </c>
      <c r="O92" s="23">
        <f t="shared" si="8"/>
        <v>0.54</v>
      </c>
    </row>
    <row r="93">
      <c r="A93" s="1">
        <v>168.0</v>
      </c>
      <c r="B93" s="1">
        <v>18341.0</v>
      </c>
      <c r="C93" s="23">
        <v>14.996</v>
      </c>
      <c r="D93" s="23">
        <v>16.141</v>
      </c>
      <c r="E93" s="23">
        <v>1.247</v>
      </c>
      <c r="F93" s="1">
        <v>849.8</v>
      </c>
      <c r="G93" s="23">
        <v>0.641</v>
      </c>
      <c r="H93" s="23">
        <v>0.54</v>
      </c>
      <c r="I93" s="1">
        <v>350.5</v>
      </c>
      <c r="J93" s="1">
        <v>647.0</v>
      </c>
      <c r="K93" s="1">
        <v>27121.0</v>
      </c>
      <c r="L93" s="1">
        <v>100.0</v>
      </c>
      <c r="M93" s="26">
        <v>14.667</v>
      </c>
      <c r="O93" s="23">
        <f t="shared" si="8"/>
        <v>0.54</v>
      </c>
    </row>
    <row r="94">
      <c r="A94" s="1">
        <v>170.0</v>
      </c>
      <c r="B94" s="1">
        <v>18341.0</v>
      </c>
      <c r="C94" s="23">
        <v>14.984</v>
      </c>
      <c r="D94" s="23">
        <v>16.136</v>
      </c>
      <c r="E94" s="23">
        <v>1.247</v>
      </c>
      <c r="F94" s="1">
        <v>864.8</v>
      </c>
      <c r="G94" s="23">
        <v>0.641</v>
      </c>
      <c r="H94" s="26">
        <v>0.54</v>
      </c>
      <c r="I94" s="1">
        <v>350.5</v>
      </c>
      <c r="J94" s="1">
        <v>647.0</v>
      </c>
      <c r="K94" s="1">
        <v>27121.0</v>
      </c>
      <c r="L94" s="1">
        <v>100.0</v>
      </c>
      <c r="M94" s="23">
        <v>14.645</v>
      </c>
      <c r="O94" s="23">
        <f t="shared" si="8"/>
        <v>0.54</v>
      </c>
    </row>
    <row r="95">
      <c r="A95" s="1">
        <v>172.0</v>
      </c>
      <c r="B95" s="1">
        <v>18341.0</v>
      </c>
      <c r="C95" s="23">
        <v>15.019</v>
      </c>
      <c r="D95" s="23">
        <v>16.136</v>
      </c>
      <c r="E95" s="23">
        <v>1.247</v>
      </c>
      <c r="F95" s="1">
        <v>864.8</v>
      </c>
      <c r="G95" s="23">
        <v>0.641</v>
      </c>
      <c r="H95" s="23">
        <v>0.54</v>
      </c>
      <c r="I95" s="1">
        <v>350.5</v>
      </c>
      <c r="J95" s="1">
        <v>647.0</v>
      </c>
      <c r="K95" s="1">
        <v>27121.0</v>
      </c>
      <c r="L95" s="1">
        <v>100.0</v>
      </c>
      <c r="M95" s="23">
        <v>14.645</v>
      </c>
      <c r="O95" s="23">
        <f t="shared" si="8"/>
        <v>0.54</v>
      </c>
    </row>
    <row r="96">
      <c r="A96" s="1">
        <v>174.0</v>
      </c>
      <c r="B96" s="1">
        <v>18341.0</v>
      </c>
      <c r="C96" s="23">
        <v>15.02</v>
      </c>
      <c r="D96" s="23">
        <v>15.421</v>
      </c>
      <c r="E96" s="23">
        <v>1.247</v>
      </c>
      <c r="F96" s="1">
        <v>864.8</v>
      </c>
      <c r="G96" s="23">
        <v>0.641</v>
      </c>
      <c r="H96" s="23">
        <v>0.53</v>
      </c>
      <c r="I96" s="1">
        <v>350.5</v>
      </c>
      <c r="J96" s="1">
        <v>647.0</v>
      </c>
      <c r="K96" s="1">
        <v>27121.0</v>
      </c>
      <c r="L96" s="1">
        <v>100.0</v>
      </c>
      <c r="M96" s="23">
        <v>14.639</v>
      </c>
      <c r="O96" s="23">
        <f t="shared" si="8"/>
        <v>0.53</v>
      </c>
    </row>
    <row r="97">
      <c r="A97" s="1">
        <v>176.0</v>
      </c>
      <c r="B97" s="1">
        <v>17970.0</v>
      </c>
      <c r="C97" s="23">
        <v>14.984</v>
      </c>
      <c r="D97" s="23">
        <v>15.389</v>
      </c>
      <c r="E97" s="23">
        <v>0.827</v>
      </c>
      <c r="F97" s="1">
        <v>864.8</v>
      </c>
      <c r="G97" s="23">
        <v>0.641</v>
      </c>
      <c r="H97" s="23">
        <v>0.53</v>
      </c>
      <c r="I97" s="1">
        <v>350.5</v>
      </c>
      <c r="J97" s="1">
        <v>647.0</v>
      </c>
      <c r="K97" s="1">
        <v>27121.0</v>
      </c>
      <c r="L97" s="1">
        <v>100.0</v>
      </c>
      <c r="M97" s="23">
        <v>14.639</v>
      </c>
      <c r="O97" s="23">
        <f t="shared" si="8"/>
        <v>0.53</v>
      </c>
    </row>
    <row r="98">
      <c r="A98" s="1">
        <v>178.0</v>
      </c>
      <c r="B98" s="1">
        <v>18341.0</v>
      </c>
      <c r="C98" s="26">
        <v>15.043</v>
      </c>
      <c r="D98" s="23">
        <v>15.411</v>
      </c>
      <c r="E98" s="23">
        <v>0.827</v>
      </c>
      <c r="F98" s="1">
        <v>864.8</v>
      </c>
      <c r="G98" s="23">
        <v>0.641</v>
      </c>
      <c r="H98" s="23">
        <v>0.53</v>
      </c>
      <c r="I98" s="1">
        <v>350.5</v>
      </c>
      <c r="J98" s="1">
        <v>647.0</v>
      </c>
      <c r="K98" s="1">
        <v>27121.0</v>
      </c>
      <c r="L98" s="1">
        <v>100.0</v>
      </c>
      <c r="M98" s="23">
        <v>14.591</v>
      </c>
      <c r="O98" s="23">
        <f t="shared" si="8"/>
        <v>0.53</v>
      </c>
    </row>
    <row r="99">
      <c r="A99" s="1">
        <v>180.0</v>
      </c>
      <c r="B99" s="1">
        <v>18341.0</v>
      </c>
      <c r="C99" s="23">
        <v>16.256</v>
      </c>
      <c r="D99" s="23">
        <v>16.491</v>
      </c>
      <c r="E99" s="23">
        <v>0.707</v>
      </c>
      <c r="F99" s="1">
        <v>864.8</v>
      </c>
      <c r="G99" s="23">
        <v>0.641</v>
      </c>
      <c r="H99" s="23">
        <v>0.488</v>
      </c>
      <c r="I99" s="1">
        <v>350.5</v>
      </c>
      <c r="J99" s="1">
        <v>647.0</v>
      </c>
      <c r="K99" s="1">
        <v>27121.0</v>
      </c>
      <c r="L99" s="1">
        <v>100.0</v>
      </c>
      <c r="M99" s="23">
        <v>14.591</v>
      </c>
      <c r="O99" s="23">
        <f t="shared" si="8"/>
        <v>0.488</v>
      </c>
    </row>
    <row r="100">
      <c r="A100" s="1">
        <v>182.0</v>
      </c>
      <c r="B100" s="1">
        <v>20047.0</v>
      </c>
      <c r="C100" s="23">
        <v>16.427</v>
      </c>
      <c r="D100" s="23">
        <v>16.657</v>
      </c>
      <c r="E100" s="23">
        <v>0.707</v>
      </c>
      <c r="F100" s="1">
        <v>849.8</v>
      </c>
      <c r="G100" s="23">
        <v>0.615</v>
      </c>
      <c r="H100" s="23">
        <v>0.498</v>
      </c>
      <c r="I100" s="1">
        <v>350.5</v>
      </c>
      <c r="J100" s="1">
        <v>565.0</v>
      </c>
      <c r="K100" s="1">
        <v>29644.0</v>
      </c>
      <c r="L100" s="1">
        <v>100.0</v>
      </c>
      <c r="M100" s="23">
        <v>14.659</v>
      </c>
      <c r="O100" s="23">
        <f t="shared" si="8"/>
        <v>0.498</v>
      </c>
    </row>
    <row r="101">
      <c r="A101" s="1">
        <v>184.0</v>
      </c>
      <c r="B101" s="1">
        <v>20047.0</v>
      </c>
      <c r="C101" s="23">
        <v>16.427</v>
      </c>
      <c r="D101" s="23">
        <v>16.657</v>
      </c>
      <c r="E101" s="23">
        <v>1.207</v>
      </c>
      <c r="F101" s="1">
        <v>864.8</v>
      </c>
      <c r="G101" s="23">
        <v>0.615</v>
      </c>
      <c r="H101" s="23">
        <v>0.49</v>
      </c>
      <c r="I101" s="1">
        <v>350.5</v>
      </c>
      <c r="J101" s="1">
        <v>565.0</v>
      </c>
      <c r="K101" s="1">
        <v>29644.0</v>
      </c>
      <c r="L101" s="1">
        <v>100.0</v>
      </c>
      <c r="M101" s="23">
        <v>14.659</v>
      </c>
      <c r="O101" s="23">
        <f t="shared" si="8"/>
        <v>0.49</v>
      </c>
    </row>
    <row r="102">
      <c r="A102" s="1">
        <v>186.0</v>
      </c>
      <c r="B102" s="1">
        <v>20047.0</v>
      </c>
      <c r="C102" s="23">
        <v>16.081</v>
      </c>
      <c r="D102" s="23">
        <v>16.341</v>
      </c>
      <c r="E102" s="23">
        <v>1.207</v>
      </c>
      <c r="F102" s="1">
        <v>864.8</v>
      </c>
      <c r="G102" s="23">
        <v>0.615</v>
      </c>
      <c r="H102" s="23">
        <v>0.49</v>
      </c>
      <c r="I102" s="1">
        <v>350.5</v>
      </c>
      <c r="J102" s="1">
        <v>565.0</v>
      </c>
      <c r="K102" s="1">
        <v>29644.0</v>
      </c>
      <c r="L102" s="1">
        <v>100.0</v>
      </c>
      <c r="M102" s="23">
        <v>14.702</v>
      </c>
      <c r="O102" s="23">
        <f t="shared" si="8"/>
        <v>0.49</v>
      </c>
    </row>
    <row r="103">
      <c r="A103" s="1">
        <v>188.0</v>
      </c>
      <c r="B103" s="1">
        <v>20047.0</v>
      </c>
      <c r="C103" s="23">
        <v>15.902</v>
      </c>
      <c r="D103" s="23">
        <v>16.665</v>
      </c>
      <c r="E103" s="23">
        <v>1.479</v>
      </c>
      <c r="F103" s="1">
        <v>864.8</v>
      </c>
      <c r="G103" s="23">
        <v>0.615</v>
      </c>
      <c r="H103" s="23">
        <v>0.49</v>
      </c>
      <c r="I103" s="1">
        <v>350.5</v>
      </c>
      <c r="J103" s="1">
        <v>565.0</v>
      </c>
      <c r="K103" s="1">
        <v>29644.0</v>
      </c>
      <c r="L103" s="1">
        <v>100.0</v>
      </c>
      <c r="M103" s="23">
        <v>14.702</v>
      </c>
      <c r="O103" s="23">
        <f t="shared" si="8"/>
        <v>0.49</v>
      </c>
    </row>
    <row r="104">
      <c r="A104" s="1">
        <v>190.0</v>
      </c>
      <c r="B104" s="1">
        <v>20047.0</v>
      </c>
      <c r="C104" s="23">
        <v>15.174</v>
      </c>
      <c r="D104" s="23">
        <v>16.009</v>
      </c>
      <c r="E104" s="23">
        <v>1.479</v>
      </c>
      <c r="F104" s="1">
        <v>864.8</v>
      </c>
      <c r="G104" s="23">
        <v>0.615</v>
      </c>
      <c r="H104" s="26">
        <v>0.49</v>
      </c>
      <c r="I104" s="1">
        <v>350.5</v>
      </c>
      <c r="J104" s="1">
        <v>565.0</v>
      </c>
      <c r="K104" s="1">
        <v>29644.0</v>
      </c>
      <c r="L104" s="1">
        <v>100.0</v>
      </c>
      <c r="M104" s="23">
        <v>14.662</v>
      </c>
      <c r="O104" s="23">
        <f t="shared" si="8"/>
        <v>0.49</v>
      </c>
    </row>
    <row r="105">
      <c r="A105" s="1">
        <v>192.0</v>
      </c>
      <c r="B105" s="1">
        <v>20047.0</v>
      </c>
      <c r="C105" s="23">
        <v>15.573</v>
      </c>
      <c r="D105" s="23">
        <v>16.333</v>
      </c>
      <c r="E105" s="23">
        <v>1.937</v>
      </c>
      <c r="F105" s="1">
        <v>864.8</v>
      </c>
      <c r="G105" s="23">
        <v>0.615</v>
      </c>
      <c r="H105" s="23">
        <v>1.532</v>
      </c>
      <c r="I105" s="1">
        <v>350.5</v>
      </c>
      <c r="J105" s="1">
        <v>565.0</v>
      </c>
      <c r="K105" s="1">
        <v>29644.0</v>
      </c>
      <c r="L105" s="1">
        <v>100.0</v>
      </c>
      <c r="M105" s="23">
        <v>14.662</v>
      </c>
      <c r="O105" s="23">
        <f t="shared" si="8"/>
        <v>1</v>
      </c>
    </row>
    <row r="106">
      <c r="A106" s="1" t="s">
        <v>515</v>
      </c>
      <c r="B106" s="1"/>
      <c r="C106" s="23"/>
      <c r="D106" s="23"/>
      <c r="E106" s="23"/>
      <c r="F106" s="1"/>
      <c r="G106" s="23"/>
      <c r="H106" s="23"/>
      <c r="I106" s="1"/>
      <c r="J106" s="1"/>
      <c r="K106" s="1"/>
      <c r="L106" s="1"/>
      <c r="M106" s="23"/>
      <c r="O106" s="23" t="str">
        <f t="shared" si="8"/>
        <v/>
      </c>
    </row>
    <row r="107">
      <c r="A107" s="1">
        <v>194.0</v>
      </c>
      <c r="B107" s="1">
        <v>20047.0</v>
      </c>
      <c r="C107" s="23">
        <v>15.895</v>
      </c>
      <c r="D107" s="23">
        <v>16.117</v>
      </c>
      <c r="E107" s="23">
        <v>1.937</v>
      </c>
      <c r="F107" s="1">
        <v>864.8</v>
      </c>
      <c r="G107" s="23">
        <v>0.615</v>
      </c>
      <c r="H107" s="23">
        <v>1.54</v>
      </c>
      <c r="I107" s="1">
        <v>350.5</v>
      </c>
      <c r="J107" s="1">
        <v>565.0</v>
      </c>
      <c r="K107" s="1">
        <v>29644.0</v>
      </c>
      <c r="L107" s="1">
        <v>100.0</v>
      </c>
      <c r="M107" s="23">
        <v>14.662</v>
      </c>
      <c r="O107" s="23">
        <f t="shared" si="8"/>
        <v>1</v>
      </c>
    </row>
    <row r="108">
      <c r="A108" s="1">
        <v>196.0</v>
      </c>
      <c r="B108" s="1">
        <v>18341.0</v>
      </c>
      <c r="C108" s="23">
        <v>15.175</v>
      </c>
      <c r="D108" s="23">
        <v>19.694</v>
      </c>
      <c r="E108" s="23">
        <v>1.937</v>
      </c>
      <c r="F108" s="1">
        <v>849.8</v>
      </c>
      <c r="G108" s="23">
        <v>0.641</v>
      </c>
      <c r="H108" s="23">
        <v>0.54</v>
      </c>
      <c r="I108" s="1">
        <v>350.5</v>
      </c>
      <c r="J108" s="1">
        <v>647.0</v>
      </c>
      <c r="K108" s="1">
        <v>27121.0</v>
      </c>
      <c r="L108" s="1">
        <v>100.0</v>
      </c>
      <c r="M108" s="23">
        <v>14.601</v>
      </c>
      <c r="O108" s="23">
        <f t="shared" si="8"/>
        <v>0.54</v>
      </c>
    </row>
    <row r="109">
      <c r="A109" s="1">
        <v>198.0</v>
      </c>
      <c r="B109" s="1">
        <v>18341.0</v>
      </c>
      <c r="C109" s="23">
        <v>15.209</v>
      </c>
      <c r="D109" s="23">
        <v>19.694</v>
      </c>
      <c r="E109" s="23">
        <v>1.937</v>
      </c>
      <c r="F109" s="1">
        <v>849.8</v>
      </c>
      <c r="G109" s="23">
        <v>0.641</v>
      </c>
      <c r="H109" s="23">
        <v>0.53</v>
      </c>
      <c r="I109" s="1">
        <v>350.5</v>
      </c>
      <c r="J109" s="1">
        <v>647.0</v>
      </c>
      <c r="K109" s="1">
        <v>27121.0</v>
      </c>
      <c r="L109" s="1">
        <v>100.0</v>
      </c>
      <c r="M109" s="26">
        <v>14.601</v>
      </c>
      <c r="O109" s="23">
        <f t="shared" si="8"/>
        <v>0.53</v>
      </c>
    </row>
    <row r="110">
      <c r="A110" s="1">
        <v>200.0</v>
      </c>
      <c r="B110" s="1">
        <v>18341.0</v>
      </c>
      <c r="C110" s="23">
        <v>15.232</v>
      </c>
      <c r="D110" s="23">
        <v>19.706</v>
      </c>
      <c r="E110" s="23">
        <v>1.937</v>
      </c>
      <c r="F110" s="1">
        <v>849.8</v>
      </c>
      <c r="G110" s="23">
        <v>0.641</v>
      </c>
      <c r="H110" s="23">
        <v>0.53</v>
      </c>
      <c r="I110" s="1">
        <v>350.5</v>
      </c>
      <c r="J110" s="1">
        <v>647.0</v>
      </c>
      <c r="K110" s="1">
        <v>27121.0</v>
      </c>
      <c r="L110" s="1">
        <v>100.0</v>
      </c>
      <c r="M110" s="26">
        <v>14.645</v>
      </c>
      <c r="O110" s="23">
        <f t="shared" si="8"/>
        <v>0.53</v>
      </c>
    </row>
    <row r="111">
      <c r="A111" s="1">
        <v>202.0</v>
      </c>
      <c r="B111" s="1">
        <v>18341.0</v>
      </c>
      <c r="C111" s="23">
        <v>15.255</v>
      </c>
      <c r="D111" s="23">
        <v>19.706</v>
      </c>
      <c r="E111" s="23">
        <v>1.479</v>
      </c>
      <c r="F111" s="1">
        <v>849.8</v>
      </c>
      <c r="G111" s="23">
        <v>0.641</v>
      </c>
      <c r="H111" s="23">
        <v>1.53</v>
      </c>
      <c r="I111" s="1">
        <v>350.5</v>
      </c>
      <c r="J111" s="1">
        <v>647.0</v>
      </c>
      <c r="K111" s="1">
        <v>27121.0</v>
      </c>
      <c r="L111" s="1">
        <v>100.0</v>
      </c>
      <c r="M111" s="23">
        <v>14.645</v>
      </c>
      <c r="O111" s="23">
        <f t="shared" si="8"/>
        <v>1</v>
      </c>
    </row>
    <row r="112">
      <c r="A112" s="1">
        <v>204.0</v>
      </c>
      <c r="B112" s="1">
        <v>18341.0</v>
      </c>
      <c r="C112" s="23">
        <v>15.133</v>
      </c>
      <c r="D112" s="23">
        <v>19.717</v>
      </c>
      <c r="E112" s="23">
        <v>0.957</v>
      </c>
      <c r="F112" s="1">
        <v>864.8</v>
      </c>
      <c r="G112" s="23">
        <v>0.641</v>
      </c>
      <c r="H112" s="23">
        <v>1.53</v>
      </c>
      <c r="I112" s="1">
        <v>350.5</v>
      </c>
      <c r="J112" s="1">
        <v>647.0</v>
      </c>
      <c r="K112" s="1">
        <v>27121.0</v>
      </c>
      <c r="L112" s="1">
        <v>100.0</v>
      </c>
      <c r="M112" s="23">
        <v>14.687</v>
      </c>
      <c r="O112" s="23">
        <f t="shared" si="8"/>
        <v>1</v>
      </c>
    </row>
    <row r="113">
      <c r="A113" s="1">
        <v>206.0</v>
      </c>
      <c r="B113" s="1">
        <v>18341.0</v>
      </c>
      <c r="C113" s="23">
        <v>15.144</v>
      </c>
      <c r="D113" s="23">
        <v>16.145</v>
      </c>
      <c r="E113" s="23">
        <v>1.377</v>
      </c>
      <c r="F113" s="1">
        <v>864.8</v>
      </c>
      <c r="G113" s="23">
        <v>0.641</v>
      </c>
      <c r="H113" s="23">
        <v>1.532</v>
      </c>
      <c r="I113" s="1">
        <v>350.5</v>
      </c>
      <c r="J113" s="1">
        <v>647.0</v>
      </c>
      <c r="K113" s="1">
        <v>27121.0</v>
      </c>
      <c r="L113" s="1">
        <v>100.0</v>
      </c>
      <c r="M113" s="23">
        <v>14.687</v>
      </c>
      <c r="O113" s="23">
        <f t="shared" si="8"/>
        <v>1</v>
      </c>
    </row>
    <row r="114">
      <c r="A114" s="1">
        <v>209.0</v>
      </c>
      <c r="B114" s="1">
        <v>18341.0</v>
      </c>
      <c r="C114" s="23">
        <v>15.166</v>
      </c>
      <c r="D114" s="23">
        <v>16.144</v>
      </c>
      <c r="E114" s="23">
        <v>1.497</v>
      </c>
      <c r="F114" s="1">
        <v>864.8</v>
      </c>
      <c r="G114" s="23">
        <v>0.641</v>
      </c>
      <c r="H114" s="23">
        <v>0.532</v>
      </c>
      <c r="I114" s="1">
        <v>350.5</v>
      </c>
      <c r="J114" s="1">
        <v>647.0</v>
      </c>
      <c r="K114" s="1">
        <v>27121.0</v>
      </c>
      <c r="L114" s="1">
        <v>100.0</v>
      </c>
      <c r="M114" s="23">
        <v>14.679</v>
      </c>
      <c r="O114" s="23">
        <f t="shared" si="8"/>
        <v>0.532</v>
      </c>
    </row>
    <row r="115">
      <c r="A115" s="1">
        <v>211.0</v>
      </c>
      <c r="B115" s="1">
        <v>18341.0</v>
      </c>
      <c r="C115" s="23">
        <v>14.601</v>
      </c>
      <c r="D115" s="23">
        <v>16.144</v>
      </c>
      <c r="E115" s="23">
        <v>1.497</v>
      </c>
      <c r="F115" s="1">
        <v>864.8</v>
      </c>
      <c r="G115" s="23">
        <v>0.641</v>
      </c>
      <c r="H115" s="23">
        <v>0.582</v>
      </c>
      <c r="I115" s="1">
        <v>350.5</v>
      </c>
      <c r="J115" s="1">
        <v>647.0</v>
      </c>
      <c r="K115" s="1">
        <v>27121.0</v>
      </c>
      <c r="L115" s="1">
        <v>100.0</v>
      </c>
      <c r="M115" s="23">
        <v>14.679</v>
      </c>
      <c r="O115" s="23">
        <f t="shared" si="8"/>
        <v>0.582</v>
      </c>
    </row>
    <row r="116">
      <c r="A116" s="1">
        <v>213.0</v>
      </c>
      <c r="B116" s="1">
        <v>18341.0</v>
      </c>
      <c r="C116" s="23">
        <v>14.248</v>
      </c>
      <c r="D116" s="23">
        <v>15.792</v>
      </c>
      <c r="E116" s="23">
        <v>1.497</v>
      </c>
      <c r="F116" s="1">
        <v>864.8</v>
      </c>
      <c r="G116" s="23">
        <v>0.641</v>
      </c>
      <c r="H116" s="23">
        <v>0.582</v>
      </c>
      <c r="I116" s="1">
        <v>350.5</v>
      </c>
      <c r="J116" s="1">
        <v>647.0</v>
      </c>
      <c r="K116" s="1">
        <v>27121.0</v>
      </c>
      <c r="L116" s="1">
        <v>100.0</v>
      </c>
      <c r="M116" s="26">
        <v>14.621</v>
      </c>
      <c r="O116" s="23">
        <f t="shared" si="8"/>
        <v>0.582</v>
      </c>
    </row>
    <row r="117">
      <c r="A117" s="1">
        <v>215.0</v>
      </c>
      <c r="B117" s="1">
        <v>18341.0</v>
      </c>
      <c r="C117" s="23">
        <v>14.624</v>
      </c>
      <c r="D117" s="23">
        <v>16.131</v>
      </c>
      <c r="E117" s="26">
        <v>1.497</v>
      </c>
      <c r="F117" s="1">
        <v>864.8</v>
      </c>
      <c r="G117" s="23">
        <v>0.615</v>
      </c>
      <c r="H117" s="23">
        <v>0.582</v>
      </c>
      <c r="I117" s="1">
        <v>350.5</v>
      </c>
      <c r="J117" s="1">
        <v>565.0</v>
      </c>
      <c r="K117" s="1">
        <v>27121.0</v>
      </c>
      <c r="L117" s="1">
        <v>100.0</v>
      </c>
      <c r="M117" s="26">
        <v>14.621</v>
      </c>
      <c r="O117" s="23">
        <f t="shared" si="8"/>
        <v>0.582</v>
      </c>
    </row>
    <row r="118">
      <c r="A118" s="1">
        <v>217.0</v>
      </c>
      <c r="B118" s="1">
        <v>20047.0</v>
      </c>
      <c r="C118" s="23">
        <v>16.009</v>
      </c>
      <c r="D118" s="23">
        <v>17.445</v>
      </c>
      <c r="E118" s="26">
        <v>1.497</v>
      </c>
      <c r="F118" s="1">
        <v>864.8</v>
      </c>
      <c r="G118" s="23">
        <v>0.615</v>
      </c>
      <c r="H118" s="23">
        <v>0.582</v>
      </c>
      <c r="I118" s="1">
        <v>350.5</v>
      </c>
      <c r="J118" s="1">
        <v>565.0</v>
      </c>
      <c r="K118" s="1">
        <v>29644.0</v>
      </c>
      <c r="L118" s="1">
        <v>100.0</v>
      </c>
      <c r="M118" s="23">
        <v>14.737</v>
      </c>
      <c r="O118" s="23">
        <f t="shared" si="8"/>
        <v>0.582</v>
      </c>
    </row>
    <row r="119">
      <c r="A119" s="1">
        <v>219.0</v>
      </c>
      <c r="B119" s="1">
        <v>23460.0</v>
      </c>
      <c r="C119" s="23">
        <v>17.563</v>
      </c>
      <c r="D119" s="23">
        <v>18.88</v>
      </c>
      <c r="E119" s="26">
        <v>1.497</v>
      </c>
      <c r="F119" s="1">
        <v>864.8</v>
      </c>
      <c r="G119" s="23">
        <v>0.615</v>
      </c>
      <c r="H119" s="23">
        <v>0.572</v>
      </c>
      <c r="I119" s="1">
        <v>350.5</v>
      </c>
      <c r="J119" s="1">
        <v>565.0</v>
      </c>
      <c r="K119" s="1">
        <v>34690.0</v>
      </c>
      <c r="L119" s="1">
        <v>100.0</v>
      </c>
      <c r="M119" s="23">
        <v>14.737</v>
      </c>
      <c r="O119" s="23">
        <f t="shared" si="8"/>
        <v>0.572</v>
      </c>
    </row>
    <row r="120">
      <c r="A120" s="1">
        <v>221.0</v>
      </c>
      <c r="B120" s="1">
        <v>25166.0</v>
      </c>
      <c r="C120" s="23">
        <v>16.81</v>
      </c>
      <c r="D120" s="26">
        <v>18.021</v>
      </c>
      <c r="E120" s="23">
        <v>1.497</v>
      </c>
      <c r="F120" s="1">
        <v>864.8</v>
      </c>
      <c r="G120" s="23">
        <v>0.615</v>
      </c>
      <c r="H120" s="23">
        <v>0.572</v>
      </c>
      <c r="I120" s="1">
        <v>350.5</v>
      </c>
      <c r="J120" s="1">
        <v>565.0</v>
      </c>
      <c r="K120" s="1">
        <v>37212.0</v>
      </c>
      <c r="L120" s="1">
        <v>100.0</v>
      </c>
      <c r="M120" s="23">
        <v>14.737</v>
      </c>
      <c r="O120" s="23">
        <f t="shared" si="8"/>
        <v>0.572</v>
      </c>
    </row>
    <row r="121">
      <c r="A121" s="1">
        <v>223.0</v>
      </c>
      <c r="B121" s="1">
        <v>22149.0</v>
      </c>
      <c r="C121" s="23">
        <v>16.135</v>
      </c>
      <c r="D121" s="26">
        <v>17.451</v>
      </c>
      <c r="E121" s="23">
        <v>1.377</v>
      </c>
      <c r="F121" s="1">
        <v>849.8</v>
      </c>
      <c r="G121" s="23">
        <v>0.615</v>
      </c>
      <c r="H121" s="23">
        <v>0.572</v>
      </c>
      <c r="I121" s="1">
        <v>350.5</v>
      </c>
      <c r="J121" s="1">
        <v>565.0</v>
      </c>
      <c r="K121" s="1">
        <v>33428.0</v>
      </c>
      <c r="L121" s="1">
        <v>100.0</v>
      </c>
      <c r="M121" s="23">
        <v>14.911</v>
      </c>
      <c r="O121" s="23">
        <f t="shared" si="8"/>
        <v>0.572</v>
      </c>
    </row>
    <row r="122">
      <c r="A122" s="1">
        <v>225.0</v>
      </c>
      <c r="B122" s="1">
        <v>22607.0</v>
      </c>
      <c r="C122" s="23">
        <v>16.513</v>
      </c>
      <c r="D122" s="26">
        <v>17.823</v>
      </c>
      <c r="E122" s="23">
        <v>1.377</v>
      </c>
      <c r="F122" s="1">
        <v>849.8</v>
      </c>
      <c r="G122" s="23">
        <v>0.615</v>
      </c>
      <c r="H122" s="23">
        <v>0.572</v>
      </c>
      <c r="I122" s="1">
        <v>350.5</v>
      </c>
      <c r="J122" s="1">
        <v>565.0</v>
      </c>
      <c r="K122" s="1">
        <v>33428.0</v>
      </c>
      <c r="L122" s="1">
        <v>100.0</v>
      </c>
      <c r="M122" s="23">
        <v>14.911</v>
      </c>
      <c r="O122" s="23">
        <f t="shared" si="8"/>
        <v>0.572</v>
      </c>
    </row>
    <row r="123">
      <c r="A123" s="1">
        <v>227.0</v>
      </c>
      <c r="B123" s="1">
        <v>22607.0</v>
      </c>
      <c r="C123" s="23">
        <v>16.502</v>
      </c>
      <c r="D123" s="23">
        <v>17.825</v>
      </c>
      <c r="E123" s="23">
        <v>1.377</v>
      </c>
      <c r="F123" s="1">
        <v>849.8</v>
      </c>
      <c r="G123" s="23">
        <v>0.615</v>
      </c>
      <c r="H123" s="26">
        <v>0.572</v>
      </c>
      <c r="I123" s="1">
        <v>350.5</v>
      </c>
      <c r="J123" s="1">
        <v>565.0</v>
      </c>
      <c r="K123" s="1">
        <v>33428.0</v>
      </c>
      <c r="L123" s="1">
        <v>100.0</v>
      </c>
      <c r="M123" s="23">
        <v>14.916</v>
      </c>
      <c r="O123" s="23">
        <f t="shared" si="8"/>
        <v>0.572</v>
      </c>
    </row>
    <row r="124">
      <c r="A124" s="1">
        <v>229.0</v>
      </c>
      <c r="B124" s="1">
        <v>22607.0</v>
      </c>
      <c r="C124" s="23">
        <v>17.045</v>
      </c>
      <c r="D124" s="23">
        <v>17.825</v>
      </c>
      <c r="E124" s="23">
        <v>1.127</v>
      </c>
      <c r="F124" s="1">
        <v>849.8</v>
      </c>
      <c r="G124" s="23">
        <v>0.641</v>
      </c>
      <c r="H124" s="23">
        <v>0.582</v>
      </c>
      <c r="I124" s="1">
        <v>350.5</v>
      </c>
      <c r="J124" s="1">
        <v>647.0</v>
      </c>
      <c r="K124" s="1">
        <v>33428.0</v>
      </c>
      <c r="L124" s="1">
        <v>100.0</v>
      </c>
      <c r="M124" s="23">
        <v>14.916</v>
      </c>
      <c r="O124" s="23">
        <f t="shared" si="8"/>
        <v>0.582</v>
      </c>
    </row>
    <row r="125">
      <c r="A125" s="1">
        <v>231.0</v>
      </c>
      <c r="B125" s="1">
        <v>22607.0</v>
      </c>
      <c r="C125" s="23">
        <v>17.021</v>
      </c>
      <c r="D125" s="23">
        <v>17.809</v>
      </c>
      <c r="E125" s="23">
        <v>1.127</v>
      </c>
      <c r="F125" s="1">
        <v>849.8</v>
      </c>
      <c r="G125" s="23">
        <v>0.641</v>
      </c>
      <c r="H125" s="23">
        <v>0.498</v>
      </c>
      <c r="I125" s="1">
        <v>350.5</v>
      </c>
      <c r="J125" s="1">
        <v>647.0</v>
      </c>
      <c r="K125" s="1">
        <v>33428.0</v>
      </c>
      <c r="L125" s="1">
        <v>100.0</v>
      </c>
      <c r="M125" s="23">
        <v>14.847</v>
      </c>
      <c r="O125" s="23">
        <f t="shared" si="8"/>
        <v>0.498</v>
      </c>
    </row>
    <row r="126">
      <c r="A126" s="1">
        <v>233.0</v>
      </c>
      <c r="B126" s="1">
        <v>19194.0</v>
      </c>
      <c r="C126" s="23">
        <v>14.864</v>
      </c>
      <c r="D126" s="23">
        <v>15.809</v>
      </c>
      <c r="E126" s="23">
        <v>1.127</v>
      </c>
      <c r="F126" s="1">
        <v>849.8</v>
      </c>
      <c r="G126" s="23">
        <v>0.641</v>
      </c>
      <c r="H126" s="23">
        <v>0.49</v>
      </c>
      <c r="I126" s="1">
        <v>350.5</v>
      </c>
      <c r="J126" s="1">
        <v>647.0</v>
      </c>
      <c r="K126" s="1">
        <v>28382.0</v>
      </c>
      <c r="L126" s="1">
        <v>100.0</v>
      </c>
      <c r="M126" s="23">
        <v>14.847</v>
      </c>
      <c r="O126" s="23">
        <f t="shared" si="8"/>
        <v>0.49</v>
      </c>
    </row>
    <row r="127">
      <c r="A127" s="1">
        <v>235.0</v>
      </c>
      <c r="B127" s="1">
        <v>17488.0</v>
      </c>
      <c r="C127" s="23">
        <v>14.425</v>
      </c>
      <c r="D127" s="23">
        <v>15.38</v>
      </c>
      <c r="E127" s="23">
        <v>1.127</v>
      </c>
      <c r="F127" s="1">
        <v>849.8</v>
      </c>
      <c r="G127" s="23">
        <v>0.641</v>
      </c>
      <c r="H127" s="23">
        <v>0.49</v>
      </c>
      <c r="I127" s="1">
        <v>350.5</v>
      </c>
      <c r="J127" s="1">
        <v>647.0</v>
      </c>
      <c r="K127" s="1">
        <v>25860.0</v>
      </c>
      <c r="L127" s="1">
        <v>100.0</v>
      </c>
      <c r="M127" s="23">
        <v>14.649</v>
      </c>
      <c r="O127" s="23">
        <f t="shared" si="8"/>
        <v>0.49</v>
      </c>
    </row>
    <row r="128">
      <c r="A128" s="1">
        <v>237.0</v>
      </c>
      <c r="B128" s="1">
        <v>18341.0</v>
      </c>
      <c r="C128" s="23">
        <v>14.51</v>
      </c>
      <c r="D128" s="23">
        <v>14.775</v>
      </c>
      <c r="E128" s="23">
        <v>1.127</v>
      </c>
      <c r="F128" s="1">
        <v>849.8</v>
      </c>
      <c r="G128" s="23">
        <v>0.641</v>
      </c>
      <c r="H128" s="23">
        <v>0.49</v>
      </c>
      <c r="I128" s="1">
        <v>350.5</v>
      </c>
      <c r="J128" s="1">
        <v>647.0</v>
      </c>
      <c r="K128" s="1">
        <v>27121.0</v>
      </c>
      <c r="L128" s="1">
        <v>100.0</v>
      </c>
      <c r="M128" s="23">
        <v>14.649</v>
      </c>
      <c r="O128" s="23">
        <f t="shared" si="8"/>
        <v>0.49</v>
      </c>
    </row>
    <row r="129">
      <c r="A129" s="1">
        <v>239.0</v>
      </c>
      <c r="B129" s="1">
        <v>18341.0</v>
      </c>
      <c r="C129" s="23">
        <v>15.226</v>
      </c>
      <c r="D129" s="23">
        <v>15.411</v>
      </c>
      <c r="E129" s="23">
        <v>1.127</v>
      </c>
      <c r="F129" s="1">
        <v>849.8</v>
      </c>
      <c r="G129" s="23">
        <v>0.641</v>
      </c>
      <c r="H129" s="23">
        <v>0.498</v>
      </c>
      <c r="I129" s="1">
        <v>350.5</v>
      </c>
      <c r="J129" s="1">
        <v>647.0</v>
      </c>
      <c r="K129" s="1">
        <v>27121.0</v>
      </c>
      <c r="L129" s="1">
        <v>100.0</v>
      </c>
      <c r="M129" s="23">
        <v>14.592</v>
      </c>
      <c r="O129" s="23">
        <f t="shared" si="8"/>
        <v>0.498</v>
      </c>
    </row>
    <row r="130">
      <c r="A130" s="1">
        <v>241.0</v>
      </c>
      <c r="B130" s="1">
        <v>18341.0</v>
      </c>
      <c r="C130" s="23">
        <v>15.226</v>
      </c>
      <c r="D130" s="23">
        <v>15.411</v>
      </c>
      <c r="E130" s="23">
        <v>1.127</v>
      </c>
      <c r="F130" s="1">
        <v>849.8</v>
      </c>
      <c r="G130" s="23">
        <v>0.634</v>
      </c>
      <c r="H130" s="23">
        <v>0.498</v>
      </c>
      <c r="I130" s="1">
        <v>350.5</v>
      </c>
      <c r="J130" s="1">
        <v>627.2</v>
      </c>
      <c r="K130" s="1">
        <v>27121.0</v>
      </c>
      <c r="L130" s="1">
        <v>100.0</v>
      </c>
      <c r="M130" s="23">
        <v>14.592</v>
      </c>
      <c r="O130" s="23">
        <f t="shared" si="8"/>
        <v>0.498</v>
      </c>
    </row>
    <row r="131">
      <c r="A131" s="1">
        <v>243.0</v>
      </c>
      <c r="B131" s="1">
        <v>18341.0</v>
      </c>
      <c r="C131" s="23">
        <v>14.605</v>
      </c>
      <c r="D131" s="23">
        <v>15.413</v>
      </c>
      <c r="E131" s="23">
        <v>0.707</v>
      </c>
      <c r="F131" s="1">
        <v>810.5</v>
      </c>
      <c r="G131" s="23">
        <v>0.628</v>
      </c>
      <c r="H131" s="23">
        <v>0.498</v>
      </c>
      <c r="I131" s="1">
        <v>350.5</v>
      </c>
      <c r="J131" s="1">
        <v>607.7</v>
      </c>
      <c r="K131" s="1">
        <v>27121.0</v>
      </c>
      <c r="L131" s="1">
        <v>100.0</v>
      </c>
      <c r="M131" s="23">
        <v>14.602</v>
      </c>
      <c r="O131" s="23">
        <f t="shared" si="8"/>
        <v>0.498</v>
      </c>
    </row>
    <row r="132">
      <c r="A132" s="1">
        <v>245.0</v>
      </c>
      <c r="B132" s="1">
        <v>18341.0</v>
      </c>
      <c r="C132" s="23">
        <v>14.605</v>
      </c>
      <c r="D132" s="23">
        <v>15.413</v>
      </c>
      <c r="E132" s="23">
        <v>0.707</v>
      </c>
      <c r="F132" s="1">
        <v>810.5</v>
      </c>
      <c r="G132" s="23">
        <v>0.628</v>
      </c>
      <c r="H132" s="23">
        <v>0.498</v>
      </c>
      <c r="I132" s="1">
        <v>350.5</v>
      </c>
      <c r="J132" s="1">
        <v>607.7</v>
      </c>
      <c r="K132" s="1">
        <v>27121.0</v>
      </c>
      <c r="L132" s="1">
        <v>100.0</v>
      </c>
      <c r="M132" s="23">
        <v>14.602</v>
      </c>
      <c r="O132" s="23">
        <f t="shared" si="8"/>
        <v>0.498</v>
      </c>
    </row>
    <row r="133">
      <c r="A133" s="1">
        <v>247.0</v>
      </c>
      <c r="B133" s="1">
        <v>18341.0</v>
      </c>
      <c r="C133" s="23">
        <v>14.605</v>
      </c>
      <c r="D133" s="23">
        <v>15.413</v>
      </c>
      <c r="E133" s="23">
        <v>0.707</v>
      </c>
      <c r="F133" s="1">
        <v>810.5</v>
      </c>
      <c r="G133" s="23">
        <v>0.603</v>
      </c>
      <c r="H133" s="23">
        <v>0.498</v>
      </c>
      <c r="I133" s="1">
        <v>350.5</v>
      </c>
      <c r="J133" s="1">
        <v>525.8</v>
      </c>
      <c r="K133" s="1">
        <v>27121.0</v>
      </c>
      <c r="L133" s="1">
        <v>100.0</v>
      </c>
      <c r="M133" s="23">
        <v>14.602</v>
      </c>
      <c r="O133" s="23">
        <f t="shared" si="8"/>
        <v>0.498</v>
      </c>
    </row>
    <row r="134">
      <c r="A134" s="1">
        <v>249.0</v>
      </c>
      <c r="B134" s="1">
        <v>18341.0</v>
      </c>
      <c r="C134" s="23">
        <v>14.498</v>
      </c>
      <c r="D134" s="23">
        <v>14.764</v>
      </c>
      <c r="E134" s="23">
        <v>1.127</v>
      </c>
      <c r="F134" s="1">
        <v>864.8</v>
      </c>
      <c r="G134" s="23">
        <v>0.615</v>
      </c>
      <c r="H134" s="23">
        <v>0.498</v>
      </c>
      <c r="I134" s="1">
        <v>350.5</v>
      </c>
      <c r="J134" s="1">
        <v>565.0</v>
      </c>
      <c r="K134" s="1">
        <v>27121.0</v>
      </c>
      <c r="L134" s="1">
        <v>100.0</v>
      </c>
      <c r="M134" s="23">
        <v>14.597</v>
      </c>
      <c r="O134" s="23">
        <f t="shared" si="8"/>
        <v>0.498</v>
      </c>
    </row>
    <row r="135">
      <c r="A135" s="1">
        <v>251.0</v>
      </c>
      <c r="B135" s="1">
        <v>18341.0</v>
      </c>
      <c r="C135" s="23">
        <v>14.32</v>
      </c>
      <c r="D135" s="23">
        <v>15.088</v>
      </c>
      <c r="E135" s="23">
        <v>1.127</v>
      </c>
      <c r="F135" s="1">
        <v>864.8</v>
      </c>
      <c r="G135" s="23">
        <v>0.615</v>
      </c>
      <c r="H135" s="23">
        <v>0.498</v>
      </c>
      <c r="I135" s="1">
        <v>350.5</v>
      </c>
      <c r="J135" s="1">
        <v>565.0</v>
      </c>
      <c r="K135" s="1">
        <v>27121.0</v>
      </c>
      <c r="L135" s="1">
        <v>100.0</v>
      </c>
      <c r="M135" s="26">
        <v>14.597</v>
      </c>
      <c r="O135" s="23">
        <f t="shared" si="8"/>
        <v>0.498</v>
      </c>
    </row>
    <row r="136">
      <c r="A136" s="1">
        <v>253.0</v>
      </c>
      <c r="B136" s="1">
        <v>18341.0</v>
      </c>
      <c r="C136" s="23">
        <v>14.082</v>
      </c>
      <c r="D136" s="23">
        <v>15.084</v>
      </c>
      <c r="E136" s="23">
        <v>1.127</v>
      </c>
      <c r="F136" s="1">
        <v>864.8</v>
      </c>
      <c r="G136" s="23">
        <v>0.615</v>
      </c>
      <c r="H136" s="23">
        <v>0.498</v>
      </c>
      <c r="I136" s="1">
        <v>350.5</v>
      </c>
      <c r="J136" s="1">
        <v>565.0</v>
      </c>
      <c r="K136" s="1">
        <v>27121.0</v>
      </c>
      <c r="L136" s="1">
        <v>100.0</v>
      </c>
      <c r="M136" s="26">
        <v>14.581</v>
      </c>
      <c r="O136" s="23">
        <f t="shared" si="8"/>
        <v>0.498</v>
      </c>
    </row>
    <row r="137">
      <c r="A137" s="1">
        <v>255.0</v>
      </c>
      <c r="B137" s="1">
        <v>18341.0</v>
      </c>
      <c r="C137" s="26">
        <v>15.341</v>
      </c>
      <c r="D137" s="23">
        <v>16.164</v>
      </c>
      <c r="E137" s="23">
        <v>1.127</v>
      </c>
      <c r="F137" s="1">
        <v>864.8</v>
      </c>
      <c r="G137" s="23">
        <v>0.615</v>
      </c>
      <c r="H137" s="23">
        <v>0.498</v>
      </c>
      <c r="I137" s="1">
        <v>350.5</v>
      </c>
      <c r="J137" s="1">
        <v>565.0</v>
      </c>
      <c r="K137" s="1">
        <v>27121.0</v>
      </c>
      <c r="L137" s="1">
        <v>100.0</v>
      </c>
      <c r="M137" s="23">
        <v>14.581</v>
      </c>
      <c r="O137" s="23">
        <f t="shared" si="8"/>
        <v>0.498</v>
      </c>
    </row>
    <row r="138">
      <c r="A138" s="1">
        <v>257.0</v>
      </c>
      <c r="B138" s="1">
        <v>20047.0</v>
      </c>
      <c r="C138" s="26">
        <v>16.555</v>
      </c>
      <c r="D138" s="23">
        <v>17.834</v>
      </c>
      <c r="E138" s="23">
        <v>1.127</v>
      </c>
      <c r="F138" s="1">
        <v>864.8</v>
      </c>
      <c r="G138" s="23">
        <v>0.615</v>
      </c>
      <c r="H138" s="23">
        <v>0.498</v>
      </c>
      <c r="I138" s="1">
        <v>350.5</v>
      </c>
      <c r="J138" s="1">
        <v>565.0</v>
      </c>
      <c r="K138" s="1">
        <v>29644.0</v>
      </c>
      <c r="L138" s="1">
        <v>100.0</v>
      </c>
      <c r="M138" s="23">
        <v>14.711</v>
      </c>
      <c r="O138" s="23">
        <f t="shared" si="8"/>
        <v>0.498</v>
      </c>
    </row>
    <row r="139">
      <c r="A139" s="1">
        <v>259.0</v>
      </c>
      <c r="B139" s="1">
        <v>20047.0</v>
      </c>
      <c r="C139" s="26">
        <v>16.578</v>
      </c>
      <c r="D139" s="23">
        <v>17.834</v>
      </c>
      <c r="E139" s="23">
        <v>1.127</v>
      </c>
      <c r="F139" s="1">
        <v>864.8</v>
      </c>
      <c r="G139" s="23">
        <v>0.615</v>
      </c>
      <c r="H139" s="23">
        <v>0.498</v>
      </c>
      <c r="I139" s="1">
        <v>350.5</v>
      </c>
      <c r="J139" s="1">
        <v>565.0</v>
      </c>
      <c r="K139" s="1">
        <v>29644.0</v>
      </c>
      <c r="L139" s="1">
        <v>100.0</v>
      </c>
      <c r="M139" s="23">
        <v>14.711</v>
      </c>
      <c r="O139" s="23">
        <f t="shared" si="8"/>
        <v>0.498</v>
      </c>
    </row>
    <row r="140">
      <c r="A140" s="1">
        <v>261.0</v>
      </c>
      <c r="B140" s="1">
        <v>20047.0</v>
      </c>
      <c r="C140" s="26">
        <v>16.602</v>
      </c>
      <c r="D140" s="23">
        <v>17.85</v>
      </c>
      <c r="E140" s="23">
        <v>1.127</v>
      </c>
      <c r="F140" s="1">
        <v>849.8</v>
      </c>
      <c r="G140" s="23">
        <v>0.615</v>
      </c>
      <c r="H140" s="23">
        <v>0.498</v>
      </c>
      <c r="I140" s="1">
        <v>350.5</v>
      </c>
      <c r="J140" s="1">
        <v>565.0</v>
      </c>
      <c r="K140" s="1">
        <v>29644.0</v>
      </c>
      <c r="L140" s="1">
        <v>100.0</v>
      </c>
      <c r="M140" s="23">
        <v>14.785</v>
      </c>
      <c r="O140" s="23">
        <f t="shared" si="8"/>
        <v>0.498</v>
      </c>
    </row>
    <row r="141">
      <c r="A141" s="1">
        <v>263.0</v>
      </c>
      <c r="B141" s="1">
        <v>20047.0</v>
      </c>
      <c r="C141" s="26">
        <v>16.637</v>
      </c>
      <c r="D141" s="23">
        <v>17.85</v>
      </c>
      <c r="E141" s="23">
        <v>1.127</v>
      </c>
      <c r="F141" s="1">
        <v>849.8</v>
      </c>
      <c r="G141" s="23">
        <v>0.641</v>
      </c>
      <c r="H141" s="23">
        <v>0.498</v>
      </c>
      <c r="I141" s="1">
        <v>350.5</v>
      </c>
      <c r="J141" s="1">
        <v>647.0</v>
      </c>
      <c r="K141" s="1">
        <v>29644.0</v>
      </c>
      <c r="L141" s="1">
        <v>100.0</v>
      </c>
      <c r="M141" s="23">
        <v>14.785</v>
      </c>
      <c r="O141" s="23">
        <f t="shared" si="8"/>
        <v>0.498</v>
      </c>
    </row>
    <row r="142">
      <c r="A142" s="1">
        <v>265.0</v>
      </c>
      <c r="B142" s="1">
        <v>20047.0</v>
      </c>
      <c r="C142" s="23">
        <v>16.58</v>
      </c>
      <c r="D142" s="23">
        <v>21.309</v>
      </c>
      <c r="E142" s="23">
        <v>1.127</v>
      </c>
      <c r="F142" s="1">
        <v>849.8</v>
      </c>
      <c r="G142" s="23">
        <v>0.641</v>
      </c>
      <c r="H142" s="23">
        <v>1.49</v>
      </c>
      <c r="I142" s="1">
        <v>350.5</v>
      </c>
      <c r="J142" s="1">
        <v>647.0</v>
      </c>
      <c r="K142" s="1">
        <v>29644.0</v>
      </c>
      <c r="L142" s="1">
        <v>100.0</v>
      </c>
      <c r="M142" s="23">
        <v>14.751</v>
      </c>
      <c r="O142" s="23">
        <f t="shared" si="8"/>
        <v>1</v>
      </c>
    </row>
    <row r="143">
      <c r="A143" s="1">
        <v>267.0</v>
      </c>
      <c r="B143" s="1">
        <v>20047.0</v>
      </c>
      <c r="C143" s="23">
        <v>16.306</v>
      </c>
      <c r="D143" s="23">
        <v>22.385</v>
      </c>
      <c r="E143" s="23">
        <v>1.228</v>
      </c>
      <c r="F143" s="1">
        <v>849.8</v>
      </c>
      <c r="G143" s="23">
        <v>0.641</v>
      </c>
      <c r="H143" s="23">
        <v>1.49</v>
      </c>
      <c r="I143" s="1">
        <v>350.5</v>
      </c>
      <c r="J143" s="1">
        <v>647.0</v>
      </c>
      <c r="K143" s="1">
        <v>29644.0</v>
      </c>
      <c r="L143" s="1">
        <v>100.0</v>
      </c>
      <c r="M143" s="23">
        <v>14.751</v>
      </c>
      <c r="O143" s="23">
        <f t="shared" si="8"/>
        <v>1</v>
      </c>
    </row>
    <row r="144">
      <c r="A144" s="1">
        <v>269.0</v>
      </c>
      <c r="B144" s="1">
        <v>19641.0</v>
      </c>
      <c r="C144" s="23">
        <v>14.457</v>
      </c>
      <c r="D144" s="23">
        <v>20.964</v>
      </c>
      <c r="E144" s="23">
        <v>1.686</v>
      </c>
      <c r="F144" s="1">
        <v>810.5</v>
      </c>
      <c r="G144" s="23">
        <v>0.628</v>
      </c>
      <c r="H144" s="23">
        <v>0.48</v>
      </c>
      <c r="I144" s="1">
        <v>350.5</v>
      </c>
      <c r="J144" s="1">
        <v>607.7</v>
      </c>
      <c r="K144" s="1">
        <v>29644.0</v>
      </c>
      <c r="L144" s="1">
        <v>100.0</v>
      </c>
      <c r="M144" s="23">
        <v>14.748</v>
      </c>
      <c r="O144" s="23">
        <f t="shared" si="8"/>
        <v>0.48</v>
      </c>
    </row>
    <row r="145">
      <c r="A145" s="1">
        <v>271.0</v>
      </c>
      <c r="B145" s="1">
        <v>18341.0</v>
      </c>
      <c r="C145" s="23">
        <v>14.917</v>
      </c>
      <c r="D145" s="23">
        <v>20.688</v>
      </c>
      <c r="E145" s="23">
        <v>1.686</v>
      </c>
      <c r="F145" s="1">
        <v>849.8</v>
      </c>
      <c r="G145" s="23">
        <v>0.641</v>
      </c>
      <c r="H145" s="23">
        <v>0.48</v>
      </c>
      <c r="I145" s="1">
        <v>350.5</v>
      </c>
      <c r="J145" s="1">
        <v>647.0</v>
      </c>
      <c r="K145" s="1">
        <v>27121.0</v>
      </c>
      <c r="L145" s="1">
        <v>99.0</v>
      </c>
      <c r="M145" s="23">
        <v>14.748</v>
      </c>
      <c r="O145" s="23">
        <f t="shared" si="8"/>
        <v>0.48</v>
      </c>
    </row>
    <row r="146">
      <c r="A146" s="1">
        <v>273.0</v>
      </c>
      <c r="B146" s="1">
        <v>18341.0</v>
      </c>
      <c r="C146" s="26">
        <v>14.599</v>
      </c>
      <c r="D146" s="23">
        <v>20.274</v>
      </c>
      <c r="E146" s="23">
        <v>1.686</v>
      </c>
      <c r="F146" s="1">
        <v>849.8</v>
      </c>
      <c r="G146" s="23">
        <v>0.641</v>
      </c>
      <c r="H146" s="23">
        <v>0.49</v>
      </c>
      <c r="I146" s="1">
        <v>350.5</v>
      </c>
      <c r="J146" s="1">
        <v>647.0</v>
      </c>
      <c r="K146" s="1">
        <v>27121.0</v>
      </c>
      <c r="L146" s="1">
        <v>100.0</v>
      </c>
      <c r="M146" s="23">
        <v>14.748</v>
      </c>
      <c r="O146" s="23">
        <f t="shared" si="8"/>
        <v>0.49</v>
      </c>
    </row>
    <row r="147">
      <c r="A147" s="1">
        <v>275.0</v>
      </c>
      <c r="B147" s="1">
        <v>18341.0</v>
      </c>
      <c r="C147" s="23">
        <v>14.676</v>
      </c>
      <c r="D147" s="23">
        <v>17.495</v>
      </c>
      <c r="E147" s="23">
        <v>1.686</v>
      </c>
      <c r="F147" s="1">
        <v>864.8</v>
      </c>
      <c r="G147" s="23">
        <v>0.641</v>
      </c>
      <c r="H147" s="23">
        <v>0.49</v>
      </c>
      <c r="I147" s="1">
        <v>350.5</v>
      </c>
      <c r="J147" s="1">
        <v>647.0</v>
      </c>
      <c r="K147" s="1">
        <v>27121.0</v>
      </c>
      <c r="L147" s="1">
        <v>100.0</v>
      </c>
      <c r="M147" s="23">
        <v>14.705</v>
      </c>
      <c r="O147" s="23">
        <f t="shared" si="8"/>
        <v>0.49</v>
      </c>
    </row>
    <row r="148">
      <c r="A148" s="1">
        <v>277.0</v>
      </c>
      <c r="B148" s="1">
        <v>18341.0</v>
      </c>
      <c r="C148" s="23">
        <v>15.075</v>
      </c>
      <c r="D148" s="26">
        <v>17.834</v>
      </c>
      <c r="E148" s="23">
        <v>1.795</v>
      </c>
      <c r="F148" s="1">
        <v>864.8</v>
      </c>
      <c r="G148" s="23">
        <v>0.641</v>
      </c>
      <c r="H148" s="23">
        <v>0.498</v>
      </c>
      <c r="I148" s="1">
        <v>350.5</v>
      </c>
      <c r="J148" s="1">
        <v>647.0</v>
      </c>
      <c r="K148" s="1">
        <v>27121.0</v>
      </c>
      <c r="L148" s="1">
        <v>100.0</v>
      </c>
      <c r="M148" s="23">
        <v>14.705</v>
      </c>
      <c r="O148" s="23">
        <f t="shared" si="8"/>
        <v>0.498</v>
      </c>
    </row>
    <row r="149">
      <c r="A149" s="1">
        <v>279.0</v>
      </c>
      <c r="B149" s="1">
        <v>18341.0</v>
      </c>
      <c r="C149" s="23">
        <v>15.099</v>
      </c>
      <c r="D149" s="23">
        <v>17.845</v>
      </c>
      <c r="E149" s="23">
        <v>2.068</v>
      </c>
      <c r="F149" s="1">
        <v>864.8</v>
      </c>
      <c r="G149" s="23">
        <v>0.615</v>
      </c>
      <c r="H149" s="23">
        <v>0.498</v>
      </c>
      <c r="I149" s="1">
        <v>350.5</v>
      </c>
      <c r="J149" s="1">
        <v>565.0</v>
      </c>
      <c r="K149" s="1">
        <v>27121.0</v>
      </c>
      <c r="L149" s="1">
        <v>100.0</v>
      </c>
      <c r="M149" s="23">
        <v>14.754</v>
      </c>
      <c r="O149" s="23">
        <f t="shared" si="8"/>
        <v>0.498</v>
      </c>
    </row>
    <row r="150">
      <c r="A150" s="1">
        <v>281.0</v>
      </c>
      <c r="B150" s="1">
        <v>18341.0</v>
      </c>
      <c r="C150" s="23">
        <v>14.993</v>
      </c>
      <c r="D150" s="23">
        <v>16.726</v>
      </c>
      <c r="E150" s="23">
        <v>2.068</v>
      </c>
      <c r="F150" s="1">
        <v>864.8</v>
      </c>
      <c r="G150" s="23">
        <v>0.615</v>
      </c>
      <c r="H150" s="23">
        <v>0.498</v>
      </c>
      <c r="I150" s="1">
        <v>350.5</v>
      </c>
      <c r="J150" s="1">
        <v>565.0</v>
      </c>
      <c r="K150" s="1">
        <v>27121.0</v>
      </c>
      <c r="L150" s="1">
        <v>100.0</v>
      </c>
      <c r="M150" s="23">
        <v>14.754</v>
      </c>
      <c r="O150" s="23">
        <f t="shared" si="8"/>
        <v>0.498</v>
      </c>
    </row>
    <row r="151">
      <c r="A151" s="1">
        <v>283.0</v>
      </c>
      <c r="B151" s="1">
        <v>18341.0</v>
      </c>
      <c r="C151" s="23">
        <v>15.037</v>
      </c>
      <c r="D151" s="23">
        <v>16.71</v>
      </c>
      <c r="E151" s="23">
        <v>1.937</v>
      </c>
      <c r="F151" s="1">
        <v>864.8</v>
      </c>
      <c r="G151" s="23">
        <v>0.615</v>
      </c>
      <c r="H151" s="23">
        <v>0.488</v>
      </c>
      <c r="I151" s="1">
        <v>350.5</v>
      </c>
      <c r="J151" s="1">
        <v>565.0</v>
      </c>
      <c r="K151" s="1">
        <v>27121.0</v>
      </c>
      <c r="L151" s="1">
        <v>100.0</v>
      </c>
      <c r="M151" s="23">
        <v>14.684</v>
      </c>
      <c r="O151" s="23">
        <f t="shared" si="8"/>
        <v>0.488</v>
      </c>
    </row>
    <row r="152">
      <c r="A152" s="1">
        <v>285.0</v>
      </c>
      <c r="B152" s="1">
        <v>18341.0</v>
      </c>
      <c r="C152" s="23">
        <v>16.032</v>
      </c>
      <c r="D152" s="26">
        <v>17.614</v>
      </c>
      <c r="E152" s="23">
        <v>1.937</v>
      </c>
      <c r="F152" s="1">
        <v>864.8</v>
      </c>
      <c r="G152" s="23">
        <v>0.615</v>
      </c>
      <c r="H152" s="23">
        <v>0.488</v>
      </c>
      <c r="I152" s="1">
        <v>350.5</v>
      </c>
      <c r="J152" s="1">
        <v>565.0</v>
      </c>
      <c r="K152" s="1">
        <v>27121.0</v>
      </c>
      <c r="L152" s="1">
        <v>100.0</v>
      </c>
      <c r="M152" s="23">
        <v>14.684</v>
      </c>
      <c r="O152" s="23">
        <f t="shared" si="8"/>
        <v>0.488</v>
      </c>
    </row>
    <row r="153">
      <c r="A153" s="1">
        <v>287.0</v>
      </c>
      <c r="B153" s="1">
        <v>25166.0</v>
      </c>
      <c r="C153" s="23">
        <v>16.771</v>
      </c>
      <c r="D153" s="23">
        <v>17.523</v>
      </c>
      <c r="E153" s="23">
        <v>1.477</v>
      </c>
      <c r="F153" s="1">
        <v>864.8</v>
      </c>
      <c r="G153" s="23">
        <v>0.615</v>
      </c>
      <c r="H153" s="23">
        <v>0.488</v>
      </c>
      <c r="I153" s="1">
        <v>350.5</v>
      </c>
      <c r="J153" s="1">
        <v>565.0</v>
      </c>
      <c r="K153" s="1">
        <v>37212.0</v>
      </c>
      <c r="L153" s="1">
        <v>100.0</v>
      </c>
      <c r="M153" s="23">
        <v>14.88</v>
      </c>
      <c r="O153" s="23">
        <f t="shared" si="8"/>
        <v>0.488</v>
      </c>
    </row>
    <row r="154">
      <c r="A154" s="1">
        <v>289.0</v>
      </c>
      <c r="B154" s="1">
        <v>22607.0</v>
      </c>
      <c r="C154" s="23">
        <v>17.428</v>
      </c>
      <c r="D154" s="23">
        <v>18.156</v>
      </c>
      <c r="E154" s="23">
        <v>1.477</v>
      </c>
      <c r="F154" s="1">
        <v>864.8</v>
      </c>
      <c r="G154" s="23">
        <v>0.615</v>
      </c>
      <c r="H154" s="23">
        <v>0.488</v>
      </c>
      <c r="I154" s="1">
        <v>350.5</v>
      </c>
      <c r="J154" s="1">
        <v>565.0</v>
      </c>
      <c r="K154" s="1">
        <v>33428.0</v>
      </c>
      <c r="L154" s="1">
        <v>100.0</v>
      </c>
      <c r="M154" s="23">
        <v>14.88</v>
      </c>
      <c r="O154" s="23">
        <f t="shared" si="8"/>
        <v>0.488</v>
      </c>
    </row>
    <row r="155">
      <c r="A155" s="1">
        <v>291.0</v>
      </c>
      <c r="B155" s="1">
        <v>22607.0</v>
      </c>
      <c r="C155" s="23">
        <v>17.371</v>
      </c>
      <c r="D155" s="23">
        <v>18.157</v>
      </c>
      <c r="E155" s="23">
        <v>1.477</v>
      </c>
      <c r="F155" s="1">
        <v>864.8</v>
      </c>
      <c r="G155" s="23">
        <v>0.615</v>
      </c>
      <c r="H155" s="23">
        <v>0.488</v>
      </c>
      <c r="I155" s="1">
        <v>350.5</v>
      </c>
      <c r="J155" s="1">
        <v>565.0</v>
      </c>
      <c r="K155" s="1">
        <v>33428.0</v>
      </c>
      <c r="L155" s="1">
        <v>99.0</v>
      </c>
      <c r="M155" s="23">
        <v>14.883</v>
      </c>
      <c r="O155" s="23">
        <f t="shared" si="8"/>
        <v>0.488</v>
      </c>
    </row>
    <row r="156">
      <c r="A156" s="1">
        <v>293.0</v>
      </c>
      <c r="B156" s="1">
        <v>22607.0</v>
      </c>
      <c r="C156" s="26">
        <v>17.02</v>
      </c>
      <c r="D156" s="23">
        <v>17.818</v>
      </c>
      <c r="E156" s="23">
        <v>1.477</v>
      </c>
      <c r="F156" s="1">
        <v>864.8</v>
      </c>
      <c r="G156" s="23">
        <v>0.615</v>
      </c>
      <c r="H156" s="23">
        <v>0.488</v>
      </c>
      <c r="I156" s="1">
        <v>350.5</v>
      </c>
      <c r="J156" s="1">
        <v>565.0</v>
      </c>
      <c r="K156" s="1">
        <v>33428.0</v>
      </c>
      <c r="L156" s="1">
        <v>100.0</v>
      </c>
      <c r="M156" s="23">
        <v>14.883</v>
      </c>
      <c r="O156" s="23">
        <f t="shared" si="8"/>
        <v>0.488</v>
      </c>
    </row>
    <row r="157">
      <c r="A157" s="1">
        <v>295.0</v>
      </c>
      <c r="B157" s="1">
        <v>22607.0</v>
      </c>
      <c r="C157" s="23">
        <v>16.069</v>
      </c>
      <c r="D157" s="23">
        <v>17.486</v>
      </c>
      <c r="E157" s="23">
        <v>1.477</v>
      </c>
      <c r="F157" s="1">
        <v>849.8</v>
      </c>
      <c r="G157" s="23">
        <v>0.641</v>
      </c>
      <c r="H157" s="23">
        <v>0.53</v>
      </c>
      <c r="I157" s="1">
        <v>350.5</v>
      </c>
      <c r="J157" s="1">
        <v>647.0</v>
      </c>
      <c r="K157" s="1">
        <v>33428.0</v>
      </c>
      <c r="L157" s="1">
        <v>100.0</v>
      </c>
      <c r="M157" s="23">
        <v>14.916</v>
      </c>
      <c r="O157" s="23">
        <f t="shared" si="8"/>
        <v>0.53</v>
      </c>
    </row>
    <row r="158">
      <c r="A158" s="1">
        <v>297.0</v>
      </c>
      <c r="B158" s="1">
        <v>22607.0</v>
      </c>
      <c r="C158" s="23">
        <v>16.589</v>
      </c>
      <c r="D158" s="23">
        <v>17.486</v>
      </c>
      <c r="E158" s="23">
        <v>1.377</v>
      </c>
      <c r="F158" s="1">
        <v>849.8</v>
      </c>
      <c r="G158" s="23">
        <v>0.641</v>
      </c>
      <c r="H158" s="23">
        <v>0.582</v>
      </c>
      <c r="I158" s="1">
        <v>350.5</v>
      </c>
      <c r="J158" s="1">
        <v>647.0</v>
      </c>
      <c r="K158" s="1">
        <v>33428.0</v>
      </c>
      <c r="L158" s="1">
        <v>100.0</v>
      </c>
      <c r="M158" s="23">
        <v>14.916</v>
      </c>
      <c r="O158" s="23">
        <f t="shared" si="8"/>
        <v>0.582</v>
      </c>
    </row>
    <row r="159">
      <c r="A159" s="1">
        <v>299.0</v>
      </c>
      <c r="B159" s="1">
        <v>22607.0</v>
      </c>
      <c r="C159" s="23">
        <v>17.282</v>
      </c>
      <c r="D159" s="23">
        <v>18.152</v>
      </c>
      <c r="E159" s="23">
        <v>0.957</v>
      </c>
      <c r="F159" s="1">
        <v>849.8</v>
      </c>
      <c r="G159" s="23">
        <v>0.641</v>
      </c>
      <c r="H159" s="23">
        <v>0.582</v>
      </c>
      <c r="I159" s="1">
        <v>350.5</v>
      </c>
      <c r="J159" s="1">
        <v>647.0</v>
      </c>
      <c r="K159" s="1">
        <v>33428.0</v>
      </c>
      <c r="L159" s="1">
        <v>100.0</v>
      </c>
      <c r="M159" s="23">
        <v>14.863</v>
      </c>
      <c r="O159" s="23">
        <f t="shared" si="8"/>
        <v>0.582</v>
      </c>
    </row>
    <row r="160">
      <c r="A160" s="1">
        <v>301.0</v>
      </c>
      <c r="B160" s="1">
        <v>19194.0</v>
      </c>
      <c r="C160" s="23">
        <v>15.519</v>
      </c>
      <c r="D160" s="23">
        <v>17.135</v>
      </c>
      <c r="E160" s="23">
        <v>0.957</v>
      </c>
      <c r="F160" s="1">
        <v>810.5</v>
      </c>
      <c r="G160" s="23">
        <v>0.628</v>
      </c>
      <c r="H160" s="23">
        <v>0.582</v>
      </c>
      <c r="I160" s="1">
        <v>350.5</v>
      </c>
      <c r="J160" s="1">
        <v>607.7</v>
      </c>
      <c r="K160" s="1">
        <v>28382.0</v>
      </c>
      <c r="L160" s="1">
        <v>100.0</v>
      </c>
      <c r="M160" s="23">
        <v>14.863</v>
      </c>
      <c r="O160" s="23">
        <f t="shared" si="8"/>
        <v>0.582</v>
      </c>
    </row>
    <row r="161">
      <c r="A161" s="1">
        <v>304.0</v>
      </c>
      <c r="B161" s="1">
        <v>18341.0</v>
      </c>
      <c r="C161" s="23">
        <v>14.541</v>
      </c>
      <c r="D161" s="23">
        <v>16.186</v>
      </c>
      <c r="E161" s="23">
        <v>1.377</v>
      </c>
      <c r="F161" s="1">
        <v>810.5</v>
      </c>
      <c r="G161" s="23">
        <v>0.628</v>
      </c>
      <c r="H161" s="23">
        <v>0.582</v>
      </c>
      <c r="I161" s="1">
        <v>350.5</v>
      </c>
      <c r="J161" s="1">
        <v>607.7</v>
      </c>
      <c r="K161" s="1">
        <v>27121.0</v>
      </c>
      <c r="L161" s="1">
        <v>100.0</v>
      </c>
      <c r="M161" s="23">
        <v>14.863</v>
      </c>
      <c r="O161" s="23">
        <f t="shared" si="8"/>
        <v>0.582</v>
      </c>
    </row>
    <row r="162">
      <c r="A162" s="1">
        <v>306.0</v>
      </c>
      <c r="B162" s="1">
        <v>18341.0</v>
      </c>
      <c r="C162" s="23">
        <v>14.584</v>
      </c>
      <c r="D162" s="26">
        <v>15.429</v>
      </c>
      <c r="E162" s="23">
        <v>1.377</v>
      </c>
      <c r="F162" s="1">
        <v>810.5</v>
      </c>
      <c r="G162" s="23">
        <v>0.628</v>
      </c>
      <c r="H162" s="23">
        <v>0.574</v>
      </c>
      <c r="I162" s="1">
        <v>350.5</v>
      </c>
      <c r="J162" s="1">
        <v>607.7</v>
      </c>
      <c r="K162" s="1">
        <v>27121.0</v>
      </c>
      <c r="L162" s="1">
        <v>100.0</v>
      </c>
      <c r="M162" s="23">
        <v>14.676</v>
      </c>
      <c r="O162" s="23">
        <f t="shared" si="8"/>
        <v>0.574</v>
      </c>
    </row>
    <row r="163">
      <c r="A163" s="1">
        <v>308.0</v>
      </c>
      <c r="B163" s="1">
        <v>18341.0</v>
      </c>
      <c r="C163" s="23">
        <v>14.584</v>
      </c>
      <c r="D163" s="23">
        <v>15.429</v>
      </c>
      <c r="E163" s="23">
        <v>1.377</v>
      </c>
      <c r="F163" s="1">
        <v>810.5</v>
      </c>
      <c r="G163" s="23">
        <v>0.628</v>
      </c>
      <c r="H163" s="23">
        <v>0.574</v>
      </c>
      <c r="I163" s="1">
        <v>350.5</v>
      </c>
      <c r="J163" s="1">
        <v>607.7</v>
      </c>
      <c r="K163" s="1">
        <v>27121.0</v>
      </c>
      <c r="L163" s="1">
        <v>100.0</v>
      </c>
      <c r="M163" s="23">
        <v>14.676</v>
      </c>
      <c r="O163" s="23">
        <f t="shared" si="8"/>
        <v>0.574</v>
      </c>
    </row>
    <row r="164">
      <c r="A164" s="1">
        <v>310.0</v>
      </c>
      <c r="B164" s="1">
        <v>18341.0</v>
      </c>
      <c r="C164" s="23">
        <v>14.839</v>
      </c>
      <c r="D164" s="23">
        <v>15.091</v>
      </c>
      <c r="E164" s="23">
        <v>1.377</v>
      </c>
      <c r="F164" s="1">
        <v>849.8</v>
      </c>
      <c r="G164" s="23">
        <v>0.641</v>
      </c>
      <c r="H164" s="23">
        <v>0.574</v>
      </c>
      <c r="I164" s="1">
        <v>350.5</v>
      </c>
      <c r="J164" s="1">
        <v>647.0</v>
      </c>
      <c r="K164" s="1">
        <v>27121.0</v>
      </c>
      <c r="L164" s="1">
        <v>100.0</v>
      </c>
      <c r="M164" s="23">
        <v>14.612</v>
      </c>
      <c r="O164" s="23">
        <f t="shared" si="8"/>
        <v>0.574</v>
      </c>
    </row>
    <row r="165">
      <c r="A165" s="1">
        <v>312.0</v>
      </c>
      <c r="B165" s="1">
        <v>18341.0</v>
      </c>
      <c r="C165" s="23">
        <v>15.203</v>
      </c>
      <c r="D165" s="23">
        <v>15.415</v>
      </c>
      <c r="E165" s="23">
        <v>1.377</v>
      </c>
      <c r="F165" s="1">
        <v>849.8</v>
      </c>
      <c r="G165" s="23">
        <v>0.615</v>
      </c>
      <c r="H165" s="23">
        <v>0.574</v>
      </c>
      <c r="I165" s="1">
        <v>350.5</v>
      </c>
      <c r="J165" s="1">
        <v>565.0</v>
      </c>
      <c r="K165" s="1">
        <v>27121.0</v>
      </c>
      <c r="L165" s="1">
        <v>100.0</v>
      </c>
      <c r="M165" s="23">
        <v>14.612</v>
      </c>
      <c r="O165" s="23">
        <f t="shared" si="8"/>
        <v>0.574</v>
      </c>
    </row>
    <row r="166">
      <c r="A166" s="1">
        <v>314.0</v>
      </c>
      <c r="B166" s="1">
        <v>18341.0</v>
      </c>
      <c r="C166" s="23">
        <v>15.202</v>
      </c>
      <c r="D166" s="23">
        <v>15.412</v>
      </c>
      <c r="E166" s="23">
        <v>1.377</v>
      </c>
      <c r="F166" s="1">
        <v>864.8</v>
      </c>
      <c r="G166" s="23">
        <v>0.615</v>
      </c>
      <c r="H166" s="23">
        <v>0.574</v>
      </c>
      <c r="I166" s="1">
        <v>350.5</v>
      </c>
      <c r="J166" s="1">
        <v>565.0</v>
      </c>
      <c r="K166" s="1">
        <v>27121.0</v>
      </c>
      <c r="L166" s="1">
        <v>100.0</v>
      </c>
      <c r="M166" s="23">
        <v>14.597</v>
      </c>
      <c r="O166" s="23">
        <f t="shared" si="8"/>
        <v>0.574</v>
      </c>
    </row>
    <row r="167">
      <c r="A167" s="1">
        <v>316.0</v>
      </c>
      <c r="B167" s="1">
        <v>17970.0</v>
      </c>
      <c r="C167" s="23">
        <v>14.684</v>
      </c>
      <c r="D167" s="26">
        <v>15.412</v>
      </c>
      <c r="E167" s="23">
        <v>1.377</v>
      </c>
      <c r="F167" s="1">
        <v>864.8</v>
      </c>
      <c r="G167" s="23">
        <v>0.615</v>
      </c>
      <c r="H167" s="23">
        <v>0.574</v>
      </c>
      <c r="I167" s="1">
        <v>350.5</v>
      </c>
      <c r="J167" s="1">
        <v>565.0</v>
      </c>
      <c r="K167" s="1">
        <v>27121.0</v>
      </c>
      <c r="L167" s="1">
        <v>100.0</v>
      </c>
      <c r="M167" s="23">
        <v>14.597</v>
      </c>
      <c r="O167" s="23">
        <f t="shared" si="8"/>
        <v>0.574</v>
      </c>
    </row>
    <row r="168">
      <c r="A168" s="1">
        <v>318.0</v>
      </c>
      <c r="B168" s="1">
        <v>18341.0</v>
      </c>
      <c r="C168" s="23">
        <v>14.342</v>
      </c>
      <c r="D168" s="23">
        <v>15.084</v>
      </c>
      <c r="E168" s="23">
        <v>1.377</v>
      </c>
      <c r="F168" s="1">
        <v>864.8</v>
      </c>
      <c r="G168" s="23">
        <v>0.609</v>
      </c>
      <c r="H168" s="23">
        <v>0.498</v>
      </c>
      <c r="I168" s="1">
        <v>350.5</v>
      </c>
      <c r="J168" s="1">
        <v>545.2</v>
      </c>
      <c r="K168" s="1">
        <v>27121.0</v>
      </c>
      <c r="L168" s="1">
        <v>100.0</v>
      </c>
      <c r="M168" s="23">
        <v>14.578</v>
      </c>
      <c r="O168" s="23">
        <f t="shared" si="8"/>
        <v>0.498</v>
      </c>
    </row>
    <row r="169">
      <c r="A169" s="1">
        <v>320.0</v>
      </c>
      <c r="B169" s="1">
        <v>18341.0</v>
      </c>
      <c r="C169" s="23">
        <v>15.391</v>
      </c>
      <c r="D169" s="23">
        <v>16.812</v>
      </c>
      <c r="E169" s="23">
        <v>1.247</v>
      </c>
      <c r="F169" s="1">
        <v>864.8</v>
      </c>
      <c r="G169" s="23">
        <v>0.609</v>
      </c>
      <c r="H169" s="23">
        <v>0.488</v>
      </c>
      <c r="I169" s="1">
        <v>350.5</v>
      </c>
      <c r="J169" s="1">
        <v>545.2</v>
      </c>
      <c r="K169" s="1">
        <v>27121.0</v>
      </c>
      <c r="L169" s="1">
        <v>100.0</v>
      </c>
      <c r="M169" s="23">
        <v>14.578</v>
      </c>
      <c r="O169" s="23">
        <f t="shared" si="8"/>
        <v>0.488</v>
      </c>
    </row>
    <row r="170">
      <c r="A170" s="1">
        <v>322.0</v>
      </c>
      <c r="B170" s="1">
        <v>18341.0</v>
      </c>
      <c r="C170" s="23">
        <v>16.223</v>
      </c>
      <c r="D170" s="23">
        <v>17.059</v>
      </c>
      <c r="E170" s="23">
        <v>1.247</v>
      </c>
      <c r="F170" s="1">
        <v>864.8</v>
      </c>
      <c r="G170" s="23">
        <v>0.615</v>
      </c>
      <c r="H170" s="23">
        <v>0.488</v>
      </c>
      <c r="I170" s="1">
        <v>350.5</v>
      </c>
      <c r="J170" s="1">
        <v>565.0</v>
      </c>
      <c r="K170" s="1">
        <v>27121.0</v>
      </c>
      <c r="L170" s="1">
        <v>100.0</v>
      </c>
      <c r="M170" s="23">
        <v>14.718</v>
      </c>
      <c r="O170" s="23">
        <f t="shared" si="8"/>
        <v>0.488</v>
      </c>
    </row>
    <row r="171">
      <c r="A171" s="1">
        <v>324.0</v>
      </c>
      <c r="B171" s="1">
        <v>18341.0</v>
      </c>
      <c r="C171" s="23">
        <v>16.61</v>
      </c>
      <c r="D171" s="23">
        <v>17.383</v>
      </c>
      <c r="E171" s="23">
        <v>1.247</v>
      </c>
      <c r="F171" s="1">
        <v>864.8</v>
      </c>
      <c r="G171" s="23">
        <v>0.615</v>
      </c>
      <c r="H171" s="23">
        <v>0.488</v>
      </c>
      <c r="I171" s="1">
        <v>350.5</v>
      </c>
      <c r="J171" s="1">
        <v>565.0</v>
      </c>
      <c r="K171" s="1">
        <v>27121.0</v>
      </c>
      <c r="L171" s="1">
        <v>100.0</v>
      </c>
      <c r="M171" s="23">
        <v>14.718</v>
      </c>
      <c r="O171" s="23">
        <f t="shared" si="8"/>
        <v>0.488</v>
      </c>
    </row>
    <row r="172">
      <c r="A172" s="1">
        <v>326.0</v>
      </c>
      <c r="B172" s="1">
        <v>18341.0</v>
      </c>
      <c r="C172" s="26">
        <v>15.945</v>
      </c>
      <c r="D172" s="23">
        <v>17.378</v>
      </c>
      <c r="E172" s="23">
        <v>1.247</v>
      </c>
      <c r="F172" s="1">
        <v>810.5</v>
      </c>
      <c r="G172" s="23">
        <v>0.628</v>
      </c>
      <c r="H172" s="23">
        <v>1.488</v>
      </c>
      <c r="I172" s="1">
        <v>350.5</v>
      </c>
      <c r="J172" s="1">
        <v>607.7</v>
      </c>
      <c r="K172" s="1">
        <v>27121.0</v>
      </c>
      <c r="L172" s="1">
        <v>100.0</v>
      </c>
      <c r="M172" s="23">
        <v>14.701</v>
      </c>
      <c r="O172" s="23">
        <f t="shared" si="8"/>
        <v>1</v>
      </c>
    </row>
    <row r="173">
      <c r="A173" s="1">
        <v>328.0</v>
      </c>
      <c r="B173" s="1">
        <v>20047.0</v>
      </c>
      <c r="C173" s="26">
        <v>16.449</v>
      </c>
      <c r="D173" s="23">
        <v>21.985</v>
      </c>
      <c r="E173" s="23">
        <v>1.247</v>
      </c>
      <c r="F173" s="1">
        <v>849.8</v>
      </c>
      <c r="G173" s="23">
        <v>0.641</v>
      </c>
      <c r="H173" s="23">
        <v>1.48</v>
      </c>
      <c r="I173" s="1">
        <v>350.5</v>
      </c>
      <c r="J173" s="1">
        <v>647.0</v>
      </c>
      <c r="K173" s="1">
        <v>29644.0</v>
      </c>
      <c r="L173" s="1">
        <v>100.0</v>
      </c>
      <c r="M173" s="23">
        <v>14.701</v>
      </c>
      <c r="O173" s="23">
        <f t="shared" si="8"/>
        <v>1</v>
      </c>
    </row>
    <row r="174">
      <c r="A174" s="1">
        <v>330.0</v>
      </c>
      <c r="B174" s="1">
        <v>20047.0</v>
      </c>
      <c r="C174" s="23">
        <v>16.12</v>
      </c>
      <c r="D174" s="23">
        <v>21.587</v>
      </c>
      <c r="E174" s="23">
        <v>0.827</v>
      </c>
      <c r="F174" s="1">
        <v>849.8</v>
      </c>
      <c r="G174" s="23">
        <v>0.641</v>
      </c>
      <c r="H174" s="23">
        <v>1.49</v>
      </c>
      <c r="I174" s="1">
        <v>350.5</v>
      </c>
      <c r="J174" s="1">
        <v>647.0</v>
      </c>
      <c r="K174" s="1">
        <v>29644.0</v>
      </c>
      <c r="L174" s="1">
        <v>100.0</v>
      </c>
      <c r="M174" s="23">
        <v>14.759</v>
      </c>
      <c r="O174" s="23">
        <f t="shared" si="8"/>
        <v>1</v>
      </c>
    </row>
    <row r="175">
      <c r="A175" s="1">
        <v>332.0</v>
      </c>
      <c r="B175" s="1">
        <v>20047.0</v>
      </c>
      <c r="C175" s="23">
        <v>15.534</v>
      </c>
      <c r="D175" s="26">
        <v>20.483</v>
      </c>
      <c r="E175" s="23">
        <v>0.827</v>
      </c>
      <c r="F175" s="1">
        <v>849.8</v>
      </c>
      <c r="G175" s="23">
        <v>0.641</v>
      </c>
      <c r="H175" s="23">
        <v>0.49</v>
      </c>
      <c r="I175" s="1">
        <v>350.5</v>
      </c>
      <c r="J175" s="1">
        <v>647.0</v>
      </c>
      <c r="K175" s="1">
        <v>29644.0</v>
      </c>
      <c r="L175" s="1">
        <v>100.0</v>
      </c>
      <c r="M175" s="23">
        <v>14.759</v>
      </c>
      <c r="O175" s="23">
        <f t="shared" si="8"/>
        <v>0.49</v>
      </c>
    </row>
    <row r="176">
      <c r="A176" s="1">
        <v>334.0</v>
      </c>
      <c r="B176" s="1">
        <v>20047.0</v>
      </c>
      <c r="C176" s="23">
        <v>15.92</v>
      </c>
      <c r="D176" s="26">
        <v>20.897</v>
      </c>
      <c r="E176" s="23">
        <v>0.827</v>
      </c>
      <c r="F176" s="1">
        <v>849.8</v>
      </c>
      <c r="G176" s="23">
        <v>0.641</v>
      </c>
      <c r="H176" s="23">
        <v>0.49</v>
      </c>
      <c r="I176" s="1">
        <v>350.5</v>
      </c>
      <c r="J176" s="1">
        <v>647.0</v>
      </c>
      <c r="K176" s="1">
        <v>29644.0</v>
      </c>
      <c r="L176" s="1">
        <v>100.0</v>
      </c>
      <c r="M176" s="23">
        <v>14.759</v>
      </c>
      <c r="O176" s="23">
        <f t="shared" si="8"/>
        <v>0.49</v>
      </c>
    </row>
    <row r="177">
      <c r="A177" s="1">
        <v>336.0</v>
      </c>
      <c r="B177" s="1">
        <v>20047.0</v>
      </c>
      <c r="C177" s="23">
        <v>15.302</v>
      </c>
      <c r="D177" s="26">
        <v>20.2</v>
      </c>
      <c r="E177" s="23">
        <v>1.127</v>
      </c>
      <c r="F177" s="1">
        <v>864.8</v>
      </c>
      <c r="G177" s="23">
        <v>0.641</v>
      </c>
      <c r="H177" s="23">
        <v>0.49</v>
      </c>
      <c r="I177" s="1">
        <v>350.5</v>
      </c>
      <c r="J177" s="1">
        <v>647.0</v>
      </c>
      <c r="K177" s="1">
        <v>29644.0</v>
      </c>
      <c r="L177" s="1">
        <v>100.0</v>
      </c>
      <c r="M177" s="23">
        <v>14.734</v>
      </c>
      <c r="O177" s="23">
        <f t="shared" si="8"/>
        <v>0.49</v>
      </c>
    </row>
    <row r="178">
      <c r="A178" s="1">
        <v>338.0</v>
      </c>
      <c r="B178" s="1">
        <v>20047.0</v>
      </c>
      <c r="C178" s="23">
        <v>15.579</v>
      </c>
      <c r="D178" s="26">
        <v>16.315</v>
      </c>
      <c r="E178" s="23">
        <v>1.127</v>
      </c>
      <c r="F178" s="1">
        <v>864.8</v>
      </c>
      <c r="G178" s="23">
        <v>0.641</v>
      </c>
      <c r="H178" s="23">
        <v>0.498</v>
      </c>
      <c r="I178" s="1">
        <v>350.5</v>
      </c>
      <c r="J178" s="1">
        <v>647.0</v>
      </c>
      <c r="K178" s="1">
        <v>29644.0</v>
      </c>
      <c r="L178" s="1">
        <v>100.0</v>
      </c>
      <c r="M178" s="23">
        <v>14.734</v>
      </c>
      <c r="O178" s="23">
        <f t="shared" si="8"/>
        <v>0.498</v>
      </c>
    </row>
    <row r="179">
      <c r="A179" s="1">
        <v>340.0</v>
      </c>
      <c r="B179" s="1">
        <v>20047.0</v>
      </c>
      <c r="C179" s="23">
        <v>15.578</v>
      </c>
      <c r="D179" s="26">
        <v>16.305</v>
      </c>
      <c r="E179" s="23">
        <v>1.127</v>
      </c>
      <c r="F179" s="1">
        <v>864.8</v>
      </c>
      <c r="G179" s="23">
        <v>0.641</v>
      </c>
      <c r="H179" s="23">
        <v>0.488</v>
      </c>
      <c r="I179" s="1">
        <v>350.5</v>
      </c>
      <c r="J179" s="1">
        <v>647.0</v>
      </c>
      <c r="K179" s="1">
        <v>29644.0</v>
      </c>
      <c r="L179" s="1">
        <v>100.0</v>
      </c>
      <c r="M179" s="23">
        <v>14.688</v>
      </c>
      <c r="O179" s="23">
        <f t="shared" si="8"/>
        <v>0.488</v>
      </c>
    </row>
    <row r="180">
      <c r="A180" s="1">
        <v>342.0</v>
      </c>
      <c r="B180" s="1">
        <v>18341.0</v>
      </c>
      <c r="C180" s="23">
        <v>14.779</v>
      </c>
      <c r="D180" s="26">
        <v>16.147</v>
      </c>
      <c r="E180" s="23">
        <v>1.127</v>
      </c>
      <c r="F180" s="1">
        <v>825.5</v>
      </c>
      <c r="G180" s="23">
        <v>0.628</v>
      </c>
      <c r="H180" s="23">
        <v>0.488</v>
      </c>
      <c r="I180" s="1">
        <v>350.5</v>
      </c>
      <c r="J180" s="1">
        <v>607.7</v>
      </c>
      <c r="K180" s="1">
        <v>27121.0</v>
      </c>
      <c r="L180" s="1">
        <v>100.0</v>
      </c>
      <c r="M180" s="23">
        <v>14.688</v>
      </c>
      <c r="O180" s="23">
        <f t="shared" si="8"/>
        <v>0.488</v>
      </c>
    </row>
    <row r="181">
      <c r="A181" s="1">
        <v>344.0</v>
      </c>
      <c r="B181" s="1">
        <v>18341.0</v>
      </c>
      <c r="C181" s="23">
        <v>14.44</v>
      </c>
      <c r="D181" s="26">
        <v>15.794</v>
      </c>
      <c r="E181" s="23">
        <v>1.127</v>
      </c>
      <c r="F181" s="1">
        <v>825.5</v>
      </c>
      <c r="G181" s="23">
        <v>0.603</v>
      </c>
      <c r="H181" s="23">
        <v>0.488</v>
      </c>
      <c r="I181" s="1">
        <v>350.5</v>
      </c>
      <c r="J181" s="1">
        <v>525.8</v>
      </c>
      <c r="K181" s="1">
        <v>27121.0</v>
      </c>
      <c r="L181" s="1">
        <v>100.0</v>
      </c>
      <c r="M181" s="23">
        <v>14.632</v>
      </c>
      <c r="O181" s="23">
        <f t="shared" si="8"/>
        <v>0.488</v>
      </c>
    </row>
    <row r="182">
      <c r="A182" s="1">
        <v>346.0</v>
      </c>
      <c r="B182" s="1">
        <v>18341.0</v>
      </c>
      <c r="C182" s="23">
        <v>15.032</v>
      </c>
      <c r="D182" s="23">
        <v>15.794</v>
      </c>
      <c r="E182" s="23">
        <v>1.127</v>
      </c>
      <c r="F182" s="1">
        <v>864.8</v>
      </c>
      <c r="G182" s="23">
        <v>0.715</v>
      </c>
      <c r="H182" s="23">
        <v>0.518</v>
      </c>
      <c r="I182" s="1">
        <v>350.5</v>
      </c>
      <c r="J182" s="1">
        <v>565.0</v>
      </c>
      <c r="K182" s="1">
        <v>27121.0</v>
      </c>
      <c r="L182" s="1">
        <v>100.0</v>
      </c>
      <c r="M182" s="23">
        <v>14.632</v>
      </c>
      <c r="O182" s="23">
        <f t="shared" si="8"/>
        <v>0.518</v>
      </c>
    </row>
    <row r="183">
      <c r="A183" s="1">
        <v>348.0</v>
      </c>
      <c r="B183" s="1">
        <v>18341.0</v>
      </c>
      <c r="C183" s="23">
        <v>15.033</v>
      </c>
      <c r="D183" s="23">
        <v>15.804</v>
      </c>
      <c r="E183" s="23">
        <v>1.555</v>
      </c>
      <c r="F183" s="1">
        <v>849.8</v>
      </c>
      <c r="G183" s="23">
        <v>0.715</v>
      </c>
      <c r="H183" s="23">
        <v>0.518</v>
      </c>
      <c r="I183" s="1">
        <v>350.5</v>
      </c>
      <c r="J183" s="1">
        <v>565.0</v>
      </c>
      <c r="K183" s="1">
        <v>27121.0</v>
      </c>
      <c r="L183" s="1">
        <v>100.0</v>
      </c>
      <c r="M183" s="23">
        <v>14.676</v>
      </c>
      <c r="O183" s="23">
        <f t="shared" si="8"/>
        <v>0.518</v>
      </c>
    </row>
    <row r="184">
      <c r="A184" s="1">
        <v>350.0</v>
      </c>
      <c r="B184" s="1">
        <v>18341.0</v>
      </c>
      <c r="C184" s="23">
        <v>14.445</v>
      </c>
      <c r="D184" s="23">
        <v>15.804</v>
      </c>
      <c r="E184" s="23">
        <v>1.555</v>
      </c>
      <c r="F184" s="1">
        <v>849.8</v>
      </c>
      <c r="G184" s="23">
        <v>0.715</v>
      </c>
      <c r="H184" s="23">
        <v>0.518</v>
      </c>
      <c r="I184" s="1">
        <v>350.5</v>
      </c>
      <c r="J184" s="1">
        <v>565.0</v>
      </c>
      <c r="K184" s="1">
        <v>27121.0</v>
      </c>
      <c r="L184" s="1">
        <v>100.0</v>
      </c>
      <c r="M184" s="23">
        <v>14.676</v>
      </c>
      <c r="O184" s="23">
        <f t="shared" si="8"/>
        <v>0.518</v>
      </c>
    </row>
    <row r="185">
      <c r="A185" s="1">
        <v>352.0</v>
      </c>
      <c r="B185" s="1">
        <v>21754.0</v>
      </c>
      <c r="C185" s="23">
        <v>15.528</v>
      </c>
      <c r="D185" s="23">
        <v>16.844</v>
      </c>
      <c r="E185" s="23">
        <v>1.555</v>
      </c>
      <c r="F185" s="1">
        <v>849.8</v>
      </c>
      <c r="G185" s="23">
        <v>0.715</v>
      </c>
      <c r="H185" s="23">
        <v>0.518</v>
      </c>
      <c r="I185" s="1">
        <v>350.5</v>
      </c>
      <c r="J185" s="1">
        <v>565.0</v>
      </c>
      <c r="K185" s="1">
        <v>32167.0</v>
      </c>
      <c r="L185" s="1">
        <v>100.0</v>
      </c>
      <c r="M185" s="23">
        <v>14.773</v>
      </c>
      <c r="O185" s="23">
        <f t="shared" si="8"/>
        <v>0.518</v>
      </c>
    </row>
    <row r="186">
      <c r="A186" s="1">
        <v>354.0</v>
      </c>
      <c r="B186" s="1">
        <v>22607.0</v>
      </c>
      <c r="C186" s="23">
        <v>16.911</v>
      </c>
      <c r="D186" s="23">
        <v>18.132</v>
      </c>
      <c r="E186" s="23">
        <v>1.555</v>
      </c>
      <c r="F186" s="1">
        <v>849.8</v>
      </c>
      <c r="G186" s="23">
        <v>0.715</v>
      </c>
      <c r="H186" s="23">
        <v>0.518</v>
      </c>
      <c r="I186" s="1">
        <v>350.5</v>
      </c>
      <c r="J186" s="1">
        <v>565.0</v>
      </c>
      <c r="K186" s="1">
        <v>33428.0</v>
      </c>
      <c r="L186" s="1">
        <v>100.0</v>
      </c>
      <c r="M186" s="23">
        <v>14.773</v>
      </c>
      <c r="O186" s="23">
        <f t="shared" si="8"/>
        <v>0.518</v>
      </c>
    </row>
    <row r="187">
      <c r="A187" s="1">
        <v>356.0</v>
      </c>
      <c r="B187" s="1">
        <v>22607.0</v>
      </c>
      <c r="C187" s="23">
        <v>16.88</v>
      </c>
      <c r="D187" s="23">
        <v>18.168</v>
      </c>
      <c r="E187" s="23">
        <v>1.555</v>
      </c>
      <c r="F187" s="1">
        <v>849.8</v>
      </c>
      <c r="G187" s="23">
        <v>0.615</v>
      </c>
      <c r="H187" s="23">
        <v>0.488</v>
      </c>
      <c r="I187" s="1">
        <v>350.5</v>
      </c>
      <c r="J187" s="1">
        <v>565.0</v>
      </c>
      <c r="K187" s="1">
        <v>33428.0</v>
      </c>
      <c r="L187" s="1">
        <v>100.0</v>
      </c>
      <c r="M187" s="23">
        <v>14.935</v>
      </c>
      <c r="O187" s="23">
        <f t="shared" si="8"/>
        <v>0.488</v>
      </c>
    </row>
    <row r="188">
      <c r="A188" s="1">
        <v>358.0</v>
      </c>
      <c r="B188" s="1">
        <v>22607.0</v>
      </c>
      <c r="C188" s="23">
        <v>16.687</v>
      </c>
      <c r="D188" s="23">
        <v>18.168</v>
      </c>
      <c r="E188" s="23">
        <v>1.555</v>
      </c>
      <c r="F188" s="1">
        <v>849.8</v>
      </c>
      <c r="G188" s="23">
        <v>0.615</v>
      </c>
      <c r="H188" s="23">
        <v>0.498</v>
      </c>
      <c r="I188" s="1">
        <v>350.5</v>
      </c>
      <c r="J188" s="1">
        <v>565.0</v>
      </c>
      <c r="K188" s="1">
        <v>33428.0</v>
      </c>
      <c r="L188" s="1">
        <v>100.0</v>
      </c>
      <c r="M188" s="23">
        <v>14.935</v>
      </c>
      <c r="O188" s="23">
        <f t="shared" si="8"/>
        <v>0.498</v>
      </c>
    </row>
    <row r="189">
      <c r="A189" s="1">
        <v>360.0</v>
      </c>
      <c r="B189" s="1">
        <v>22607.0</v>
      </c>
      <c r="C189" s="26">
        <v>16.89</v>
      </c>
      <c r="D189" s="23">
        <v>19.072</v>
      </c>
      <c r="E189" s="23">
        <v>1.555</v>
      </c>
      <c r="F189" s="1">
        <v>864.8</v>
      </c>
      <c r="G189" s="23">
        <v>0.641</v>
      </c>
      <c r="H189" s="23">
        <v>0.498</v>
      </c>
      <c r="I189" s="1">
        <v>350.5</v>
      </c>
      <c r="J189" s="1">
        <v>647.0</v>
      </c>
      <c r="K189" s="1">
        <v>33428.0</v>
      </c>
      <c r="L189" s="1">
        <v>100.0</v>
      </c>
      <c r="M189" s="23">
        <v>14.935</v>
      </c>
      <c r="O189" s="23">
        <f t="shared" si="8"/>
        <v>0.498</v>
      </c>
    </row>
    <row r="190">
      <c r="A190" s="1">
        <v>362.0</v>
      </c>
      <c r="B190" s="1">
        <v>22149.0</v>
      </c>
      <c r="C190" s="26">
        <v>16.89</v>
      </c>
      <c r="D190" s="23">
        <v>19.074</v>
      </c>
      <c r="E190" s="23">
        <v>1.555</v>
      </c>
      <c r="F190" s="1">
        <v>864.8</v>
      </c>
      <c r="G190" s="23">
        <v>0.641</v>
      </c>
      <c r="H190" s="23">
        <v>0.498</v>
      </c>
      <c r="I190" s="1">
        <v>350.5</v>
      </c>
      <c r="J190" s="1">
        <v>647.0</v>
      </c>
      <c r="K190" s="1">
        <v>33428.0</v>
      </c>
      <c r="L190" s="1">
        <v>100.0</v>
      </c>
      <c r="M190" s="23">
        <v>14.943</v>
      </c>
      <c r="O190" s="23">
        <f t="shared" si="8"/>
        <v>0.498</v>
      </c>
    </row>
    <row r="191">
      <c r="A191" s="1">
        <v>364.0</v>
      </c>
      <c r="B191" s="1">
        <v>22149.0</v>
      </c>
      <c r="C191" s="26">
        <v>16.842</v>
      </c>
      <c r="D191" s="23">
        <v>19.041</v>
      </c>
      <c r="E191" s="23">
        <v>1.555</v>
      </c>
      <c r="F191" s="1">
        <v>864.8</v>
      </c>
      <c r="G191" s="23">
        <v>0.641</v>
      </c>
      <c r="H191" s="23">
        <v>0.498</v>
      </c>
      <c r="I191" s="1">
        <v>350.5</v>
      </c>
      <c r="J191" s="1">
        <v>647.0</v>
      </c>
      <c r="K191" s="1">
        <v>33428.0</v>
      </c>
      <c r="L191" s="1">
        <v>100.0</v>
      </c>
      <c r="M191" s="23">
        <v>14.943</v>
      </c>
      <c r="O191" s="23">
        <f t="shared" si="8"/>
        <v>0.498</v>
      </c>
    </row>
    <row r="192">
      <c r="A192" s="1">
        <v>366.0</v>
      </c>
      <c r="B192" s="1">
        <v>22607.0</v>
      </c>
      <c r="C192" s="23">
        <v>15.774</v>
      </c>
      <c r="D192" s="23">
        <v>17.241</v>
      </c>
      <c r="E192" s="23">
        <v>1.686</v>
      </c>
      <c r="F192" s="1">
        <v>864.8</v>
      </c>
      <c r="G192" s="23">
        <v>0.641</v>
      </c>
      <c r="H192" s="23">
        <v>0.498</v>
      </c>
      <c r="I192" s="1">
        <v>350.5</v>
      </c>
      <c r="J192" s="1">
        <v>647.0</v>
      </c>
      <c r="K192" s="1">
        <v>33428.0</v>
      </c>
      <c r="L192" s="1">
        <v>100.0</v>
      </c>
      <c r="M192" s="23">
        <v>14.864</v>
      </c>
      <c r="O192" s="23">
        <f t="shared" si="8"/>
        <v>0.498</v>
      </c>
    </row>
    <row r="193">
      <c r="A193" s="1">
        <v>368.0</v>
      </c>
      <c r="B193" s="1">
        <v>18341.0</v>
      </c>
      <c r="C193" s="23">
        <v>14.925</v>
      </c>
      <c r="D193" s="23">
        <v>16.485</v>
      </c>
      <c r="E193" s="23">
        <v>1.347</v>
      </c>
      <c r="F193" s="1">
        <v>864.8</v>
      </c>
      <c r="G193" s="23">
        <v>0.641</v>
      </c>
      <c r="H193" s="23">
        <v>0.498</v>
      </c>
      <c r="I193" s="1">
        <v>350.5</v>
      </c>
      <c r="J193" s="1">
        <v>647.0</v>
      </c>
      <c r="K193" s="1">
        <v>27121.0</v>
      </c>
      <c r="L193" s="1">
        <v>100.0</v>
      </c>
      <c r="M193" s="23">
        <v>14.864</v>
      </c>
      <c r="O193" s="23">
        <f t="shared" si="8"/>
        <v>0.498</v>
      </c>
    </row>
    <row r="194">
      <c r="A194" s="1">
        <v>370.0</v>
      </c>
      <c r="B194" s="1">
        <v>18341.0</v>
      </c>
      <c r="C194" s="23">
        <v>14.752</v>
      </c>
      <c r="D194" s="23">
        <v>16.293</v>
      </c>
      <c r="E194" s="23">
        <v>1.347</v>
      </c>
      <c r="F194" s="1">
        <v>864.8</v>
      </c>
      <c r="G194" s="23">
        <v>0.641</v>
      </c>
      <c r="H194" s="23">
        <v>0.498</v>
      </c>
      <c r="I194" s="1">
        <v>350.5</v>
      </c>
      <c r="J194" s="1">
        <v>647.0</v>
      </c>
      <c r="K194" s="1">
        <v>27121.0</v>
      </c>
      <c r="L194" s="1">
        <v>100.0</v>
      </c>
      <c r="M194" s="23">
        <v>14.676</v>
      </c>
      <c r="O194" s="23">
        <f t="shared" si="8"/>
        <v>0.498</v>
      </c>
    </row>
    <row r="195">
      <c r="A195" s="1">
        <v>372.0</v>
      </c>
      <c r="B195" s="1">
        <v>18341.0</v>
      </c>
      <c r="C195" s="23">
        <v>15.227</v>
      </c>
      <c r="D195" s="23">
        <v>15.429</v>
      </c>
      <c r="E195" s="23">
        <v>1.597</v>
      </c>
      <c r="F195" s="1">
        <v>849.8</v>
      </c>
      <c r="G195" s="23">
        <v>0.641</v>
      </c>
      <c r="H195" s="23">
        <v>0.498</v>
      </c>
      <c r="I195" s="1">
        <v>350.5</v>
      </c>
      <c r="J195" s="1">
        <v>647.0</v>
      </c>
      <c r="K195" s="1">
        <v>27121.0</v>
      </c>
      <c r="L195" s="1">
        <v>100.0</v>
      </c>
      <c r="M195" s="23">
        <v>14.676</v>
      </c>
      <c r="O195" s="23">
        <f t="shared" si="8"/>
        <v>0.498</v>
      </c>
    </row>
    <row r="196">
      <c r="A196" s="1">
        <v>374.0</v>
      </c>
      <c r="B196" s="1">
        <v>18341.0</v>
      </c>
      <c r="C196" s="26">
        <v>14.862</v>
      </c>
      <c r="D196" s="23">
        <v>15.09</v>
      </c>
      <c r="E196" s="23">
        <v>1.597</v>
      </c>
      <c r="F196" s="1">
        <v>849.8</v>
      </c>
      <c r="G196" s="23">
        <v>0.641</v>
      </c>
      <c r="H196" s="23">
        <v>0.498</v>
      </c>
      <c r="I196" s="1">
        <v>350.5</v>
      </c>
      <c r="J196" s="1">
        <v>647.0</v>
      </c>
      <c r="K196" s="1">
        <v>27121.0</v>
      </c>
      <c r="L196" s="1">
        <v>100.0</v>
      </c>
      <c r="M196" s="23">
        <v>14.603</v>
      </c>
      <c r="O196" s="23">
        <f t="shared" si="8"/>
        <v>0.498</v>
      </c>
    </row>
    <row r="197">
      <c r="A197" s="1">
        <v>376.0</v>
      </c>
      <c r="B197" s="1">
        <v>18341.0</v>
      </c>
      <c r="C197" s="26">
        <v>15.226</v>
      </c>
      <c r="D197" s="23">
        <v>15.414</v>
      </c>
      <c r="E197" s="23">
        <v>1.597</v>
      </c>
      <c r="F197" s="1">
        <v>849.8</v>
      </c>
      <c r="G197" s="23">
        <v>0.615</v>
      </c>
      <c r="H197" s="23">
        <v>0.498</v>
      </c>
      <c r="I197" s="1">
        <v>350.5</v>
      </c>
      <c r="J197" s="1">
        <v>565.0</v>
      </c>
      <c r="K197" s="1">
        <v>27121.0</v>
      </c>
      <c r="L197" s="1">
        <v>100.0</v>
      </c>
      <c r="M197" s="23">
        <v>14.603</v>
      </c>
      <c r="O197" s="23">
        <f t="shared" si="8"/>
        <v>0.498</v>
      </c>
    </row>
    <row r="198">
      <c r="A198" s="1">
        <v>378.0</v>
      </c>
      <c r="B198" s="1">
        <v>18341.0</v>
      </c>
      <c r="C198" s="26">
        <v>14.862</v>
      </c>
      <c r="D198" s="23">
        <v>15.089</v>
      </c>
      <c r="E198" s="23">
        <v>1.597</v>
      </c>
      <c r="F198" s="1">
        <v>849.8</v>
      </c>
      <c r="G198" s="23">
        <v>0.615</v>
      </c>
      <c r="H198" s="23">
        <v>0.498</v>
      </c>
      <c r="I198" s="1">
        <v>350.5</v>
      </c>
      <c r="J198" s="1">
        <v>565.0</v>
      </c>
      <c r="K198" s="1">
        <v>27121.0</v>
      </c>
      <c r="L198" s="1">
        <v>100.0</v>
      </c>
      <c r="M198" s="23">
        <v>14.599</v>
      </c>
      <c r="O198" s="23">
        <f t="shared" si="8"/>
        <v>0.498</v>
      </c>
    </row>
    <row r="199">
      <c r="A199" s="1">
        <v>380.0</v>
      </c>
      <c r="B199" s="1">
        <v>18341.0</v>
      </c>
      <c r="C199" s="26">
        <v>14.862</v>
      </c>
      <c r="D199" s="23">
        <v>15.089</v>
      </c>
      <c r="E199" s="23">
        <v>1.597</v>
      </c>
      <c r="F199" s="1">
        <v>864.8</v>
      </c>
      <c r="G199" s="23">
        <v>0.615</v>
      </c>
      <c r="H199" s="23">
        <v>0.488</v>
      </c>
      <c r="I199" s="1">
        <v>350.5</v>
      </c>
      <c r="J199" s="1">
        <v>565.0</v>
      </c>
      <c r="K199" s="1">
        <v>27121.0</v>
      </c>
      <c r="L199" s="1">
        <v>100.0</v>
      </c>
      <c r="M199" s="23">
        <v>14.599</v>
      </c>
      <c r="O199" s="23">
        <f t="shared" si="8"/>
        <v>0.488</v>
      </c>
    </row>
    <row r="200">
      <c r="A200" s="1">
        <v>382.0</v>
      </c>
      <c r="B200" s="1">
        <v>18341.0</v>
      </c>
      <c r="C200" s="26">
        <v>15.332</v>
      </c>
      <c r="D200" s="23">
        <v>16.497</v>
      </c>
      <c r="E200" s="23">
        <v>1.477</v>
      </c>
      <c r="F200" s="1">
        <v>864.8</v>
      </c>
      <c r="G200" s="23">
        <v>0.615</v>
      </c>
      <c r="H200" s="23">
        <v>0.488</v>
      </c>
      <c r="I200" s="1">
        <v>350.5</v>
      </c>
      <c r="J200" s="1">
        <v>565.0</v>
      </c>
      <c r="K200" s="1">
        <v>27121.0</v>
      </c>
      <c r="L200" s="1">
        <v>100.0</v>
      </c>
      <c r="M200" s="23">
        <v>14.671</v>
      </c>
      <c r="O200" s="23">
        <f t="shared" si="8"/>
        <v>0.488</v>
      </c>
    </row>
    <row r="201">
      <c r="A201" s="1">
        <v>384.0</v>
      </c>
      <c r="B201" s="1">
        <v>18341.0</v>
      </c>
      <c r="C201" s="26">
        <v>15.355</v>
      </c>
      <c r="D201" s="23">
        <v>16.497</v>
      </c>
      <c r="E201" s="23">
        <v>1.477</v>
      </c>
      <c r="F201" s="1">
        <v>864.8</v>
      </c>
      <c r="G201" s="23">
        <v>0.615</v>
      </c>
      <c r="H201" s="23">
        <v>0.488</v>
      </c>
      <c r="I201" s="1">
        <v>350.5</v>
      </c>
      <c r="J201" s="1">
        <v>565.0</v>
      </c>
      <c r="K201" s="1">
        <v>27121.0</v>
      </c>
      <c r="L201" s="1">
        <v>100.0</v>
      </c>
      <c r="M201" s="23">
        <v>14.671</v>
      </c>
      <c r="O201" s="23">
        <f t="shared" si="8"/>
        <v>0.488</v>
      </c>
    </row>
    <row r="202">
      <c r="A202" s="1">
        <v>386.0</v>
      </c>
      <c r="B202" s="1">
        <v>18341.0</v>
      </c>
      <c r="C202" s="23">
        <v>15.378</v>
      </c>
      <c r="D202" s="23">
        <v>16.497</v>
      </c>
      <c r="E202" s="23">
        <v>1.477</v>
      </c>
      <c r="F202" s="1">
        <v>864.8</v>
      </c>
      <c r="G202" s="23">
        <v>0.615</v>
      </c>
      <c r="H202" s="23">
        <v>0.488</v>
      </c>
      <c r="I202" s="1">
        <v>350.5</v>
      </c>
      <c r="J202" s="1">
        <v>565.0</v>
      </c>
      <c r="K202" s="1">
        <v>27121.0</v>
      </c>
      <c r="L202" s="1">
        <v>100.0</v>
      </c>
      <c r="M202" s="23">
        <v>14.671</v>
      </c>
      <c r="O202" s="23">
        <f t="shared" si="8"/>
        <v>0.488</v>
      </c>
    </row>
    <row r="203">
      <c r="A203" s="1">
        <v>389.0</v>
      </c>
      <c r="B203" s="1">
        <v>18341.0</v>
      </c>
      <c r="C203" s="26">
        <v>16.018</v>
      </c>
      <c r="D203" s="26">
        <v>17.037</v>
      </c>
      <c r="E203" s="23">
        <v>1.377</v>
      </c>
      <c r="F203" s="1">
        <v>864.8</v>
      </c>
      <c r="G203" s="23">
        <v>0.615</v>
      </c>
      <c r="H203" s="23">
        <v>1.498</v>
      </c>
      <c r="I203" s="1">
        <v>350.5</v>
      </c>
      <c r="J203" s="1">
        <v>565.0</v>
      </c>
      <c r="K203" s="1">
        <v>27121.0</v>
      </c>
      <c r="L203" s="1">
        <v>100.0</v>
      </c>
      <c r="M203" s="23">
        <v>14.671</v>
      </c>
      <c r="O203" s="23">
        <f t="shared" si="8"/>
        <v>1</v>
      </c>
    </row>
    <row r="204">
      <c r="A204" s="1">
        <v>391.0</v>
      </c>
      <c r="B204" s="1">
        <v>20047.0</v>
      </c>
      <c r="C204" s="26">
        <v>16.813</v>
      </c>
      <c r="D204" s="23">
        <v>22.777</v>
      </c>
      <c r="E204" s="23">
        <v>1.377</v>
      </c>
      <c r="F204" s="1">
        <v>864.8</v>
      </c>
      <c r="G204" s="23">
        <v>0.615</v>
      </c>
      <c r="H204" s="23">
        <v>1.498</v>
      </c>
      <c r="I204" s="1">
        <v>350.5</v>
      </c>
      <c r="J204" s="1">
        <v>565.0</v>
      </c>
      <c r="K204" s="1">
        <v>29644.0</v>
      </c>
      <c r="L204" s="1">
        <v>100.0</v>
      </c>
      <c r="M204" s="23">
        <v>14.671</v>
      </c>
      <c r="O204" s="23">
        <f t="shared" si="8"/>
        <v>1</v>
      </c>
    </row>
    <row r="205">
      <c r="A205" s="1">
        <v>393.0</v>
      </c>
      <c r="B205" s="1">
        <v>20047.0</v>
      </c>
      <c r="C205" s="23">
        <v>16.838</v>
      </c>
      <c r="D205" s="23">
        <v>22.81</v>
      </c>
      <c r="E205" s="23">
        <v>1.377</v>
      </c>
      <c r="F205" s="1">
        <v>849.8</v>
      </c>
      <c r="G205" s="23">
        <v>0.641</v>
      </c>
      <c r="H205" s="23">
        <v>0.498</v>
      </c>
      <c r="I205" s="1">
        <v>350.5</v>
      </c>
      <c r="J205" s="1">
        <v>647.0</v>
      </c>
      <c r="K205" s="1">
        <v>29644.0</v>
      </c>
      <c r="L205" s="1">
        <v>100.0</v>
      </c>
      <c r="M205" s="23">
        <v>14.789</v>
      </c>
      <c r="O205" s="23">
        <f t="shared" si="8"/>
        <v>0.498</v>
      </c>
    </row>
    <row r="206">
      <c r="A206" s="1">
        <v>395.0</v>
      </c>
      <c r="B206" s="1">
        <v>20047.0</v>
      </c>
      <c r="C206" s="23">
        <v>16.849</v>
      </c>
      <c r="D206" s="23">
        <v>22.81</v>
      </c>
      <c r="E206" s="23">
        <v>1.377</v>
      </c>
      <c r="F206" s="1">
        <v>849.8</v>
      </c>
      <c r="G206" s="23">
        <v>0.641</v>
      </c>
      <c r="H206" s="23">
        <v>0.498</v>
      </c>
      <c r="I206" s="1">
        <v>350.5</v>
      </c>
      <c r="J206" s="1">
        <v>647.0</v>
      </c>
      <c r="K206" s="1">
        <v>29644.0</v>
      </c>
      <c r="L206" s="1">
        <v>100.0</v>
      </c>
      <c r="M206" s="23">
        <v>14.789</v>
      </c>
      <c r="O206" s="23">
        <f t="shared" si="8"/>
        <v>0.498</v>
      </c>
    </row>
    <row r="207">
      <c r="A207" s="1">
        <v>397.0</v>
      </c>
      <c r="B207" s="1">
        <v>20047.0</v>
      </c>
      <c r="C207" s="23">
        <v>16.386</v>
      </c>
      <c r="D207" s="23">
        <v>23.926</v>
      </c>
      <c r="E207" s="23">
        <v>1.377</v>
      </c>
      <c r="F207" s="1">
        <v>849.8</v>
      </c>
      <c r="G207" s="23">
        <v>0.634</v>
      </c>
      <c r="H207" s="23">
        <v>0.498</v>
      </c>
      <c r="I207" s="1">
        <v>350.5</v>
      </c>
      <c r="J207" s="1">
        <v>627.2</v>
      </c>
      <c r="K207" s="1">
        <v>29644.0</v>
      </c>
      <c r="L207" s="1">
        <v>100.0</v>
      </c>
      <c r="M207" s="23">
        <v>14.834</v>
      </c>
      <c r="O207" s="23">
        <f t="shared" si="8"/>
        <v>0.498</v>
      </c>
    </row>
    <row r="208">
      <c r="A208" s="1">
        <v>399.0</v>
      </c>
      <c r="B208" s="1">
        <v>20047.0</v>
      </c>
      <c r="C208" s="26">
        <v>16.397</v>
      </c>
      <c r="D208" s="23">
        <v>23.926</v>
      </c>
      <c r="E208" s="23">
        <v>1.377</v>
      </c>
      <c r="F208" s="1">
        <v>864.8</v>
      </c>
      <c r="G208" s="23">
        <v>0.634</v>
      </c>
      <c r="H208" s="23">
        <v>1.488</v>
      </c>
      <c r="I208" s="1">
        <v>350.5</v>
      </c>
      <c r="J208" s="1">
        <v>627.2</v>
      </c>
      <c r="K208" s="1">
        <v>29644.0</v>
      </c>
      <c r="L208" s="1">
        <v>100.0</v>
      </c>
      <c r="M208" s="23">
        <v>14.834</v>
      </c>
      <c r="O208" s="23">
        <f t="shared" si="8"/>
        <v>1</v>
      </c>
    </row>
    <row r="209">
      <c r="A209" s="1">
        <v>401.0</v>
      </c>
      <c r="B209" s="1">
        <v>20047.0</v>
      </c>
      <c r="C209" s="26">
        <v>16.399</v>
      </c>
      <c r="D209" s="23">
        <v>19.616</v>
      </c>
      <c r="E209" s="23">
        <v>1.377</v>
      </c>
      <c r="F209" s="1">
        <v>864.8</v>
      </c>
      <c r="G209" s="23">
        <v>0.641</v>
      </c>
      <c r="H209" s="23">
        <v>1.488</v>
      </c>
      <c r="I209" s="1">
        <v>350.5</v>
      </c>
      <c r="J209" s="1">
        <v>647.0</v>
      </c>
      <c r="K209" s="1">
        <v>29644.0</v>
      </c>
      <c r="L209" s="1">
        <v>99.0</v>
      </c>
      <c r="M209" s="23">
        <v>14.942</v>
      </c>
      <c r="O209" s="23">
        <f t="shared" si="8"/>
        <v>1</v>
      </c>
    </row>
    <row r="210">
      <c r="A210" s="1">
        <v>403.0</v>
      </c>
      <c r="B210" s="1">
        <v>20047.0</v>
      </c>
      <c r="C210" s="23">
        <v>16.6</v>
      </c>
      <c r="D210" s="23">
        <v>19.277</v>
      </c>
      <c r="E210" s="23">
        <v>1.377</v>
      </c>
      <c r="F210" s="1">
        <v>864.8</v>
      </c>
      <c r="G210" s="23">
        <v>0.641</v>
      </c>
      <c r="H210" s="23">
        <v>1.498</v>
      </c>
      <c r="I210" s="1">
        <v>350.5</v>
      </c>
      <c r="J210" s="1">
        <v>647.0</v>
      </c>
      <c r="K210" s="1">
        <v>29644.0</v>
      </c>
      <c r="L210" s="1">
        <v>100.0</v>
      </c>
      <c r="M210" s="23">
        <v>14.942</v>
      </c>
      <c r="O210" s="23">
        <f t="shared" si="8"/>
        <v>1</v>
      </c>
    </row>
    <row r="211">
      <c r="A211" s="1">
        <v>405.0</v>
      </c>
      <c r="B211" s="1">
        <v>18341.0</v>
      </c>
      <c r="C211" s="23">
        <v>15.35</v>
      </c>
      <c r="D211" s="23">
        <v>18.116</v>
      </c>
      <c r="E211" s="23">
        <v>1.377</v>
      </c>
      <c r="F211" s="1">
        <v>864.8</v>
      </c>
      <c r="G211" s="23">
        <v>0.641</v>
      </c>
      <c r="H211" s="23">
        <v>0.498</v>
      </c>
      <c r="I211" s="1">
        <v>350.5</v>
      </c>
      <c r="J211" s="1">
        <v>647.0</v>
      </c>
      <c r="K211" s="1">
        <v>27121.0</v>
      </c>
      <c r="L211" s="1">
        <v>100.0</v>
      </c>
      <c r="M211" s="23">
        <v>14.805</v>
      </c>
      <c r="O211" s="23">
        <f t="shared" si="8"/>
        <v>0.498</v>
      </c>
    </row>
    <row r="212">
      <c r="A212" s="1">
        <v>407.0</v>
      </c>
      <c r="B212" s="1">
        <v>18341.0</v>
      </c>
      <c r="C212" s="23">
        <v>15.09</v>
      </c>
      <c r="D212" s="23">
        <v>16.738</v>
      </c>
      <c r="E212" s="23">
        <v>1.377</v>
      </c>
      <c r="F212" s="1">
        <v>864.8</v>
      </c>
      <c r="G212" s="23">
        <v>0.641</v>
      </c>
      <c r="H212" s="23">
        <v>0.498</v>
      </c>
      <c r="I212" s="1">
        <v>350.5</v>
      </c>
      <c r="J212" s="1">
        <v>647.0</v>
      </c>
      <c r="K212" s="1">
        <v>27121.0</v>
      </c>
      <c r="L212" s="1">
        <v>100.0</v>
      </c>
      <c r="M212" s="23">
        <v>14.805</v>
      </c>
      <c r="O212" s="23">
        <f t="shared" si="8"/>
        <v>0.498</v>
      </c>
    </row>
    <row r="213">
      <c r="A213" s="1">
        <v>409.0</v>
      </c>
      <c r="B213" s="1">
        <v>18341.0</v>
      </c>
      <c r="C213" s="23">
        <v>14.656</v>
      </c>
      <c r="D213" s="23">
        <v>15.449</v>
      </c>
      <c r="E213" s="23">
        <v>1.377</v>
      </c>
      <c r="F213" s="1">
        <v>864.8</v>
      </c>
      <c r="G213" s="23">
        <v>0.615</v>
      </c>
      <c r="H213" s="23">
        <v>0.498</v>
      </c>
      <c r="I213" s="1">
        <v>350.5</v>
      </c>
      <c r="J213" s="1">
        <v>565.0</v>
      </c>
      <c r="K213" s="1">
        <v>27121.0</v>
      </c>
      <c r="L213" s="1">
        <v>100.0</v>
      </c>
      <c r="M213" s="23">
        <v>14.607</v>
      </c>
      <c r="O213" s="23">
        <f t="shared" si="8"/>
        <v>0.498</v>
      </c>
    </row>
    <row r="214">
      <c r="A214" s="1">
        <v>411.0</v>
      </c>
      <c r="B214" s="1">
        <v>17970.0</v>
      </c>
      <c r="C214" s="26">
        <v>14.577</v>
      </c>
      <c r="D214" s="23">
        <v>15.754</v>
      </c>
      <c r="E214" s="23">
        <v>1.377</v>
      </c>
      <c r="F214" s="1">
        <v>864.8</v>
      </c>
      <c r="G214" s="23">
        <v>0.615</v>
      </c>
      <c r="H214" s="23">
        <v>0.498</v>
      </c>
      <c r="I214" s="1">
        <v>350.5</v>
      </c>
      <c r="J214" s="1">
        <v>565.0</v>
      </c>
      <c r="K214" s="1">
        <v>27121.0</v>
      </c>
      <c r="L214" s="1">
        <v>100.0</v>
      </c>
      <c r="M214" s="23">
        <v>14.607</v>
      </c>
      <c r="O214" s="23">
        <f t="shared" si="8"/>
        <v>0.498</v>
      </c>
    </row>
    <row r="215">
      <c r="A215" s="1">
        <v>413.0</v>
      </c>
      <c r="B215" s="1">
        <v>18341.0</v>
      </c>
      <c r="C215" s="26">
        <v>14.436</v>
      </c>
      <c r="D215" s="23">
        <v>16.136</v>
      </c>
      <c r="E215" s="23">
        <v>1.127</v>
      </c>
      <c r="F215" s="1">
        <v>864.8</v>
      </c>
      <c r="G215" s="23">
        <v>0.615</v>
      </c>
      <c r="H215" s="23">
        <v>0.53</v>
      </c>
      <c r="I215" s="1">
        <v>350.5</v>
      </c>
      <c r="J215" s="1">
        <v>565.0</v>
      </c>
      <c r="K215" s="1">
        <v>27121.0</v>
      </c>
      <c r="L215" s="1">
        <v>100.0</v>
      </c>
      <c r="M215" s="23">
        <v>14.643</v>
      </c>
      <c r="O215" s="23">
        <f t="shared" si="8"/>
        <v>0.53</v>
      </c>
    </row>
    <row r="216">
      <c r="A216" s="1">
        <v>415.0</v>
      </c>
      <c r="B216" s="1">
        <v>18341.0</v>
      </c>
      <c r="C216" s="23">
        <v>14.219</v>
      </c>
      <c r="D216" s="23">
        <v>15.797</v>
      </c>
      <c r="E216" s="23">
        <v>1.127</v>
      </c>
      <c r="F216" s="1">
        <v>849.8</v>
      </c>
      <c r="G216" s="23">
        <v>0.615</v>
      </c>
      <c r="H216" s="23">
        <v>0.53</v>
      </c>
      <c r="I216" s="1">
        <v>350.5</v>
      </c>
      <c r="J216" s="1">
        <v>565.0</v>
      </c>
      <c r="K216" s="1">
        <v>27121.0</v>
      </c>
      <c r="L216" s="1">
        <v>100.0</v>
      </c>
      <c r="M216" s="23">
        <v>14.643</v>
      </c>
      <c r="O216" s="23">
        <f t="shared" si="8"/>
        <v>0.53</v>
      </c>
    </row>
    <row r="217">
      <c r="A217" s="1">
        <v>417.0</v>
      </c>
      <c r="B217" s="1">
        <v>18341.0</v>
      </c>
      <c r="C217" s="26">
        <v>13.608</v>
      </c>
      <c r="D217" s="23">
        <v>15.793</v>
      </c>
      <c r="E217" s="23">
        <v>1.127</v>
      </c>
      <c r="F217" s="1">
        <v>810.5</v>
      </c>
      <c r="G217" s="23">
        <v>0.603</v>
      </c>
      <c r="H217" s="23">
        <v>0.54</v>
      </c>
      <c r="I217" s="1">
        <v>350.5</v>
      </c>
      <c r="J217" s="1">
        <v>525.8</v>
      </c>
      <c r="K217" s="1">
        <v>27121.0</v>
      </c>
      <c r="L217" s="1">
        <v>100.0</v>
      </c>
      <c r="M217" s="23">
        <v>14.624</v>
      </c>
      <c r="O217" s="23">
        <f t="shared" si="8"/>
        <v>0.54</v>
      </c>
    </row>
    <row r="218">
      <c r="A218" s="1">
        <v>419.0</v>
      </c>
      <c r="B218" s="1">
        <v>18341.0</v>
      </c>
      <c r="C218" s="26">
        <v>14.105</v>
      </c>
      <c r="D218" s="23">
        <v>15.793</v>
      </c>
      <c r="E218" s="23">
        <v>1.127</v>
      </c>
      <c r="F218" s="1">
        <v>810.5</v>
      </c>
      <c r="G218" s="23">
        <v>0.603</v>
      </c>
      <c r="H218" s="23">
        <v>0.54</v>
      </c>
      <c r="I218" s="1">
        <v>350.5</v>
      </c>
      <c r="J218" s="1">
        <v>525.8</v>
      </c>
      <c r="K218" s="1">
        <v>27121.0</v>
      </c>
      <c r="L218" s="1">
        <v>100.0</v>
      </c>
      <c r="M218" s="23">
        <v>14.624</v>
      </c>
      <c r="O218" s="23">
        <f t="shared" si="8"/>
        <v>0.54</v>
      </c>
    </row>
    <row r="219">
      <c r="A219" s="1">
        <v>421.0</v>
      </c>
      <c r="B219" s="1">
        <v>18341.0</v>
      </c>
      <c r="C219" s="23">
        <v>14.306</v>
      </c>
      <c r="D219" s="26">
        <v>15.454</v>
      </c>
      <c r="E219" s="23">
        <v>1.127</v>
      </c>
      <c r="F219" s="1">
        <v>864.8</v>
      </c>
      <c r="G219" s="23">
        <v>0.715</v>
      </c>
      <c r="H219" s="23">
        <v>0.57</v>
      </c>
      <c r="I219" s="1">
        <v>350.5</v>
      </c>
      <c r="J219" s="1">
        <v>565.0</v>
      </c>
      <c r="K219" s="1">
        <v>27121.0</v>
      </c>
      <c r="L219" s="1">
        <v>99.0</v>
      </c>
      <c r="M219" s="23">
        <v>14.624</v>
      </c>
      <c r="O219" s="23">
        <f t="shared" si="8"/>
        <v>0.57</v>
      </c>
    </row>
    <row r="220">
      <c r="A220" s="1">
        <v>423.0</v>
      </c>
      <c r="B220" s="1">
        <v>18341.0</v>
      </c>
      <c r="C220" s="23">
        <v>14.682</v>
      </c>
      <c r="D220" s="23">
        <v>15.788</v>
      </c>
      <c r="E220" s="23">
        <v>1.127</v>
      </c>
      <c r="F220" s="1">
        <v>864.8</v>
      </c>
      <c r="G220" s="23">
        <v>0.715</v>
      </c>
      <c r="H220" s="23">
        <v>0.57</v>
      </c>
      <c r="I220" s="1">
        <v>350.5</v>
      </c>
      <c r="J220" s="1">
        <v>565.0</v>
      </c>
      <c r="K220" s="1">
        <v>27121.0</v>
      </c>
      <c r="L220" s="1">
        <v>100.0</v>
      </c>
      <c r="M220" s="23">
        <v>14.604</v>
      </c>
      <c r="O220" s="23">
        <f t="shared" si="8"/>
        <v>0.57</v>
      </c>
    </row>
    <row r="221">
      <c r="A221" s="1">
        <v>425.0</v>
      </c>
      <c r="B221" s="1">
        <v>18341.0</v>
      </c>
      <c r="C221" s="23">
        <v>14.66</v>
      </c>
      <c r="D221" s="23">
        <v>15.788</v>
      </c>
      <c r="E221" s="23">
        <v>1.127</v>
      </c>
      <c r="F221" s="1">
        <v>864.8</v>
      </c>
      <c r="G221" s="23">
        <v>0.741</v>
      </c>
      <c r="H221" s="23">
        <v>0.57</v>
      </c>
      <c r="I221" s="1">
        <v>350.5</v>
      </c>
      <c r="J221" s="1">
        <v>647.0</v>
      </c>
      <c r="K221" s="1">
        <v>27121.0</v>
      </c>
      <c r="L221" s="1">
        <v>100.0</v>
      </c>
      <c r="M221" s="23">
        <v>14.604</v>
      </c>
      <c r="O221" s="23">
        <f t="shared" si="8"/>
        <v>0.57</v>
      </c>
    </row>
    <row r="222">
      <c r="A222" s="1">
        <v>427.0</v>
      </c>
      <c r="B222" s="1">
        <v>20047.0</v>
      </c>
      <c r="C222" s="23">
        <v>16.595</v>
      </c>
      <c r="D222" s="23">
        <v>18.437</v>
      </c>
      <c r="E222" s="23">
        <v>1.127</v>
      </c>
      <c r="F222" s="1">
        <v>864.8</v>
      </c>
      <c r="G222" s="23">
        <v>0.741</v>
      </c>
      <c r="H222" s="23">
        <v>0.57</v>
      </c>
      <c r="I222" s="1">
        <v>350.5</v>
      </c>
      <c r="J222" s="1">
        <v>647.0</v>
      </c>
      <c r="K222" s="1">
        <v>29644.0</v>
      </c>
      <c r="L222" s="1">
        <v>100.0</v>
      </c>
      <c r="M222" s="23">
        <v>14.625</v>
      </c>
      <c r="O222" s="23">
        <f t="shared" si="8"/>
        <v>0.57</v>
      </c>
    </row>
    <row r="223">
      <c r="A223" s="1">
        <v>429.0</v>
      </c>
      <c r="B223" s="1">
        <v>22607.0</v>
      </c>
      <c r="C223" s="23">
        <v>16.669</v>
      </c>
      <c r="D223" s="23">
        <v>18.516</v>
      </c>
      <c r="E223" s="23">
        <v>1.247</v>
      </c>
      <c r="F223" s="1">
        <v>864.8</v>
      </c>
      <c r="G223" s="23">
        <v>0.741</v>
      </c>
      <c r="H223" s="23">
        <v>0.562</v>
      </c>
      <c r="I223" s="1">
        <v>350.5</v>
      </c>
      <c r="J223" s="1">
        <v>647.0</v>
      </c>
      <c r="K223" s="1">
        <v>33428.0</v>
      </c>
      <c r="L223" s="1">
        <v>100.0</v>
      </c>
      <c r="M223" s="23">
        <v>14.625</v>
      </c>
      <c r="O223" s="23">
        <f t="shared" si="8"/>
        <v>0.562</v>
      </c>
    </row>
    <row r="224">
      <c r="A224" s="1">
        <v>431.0</v>
      </c>
      <c r="B224" s="1">
        <v>22607.0</v>
      </c>
      <c r="C224" s="23">
        <v>16.831</v>
      </c>
      <c r="D224" s="23">
        <v>17.887</v>
      </c>
      <c r="E224" s="26">
        <v>0.827</v>
      </c>
      <c r="F224" s="1">
        <v>864.8</v>
      </c>
      <c r="G224" s="23">
        <v>0.641</v>
      </c>
      <c r="H224" s="23">
        <v>0.522</v>
      </c>
      <c r="I224" s="1">
        <v>350.5</v>
      </c>
      <c r="J224" s="1">
        <v>647.0</v>
      </c>
      <c r="K224" s="1">
        <v>33428.0</v>
      </c>
      <c r="L224" s="1">
        <v>100.0</v>
      </c>
      <c r="M224" s="23">
        <v>14.853</v>
      </c>
      <c r="O224" s="23">
        <f t="shared" si="8"/>
        <v>0.522</v>
      </c>
    </row>
    <row r="225">
      <c r="A225" s="1">
        <v>433.0</v>
      </c>
      <c r="B225" s="1">
        <v>22607.0</v>
      </c>
      <c r="C225" s="23">
        <v>16.467</v>
      </c>
      <c r="D225" s="23">
        <v>17.563</v>
      </c>
      <c r="E225" s="23">
        <v>1.228</v>
      </c>
      <c r="F225" s="1">
        <v>849.8</v>
      </c>
      <c r="G225" s="23">
        <v>0.641</v>
      </c>
      <c r="H225" s="23">
        <v>0.48</v>
      </c>
      <c r="I225" s="1">
        <v>350.5</v>
      </c>
      <c r="J225" s="1">
        <v>647.0</v>
      </c>
      <c r="K225" s="1">
        <v>33428.0</v>
      </c>
      <c r="L225" s="1">
        <v>100.0</v>
      </c>
      <c r="M225" s="23">
        <v>14.853</v>
      </c>
      <c r="O225" s="23">
        <f t="shared" si="8"/>
        <v>0.48</v>
      </c>
    </row>
    <row r="226">
      <c r="A226" s="1">
        <v>435.0</v>
      </c>
      <c r="B226" s="1">
        <v>22607.0</v>
      </c>
      <c r="C226" s="23">
        <v>16.467</v>
      </c>
      <c r="D226" s="23">
        <v>17.572</v>
      </c>
      <c r="E226" s="23">
        <v>1.228</v>
      </c>
      <c r="F226" s="1">
        <v>849.8</v>
      </c>
      <c r="G226" s="23">
        <v>0.641</v>
      </c>
      <c r="H226" s="23">
        <v>0.49</v>
      </c>
      <c r="I226" s="1">
        <v>350.5</v>
      </c>
      <c r="J226" s="1">
        <v>647.0</v>
      </c>
      <c r="K226" s="1">
        <v>33428.0</v>
      </c>
      <c r="L226" s="1">
        <v>100.0</v>
      </c>
      <c r="M226" s="23">
        <v>14.895</v>
      </c>
      <c r="O226" s="23">
        <f t="shared" si="8"/>
        <v>0.49</v>
      </c>
    </row>
    <row r="227">
      <c r="A227" s="1">
        <v>437.0</v>
      </c>
      <c r="B227" s="1">
        <v>22607.0</v>
      </c>
      <c r="C227" s="26">
        <v>16.831</v>
      </c>
      <c r="D227" s="23">
        <v>17.896</v>
      </c>
      <c r="E227" s="23">
        <v>1.228</v>
      </c>
      <c r="F227" s="1">
        <v>849.8</v>
      </c>
      <c r="G227" s="23">
        <v>0.641</v>
      </c>
      <c r="H227" s="23">
        <v>0.498</v>
      </c>
      <c r="I227" s="1">
        <v>350.5</v>
      </c>
      <c r="J227" s="1">
        <v>647.0</v>
      </c>
      <c r="K227" s="1">
        <v>33428.0</v>
      </c>
      <c r="L227" s="1">
        <v>100.0</v>
      </c>
      <c r="M227" s="23">
        <v>14.895</v>
      </c>
      <c r="O227" s="23">
        <f t="shared" si="8"/>
        <v>0.498</v>
      </c>
    </row>
    <row r="228">
      <c r="A228" s="1">
        <v>439.0</v>
      </c>
      <c r="B228" s="1">
        <v>22607.0</v>
      </c>
      <c r="C228" s="23">
        <v>16.764</v>
      </c>
      <c r="D228" s="23">
        <v>17.024</v>
      </c>
      <c r="E228" s="23">
        <v>1.228</v>
      </c>
      <c r="F228" s="1">
        <v>849.8</v>
      </c>
      <c r="G228" s="23">
        <v>0.641</v>
      </c>
      <c r="H228" s="23">
        <v>0.498</v>
      </c>
      <c r="I228" s="1">
        <v>350.5</v>
      </c>
      <c r="J228" s="1">
        <v>647.0</v>
      </c>
      <c r="K228" s="1">
        <v>33428.0</v>
      </c>
      <c r="L228" s="1">
        <v>100.0</v>
      </c>
      <c r="M228" s="23">
        <v>14.859</v>
      </c>
      <c r="O228" s="23">
        <f t="shared" si="8"/>
        <v>0.498</v>
      </c>
    </row>
    <row r="229">
      <c r="A229" s="1">
        <v>441.0</v>
      </c>
      <c r="B229" s="1">
        <v>20900.0</v>
      </c>
      <c r="C229" s="23">
        <v>16.302</v>
      </c>
      <c r="D229" s="23">
        <v>16.592</v>
      </c>
      <c r="E229" s="23">
        <v>1.686</v>
      </c>
      <c r="F229" s="1">
        <v>849.8</v>
      </c>
      <c r="G229" s="23">
        <v>0.615</v>
      </c>
      <c r="H229" s="23">
        <v>0.498</v>
      </c>
      <c r="I229" s="1">
        <v>350.5</v>
      </c>
      <c r="J229" s="1">
        <v>565.0</v>
      </c>
      <c r="K229" s="1">
        <v>30905.0</v>
      </c>
      <c r="L229" s="1">
        <v>100.0</v>
      </c>
      <c r="M229" s="23">
        <v>14.859</v>
      </c>
      <c r="O229" s="23">
        <f t="shared" si="8"/>
        <v>0.498</v>
      </c>
    </row>
    <row r="230">
      <c r="A230" s="1">
        <v>443.0</v>
      </c>
      <c r="B230" s="1">
        <v>17488.0</v>
      </c>
      <c r="C230" s="23">
        <v>14.758</v>
      </c>
      <c r="D230" s="23">
        <v>15.17</v>
      </c>
      <c r="E230" s="23">
        <v>1.686</v>
      </c>
      <c r="F230" s="1">
        <v>864.8</v>
      </c>
      <c r="G230" s="23">
        <v>0.615</v>
      </c>
      <c r="H230" s="23">
        <v>0.498</v>
      </c>
      <c r="I230" s="1">
        <v>350.5</v>
      </c>
      <c r="J230" s="1">
        <v>565.0</v>
      </c>
      <c r="K230" s="1">
        <v>25860.0</v>
      </c>
      <c r="L230" s="1">
        <v>100.0</v>
      </c>
      <c r="M230" s="23">
        <v>14.625</v>
      </c>
      <c r="O230" s="23">
        <f t="shared" si="8"/>
        <v>0.498</v>
      </c>
    </row>
    <row r="231">
      <c r="A231" s="1">
        <v>445.0</v>
      </c>
      <c r="B231" s="1">
        <v>18341.0</v>
      </c>
      <c r="C231" s="23">
        <v>14.707</v>
      </c>
      <c r="D231" s="23">
        <v>15.094</v>
      </c>
      <c r="E231" s="23">
        <v>1.555</v>
      </c>
      <c r="F231" s="1">
        <v>864.8</v>
      </c>
      <c r="G231" s="23">
        <v>0.615</v>
      </c>
      <c r="H231" s="23">
        <v>0.488</v>
      </c>
      <c r="I231" s="1">
        <v>350.5</v>
      </c>
      <c r="J231" s="1">
        <v>565.0</v>
      </c>
      <c r="K231" s="1">
        <v>27121.0</v>
      </c>
      <c r="L231" s="1">
        <v>100.0</v>
      </c>
      <c r="M231" s="23">
        <v>14.625</v>
      </c>
      <c r="O231" s="23">
        <f t="shared" si="8"/>
        <v>0.488</v>
      </c>
    </row>
    <row r="232">
      <c r="A232" s="1">
        <v>447.0</v>
      </c>
      <c r="B232" s="1">
        <v>18341.0</v>
      </c>
      <c r="C232" s="23">
        <v>14.707</v>
      </c>
      <c r="D232" s="26">
        <v>15.094</v>
      </c>
      <c r="E232" s="23">
        <v>1.555</v>
      </c>
      <c r="F232" s="1">
        <v>864.8</v>
      </c>
      <c r="G232" s="23">
        <v>0.615</v>
      </c>
      <c r="H232" s="23">
        <v>0.488</v>
      </c>
      <c r="I232" s="1">
        <v>350.5</v>
      </c>
      <c r="J232" s="1">
        <v>565.0</v>
      </c>
      <c r="K232" s="1">
        <v>27121.0</v>
      </c>
      <c r="L232" s="1">
        <v>100.0</v>
      </c>
      <c r="M232" s="23">
        <v>14.625</v>
      </c>
      <c r="O232" s="23">
        <f t="shared" si="8"/>
        <v>0.488</v>
      </c>
    </row>
    <row r="233">
      <c r="A233" s="1">
        <v>449.0</v>
      </c>
      <c r="B233" s="1">
        <v>18341.0</v>
      </c>
      <c r="C233" s="23">
        <v>14.706</v>
      </c>
      <c r="D233" s="23">
        <v>15.085</v>
      </c>
      <c r="E233" s="23">
        <v>1.555</v>
      </c>
      <c r="F233" s="1">
        <v>864.8</v>
      </c>
      <c r="G233" s="23">
        <v>0.615</v>
      </c>
      <c r="H233" s="23">
        <v>0.488</v>
      </c>
      <c r="I233" s="1">
        <v>350.5</v>
      </c>
      <c r="J233" s="1">
        <v>565.0</v>
      </c>
      <c r="K233" s="1">
        <v>27121.0</v>
      </c>
      <c r="L233" s="1">
        <v>100.0</v>
      </c>
      <c r="M233" s="23">
        <v>14.587</v>
      </c>
      <c r="O233" s="23">
        <f t="shared" si="8"/>
        <v>0.488</v>
      </c>
    </row>
    <row r="234">
      <c r="A234" s="1">
        <v>451.0</v>
      </c>
      <c r="B234" s="1">
        <v>18341.0</v>
      </c>
      <c r="C234" s="23">
        <v>14.751</v>
      </c>
      <c r="D234" s="23">
        <v>15.085</v>
      </c>
      <c r="E234" s="23">
        <v>1.555</v>
      </c>
      <c r="F234" s="1">
        <v>864.8</v>
      </c>
      <c r="G234" s="23">
        <v>0.615</v>
      </c>
      <c r="H234" s="23">
        <v>0.498</v>
      </c>
      <c r="I234" s="1">
        <v>350.5</v>
      </c>
      <c r="J234" s="1">
        <v>565.0</v>
      </c>
      <c r="K234" s="1">
        <v>27121.0</v>
      </c>
      <c r="L234" s="1">
        <v>100.0</v>
      </c>
      <c r="M234" s="23">
        <v>14.587</v>
      </c>
      <c r="O234" s="23">
        <f t="shared" si="8"/>
        <v>0.498</v>
      </c>
    </row>
    <row r="235">
      <c r="A235" s="1">
        <v>453.0</v>
      </c>
      <c r="B235" s="1">
        <v>18341.0</v>
      </c>
      <c r="C235" s="23">
        <v>14.786</v>
      </c>
      <c r="D235" s="23">
        <v>15.084</v>
      </c>
      <c r="E235" s="23">
        <v>1.127</v>
      </c>
      <c r="F235" s="1">
        <v>864.8</v>
      </c>
      <c r="G235" s="23">
        <v>0.615</v>
      </c>
      <c r="H235" s="23">
        <v>0.498</v>
      </c>
      <c r="I235" s="1">
        <v>350.5</v>
      </c>
      <c r="J235" s="1">
        <v>565.0</v>
      </c>
      <c r="K235" s="1">
        <v>27121.0</v>
      </c>
      <c r="L235" s="1">
        <v>100.0</v>
      </c>
      <c r="M235" s="23">
        <v>14.581</v>
      </c>
      <c r="O235" s="23">
        <f t="shared" si="8"/>
        <v>0.498</v>
      </c>
    </row>
    <row r="236">
      <c r="A236" s="1">
        <v>455.0</v>
      </c>
      <c r="B236" s="1">
        <v>18341.0</v>
      </c>
      <c r="C236" s="23">
        <v>15.173</v>
      </c>
      <c r="D236" s="23">
        <v>15.408</v>
      </c>
      <c r="E236" s="23">
        <v>1.127</v>
      </c>
      <c r="F236" s="1">
        <v>849.8</v>
      </c>
      <c r="G236" s="23">
        <v>0.615</v>
      </c>
      <c r="H236" s="23">
        <v>0.54</v>
      </c>
      <c r="I236" s="1">
        <v>350.5</v>
      </c>
      <c r="J236" s="1">
        <v>565.0</v>
      </c>
      <c r="K236" s="1">
        <v>27121.0</v>
      </c>
      <c r="L236" s="1">
        <v>100.0</v>
      </c>
      <c r="M236" s="23">
        <v>14.581</v>
      </c>
      <c r="O236" s="23">
        <f t="shared" si="8"/>
        <v>0.54</v>
      </c>
    </row>
    <row r="237">
      <c r="A237" s="1">
        <v>457.0</v>
      </c>
      <c r="B237" s="1">
        <v>17970.0</v>
      </c>
      <c r="C237" s="23">
        <v>15.791</v>
      </c>
      <c r="D237" s="23">
        <v>15.953</v>
      </c>
      <c r="E237" s="23">
        <v>0.707</v>
      </c>
      <c r="F237" s="1">
        <v>849.8</v>
      </c>
      <c r="G237" s="23">
        <v>0.641</v>
      </c>
      <c r="H237" s="23">
        <v>0.54</v>
      </c>
      <c r="I237" s="1">
        <v>350.5</v>
      </c>
      <c r="J237" s="1">
        <v>647.0</v>
      </c>
      <c r="K237" s="1">
        <v>27121.0</v>
      </c>
      <c r="L237" s="1">
        <v>100.0</v>
      </c>
      <c r="M237" s="23">
        <v>14.599</v>
      </c>
      <c r="O237" s="23">
        <f t="shared" si="8"/>
        <v>0.54</v>
      </c>
    </row>
    <row r="238">
      <c r="A238" s="1">
        <v>459.0</v>
      </c>
      <c r="B238" s="1">
        <v>17970.0</v>
      </c>
      <c r="C238" s="23">
        <v>15.223</v>
      </c>
      <c r="D238" s="23">
        <v>20.343</v>
      </c>
      <c r="E238" s="23">
        <v>1.227</v>
      </c>
      <c r="F238" s="1">
        <v>864.8</v>
      </c>
      <c r="G238" s="23">
        <v>0.641</v>
      </c>
      <c r="H238" s="23">
        <v>0.582</v>
      </c>
      <c r="I238" s="1">
        <v>350.5</v>
      </c>
      <c r="J238" s="1">
        <v>647.0</v>
      </c>
      <c r="K238" s="1">
        <v>27121.0</v>
      </c>
      <c r="L238" s="1">
        <v>100.0</v>
      </c>
      <c r="M238" s="23">
        <v>14.599</v>
      </c>
      <c r="O238" s="23">
        <f t="shared" si="8"/>
        <v>0.582</v>
      </c>
    </row>
    <row r="239">
      <c r="A239" s="1">
        <v>461.0</v>
      </c>
      <c r="B239" s="1">
        <v>18341.0</v>
      </c>
      <c r="C239" s="23">
        <v>15.879</v>
      </c>
      <c r="D239" s="23">
        <v>21.102</v>
      </c>
      <c r="E239" s="23">
        <v>1.227</v>
      </c>
      <c r="F239" s="1">
        <v>864.8</v>
      </c>
      <c r="G239" s="23">
        <v>0.641</v>
      </c>
      <c r="H239" s="23">
        <v>1.582</v>
      </c>
      <c r="I239" s="1">
        <v>350.5</v>
      </c>
      <c r="J239" s="1">
        <v>647.0</v>
      </c>
      <c r="K239" s="1">
        <v>27121.0</v>
      </c>
      <c r="L239" s="1">
        <v>100.0</v>
      </c>
      <c r="M239" s="23">
        <v>14.698</v>
      </c>
      <c r="O239" s="23">
        <f t="shared" si="8"/>
        <v>1</v>
      </c>
    </row>
    <row r="240">
      <c r="A240" s="1">
        <v>463.0</v>
      </c>
      <c r="B240" s="1">
        <v>20047.0</v>
      </c>
      <c r="C240" s="23">
        <v>16.05</v>
      </c>
      <c r="D240" s="23">
        <v>21.295</v>
      </c>
      <c r="E240" s="23">
        <v>1.227</v>
      </c>
      <c r="F240" s="1">
        <v>864.8</v>
      </c>
      <c r="G240" s="23">
        <v>0.641</v>
      </c>
      <c r="H240" s="23">
        <v>1.624</v>
      </c>
      <c r="I240" s="1">
        <v>350.5</v>
      </c>
      <c r="J240" s="1">
        <v>647.0</v>
      </c>
      <c r="K240" s="1">
        <v>29644.0</v>
      </c>
      <c r="L240" s="1">
        <v>100.0</v>
      </c>
      <c r="M240" s="23">
        <v>14.698</v>
      </c>
      <c r="O240" s="23">
        <f t="shared" si="8"/>
        <v>1</v>
      </c>
    </row>
    <row r="241">
      <c r="A241" s="1">
        <v>465.0</v>
      </c>
      <c r="B241" s="1">
        <v>20047.0</v>
      </c>
      <c r="C241" s="23">
        <v>16.086</v>
      </c>
      <c r="D241" s="23">
        <v>21.318</v>
      </c>
      <c r="E241" s="23">
        <v>1.477</v>
      </c>
      <c r="F241" s="1">
        <v>864.8</v>
      </c>
      <c r="G241" s="23">
        <v>0.641</v>
      </c>
      <c r="H241" s="23">
        <v>0.614</v>
      </c>
      <c r="I241" s="1">
        <v>350.5</v>
      </c>
      <c r="J241" s="1">
        <v>647.0</v>
      </c>
      <c r="K241" s="1">
        <v>29644.0</v>
      </c>
      <c r="L241" s="1">
        <v>100.0</v>
      </c>
      <c r="M241" s="23">
        <v>14.786</v>
      </c>
      <c r="O241" s="23">
        <f t="shared" si="8"/>
        <v>0.614</v>
      </c>
    </row>
    <row r="242">
      <c r="A242" s="1">
        <v>467.0</v>
      </c>
      <c r="B242" s="1">
        <v>20047.0</v>
      </c>
      <c r="C242" s="23">
        <v>16.052</v>
      </c>
      <c r="D242" s="23">
        <v>21.318</v>
      </c>
      <c r="E242" s="23">
        <v>1.477</v>
      </c>
      <c r="F242" s="1">
        <v>864.8</v>
      </c>
      <c r="G242" s="23">
        <v>0.641</v>
      </c>
      <c r="H242" s="23">
        <v>0.614</v>
      </c>
      <c r="I242" s="1">
        <v>350.5</v>
      </c>
      <c r="J242" s="1">
        <v>647.0</v>
      </c>
      <c r="K242" s="1">
        <v>29644.0</v>
      </c>
      <c r="L242" s="1">
        <v>100.0</v>
      </c>
      <c r="M242" s="23">
        <v>14.786</v>
      </c>
      <c r="O242" s="23">
        <f t="shared" si="8"/>
        <v>0.614</v>
      </c>
    </row>
    <row r="243">
      <c r="A243" s="1">
        <v>469.0</v>
      </c>
      <c r="B243" s="1">
        <v>20047.0</v>
      </c>
      <c r="C243" s="23">
        <v>16.254</v>
      </c>
      <c r="D243" s="23">
        <v>17.118</v>
      </c>
      <c r="E243" s="23">
        <v>1.477</v>
      </c>
      <c r="F243" s="1">
        <v>864.8</v>
      </c>
      <c r="G243" s="23">
        <v>0.641</v>
      </c>
      <c r="H243" s="23">
        <v>0.614</v>
      </c>
      <c r="I243" s="1">
        <v>350.5</v>
      </c>
      <c r="J243" s="1">
        <v>647.0</v>
      </c>
      <c r="K243" s="1">
        <v>29644.0</v>
      </c>
      <c r="L243" s="1">
        <v>100.0</v>
      </c>
      <c r="M243" s="23">
        <v>14.791</v>
      </c>
      <c r="O243" s="23">
        <f t="shared" si="8"/>
        <v>0.614</v>
      </c>
    </row>
    <row r="244">
      <c r="A244" s="1">
        <v>472.0</v>
      </c>
      <c r="B244" s="1">
        <v>20047.0</v>
      </c>
      <c r="C244" s="23">
        <v>16.277</v>
      </c>
      <c r="D244" s="23">
        <v>17.118</v>
      </c>
      <c r="E244" s="23">
        <v>1.477</v>
      </c>
      <c r="F244" s="1">
        <v>864.8</v>
      </c>
      <c r="G244" s="23">
        <v>0.641</v>
      </c>
      <c r="H244" s="23">
        <v>0.614</v>
      </c>
      <c r="I244" s="1">
        <v>350.5</v>
      </c>
      <c r="J244" s="1">
        <v>647.0</v>
      </c>
      <c r="K244" s="1">
        <v>29644.0</v>
      </c>
      <c r="L244" s="1">
        <v>100.0</v>
      </c>
      <c r="M244" s="23">
        <v>14.791</v>
      </c>
      <c r="O244" s="23">
        <f t="shared" si="8"/>
        <v>0.614</v>
      </c>
    </row>
    <row r="245">
      <c r="A245" s="1">
        <v>474.0</v>
      </c>
      <c r="B245" s="1">
        <v>20047.0</v>
      </c>
      <c r="C245" s="23">
        <v>16.079</v>
      </c>
      <c r="D245" s="23">
        <v>16.878</v>
      </c>
      <c r="E245" s="23">
        <v>1.477</v>
      </c>
      <c r="F245" s="1">
        <v>864.8</v>
      </c>
      <c r="G245" s="23">
        <v>0.641</v>
      </c>
      <c r="H245" s="23">
        <v>0.614</v>
      </c>
      <c r="I245" s="1">
        <v>350.5</v>
      </c>
      <c r="J245" s="1">
        <v>647.0</v>
      </c>
      <c r="K245" s="1">
        <v>29644.0</v>
      </c>
      <c r="L245" s="1">
        <v>100.0</v>
      </c>
      <c r="M245" s="23">
        <v>14.726</v>
      </c>
      <c r="O245" s="23">
        <f t="shared" si="8"/>
        <v>0.614</v>
      </c>
    </row>
    <row r="246">
      <c r="A246" s="1">
        <v>476.0</v>
      </c>
      <c r="B246" s="1">
        <v>20047.0</v>
      </c>
      <c r="C246" s="26">
        <v>16.068</v>
      </c>
      <c r="D246" s="23">
        <v>16.878</v>
      </c>
      <c r="E246" s="23">
        <v>1.477</v>
      </c>
      <c r="F246" s="1">
        <v>864.8</v>
      </c>
      <c r="G246" s="23">
        <v>0.609</v>
      </c>
      <c r="H246" s="23">
        <v>0.624</v>
      </c>
      <c r="I246" s="1">
        <v>350.5</v>
      </c>
      <c r="J246" s="1">
        <v>545.2</v>
      </c>
      <c r="K246" s="1">
        <v>29644.0</v>
      </c>
      <c r="L246" s="1">
        <v>100.0</v>
      </c>
      <c r="M246" s="23">
        <v>14.726</v>
      </c>
      <c r="O246" s="23">
        <f t="shared" si="8"/>
        <v>0.624</v>
      </c>
    </row>
    <row r="247">
      <c r="A247" s="1">
        <v>478.0</v>
      </c>
      <c r="B247" s="1">
        <v>18341.0</v>
      </c>
      <c r="C247" s="26">
        <v>14.905</v>
      </c>
      <c r="D247" s="23">
        <v>15.815</v>
      </c>
      <c r="E247" s="23">
        <v>1.597</v>
      </c>
      <c r="F247" s="1">
        <v>864.8</v>
      </c>
      <c r="G247" s="23">
        <v>0.615</v>
      </c>
      <c r="H247" s="23">
        <v>0.624</v>
      </c>
      <c r="I247" s="1">
        <v>350.5</v>
      </c>
      <c r="J247" s="1">
        <v>565.0</v>
      </c>
      <c r="K247" s="1">
        <v>27121.0</v>
      </c>
      <c r="L247" s="1">
        <v>100.0</v>
      </c>
      <c r="M247" s="23">
        <v>14.726</v>
      </c>
      <c r="O247" s="23">
        <f t="shared" si="8"/>
        <v>0.624</v>
      </c>
    </row>
    <row r="248">
      <c r="A248" s="1">
        <v>480.0</v>
      </c>
      <c r="B248" s="1">
        <v>18341.0</v>
      </c>
      <c r="C248" s="26">
        <v>14.903</v>
      </c>
      <c r="D248" s="23">
        <v>15.794</v>
      </c>
      <c r="E248" s="23">
        <v>1.497</v>
      </c>
      <c r="F248" s="1">
        <v>864.8</v>
      </c>
      <c r="G248" s="23">
        <v>0.615</v>
      </c>
      <c r="H248" s="23">
        <v>0.624</v>
      </c>
      <c r="I248" s="1">
        <v>350.5</v>
      </c>
      <c r="J248" s="1">
        <v>565.0</v>
      </c>
      <c r="K248" s="1">
        <v>27121.0</v>
      </c>
      <c r="L248" s="1">
        <v>100.0</v>
      </c>
      <c r="M248" s="23">
        <v>14.628</v>
      </c>
      <c r="O248" s="23">
        <f t="shared" si="8"/>
        <v>0.624</v>
      </c>
    </row>
    <row r="249">
      <c r="A249" s="1">
        <v>482.0</v>
      </c>
      <c r="B249" s="1">
        <v>18341.0</v>
      </c>
      <c r="C249" s="26">
        <v>14.274</v>
      </c>
      <c r="D249" s="23">
        <v>15.794</v>
      </c>
      <c r="E249" s="23">
        <v>1.077</v>
      </c>
      <c r="F249" s="1">
        <v>825.5</v>
      </c>
      <c r="G249" s="23">
        <v>0.603</v>
      </c>
      <c r="H249" s="23">
        <v>0.666</v>
      </c>
      <c r="I249" s="1">
        <v>350.5</v>
      </c>
      <c r="J249" s="1">
        <v>525.8</v>
      </c>
      <c r="K249" s="1">
        <v>27121.0</v>
      </c>
      <c r="L249" s="1">
        <v>100.0</v>
      </c>
      <c r="M249" s="23">
        <v>14.628</v>
      </c>
      <c r="O249" s="23">
        <f t="shared" si="8"/>
        <v>0.666</v>
      </c>
    </row>
    <row r="250">
      <c r="A250" s="1">
        <v>484.0</v>
      </c>
      <c r="B250" s="1">
        <v>18341.0</v>
      </c>
      <c r="C250" s="26">
        <v>13.396</v>
      </c>
      <c r="D250" s="23">
        <v>15.455</v>
      </c>
      <c r="E250" s="23">
        <v>1.077</v>
      </c>
      <c r="F250" s="1">
        <v>810.5</v>
      </c>
      <c r="G250" s="23">
        <v>0.603</v>
      </c>
      <c r="H250" s="23">
        <v>0.708</v>
      </c>
      <c r="I250" s="1">
        <v>350.5</v>
      </c>
      <c r="J250" s="1">
        <v>525.8</v>
      </c>
      <c r="K250" s="1">
        <v>27121.0</v>
      </c>
      <c r="L250" s="1">
        <v>100.0</v>
      </c>
      <c r="M250" s="23">
        <v>14.631</v>
      </c>
      <c r="O250" s="23">
        <f t="shared" si="8"/>
        <v>0.708</v>
      </c>
    </row>
    <row r="251">
      <c r="A251" s="1">
        <v>486.0</v>
      </c>
      <c r="B251" s="1">
        <v>18341.0</v>
      </c>
      <c r="C251" s="26">
        <v>14.264</v>
      </c>
      <c r="D251" s="23">
        <v>15.794</v>
      </c>
      <c r="E251" s="23">
        <v>1.077</v>
      </c>
      <c r="F251" s="1">
        <v>810.5</v>
      </c>
      <c r="G251" s="23">
        <v>0.603</v>
      </c>
      <c r="H251" s="23">
        <v>0.698</v>
      </c>
      <c r="I251" s="1">
        <v>350.5</v>
      </c>
      <c r="J251" s="1">
        <v>525.8</v>
      </c>
      <c r="K251" s="1">
        <v>27121.0</v>
      </c>
      <c r="L251" s="1">
        <v>100.0</v>
      </c>
      <c r="M251" s="23">
        <v>14.631</v>
      </c>
      <c r="O251" s="23">
        <f t="shared" si="8"/>
        <v>0.698</v>
      </c>
    </row>
    <row r="252">
      <c r="A252" s="1">
        <v>488.0</v>
      </c>
      <c r="B252" s="1">
        <v>18341.0</v>
      </c>
      <c r="C252" s="26">
        <v>15.201</v>
      </c>
      <c r="D252" s="23">
        <v>16.133</v>
      </c>
      <c r="E252" s="23">
        <v>1.077</v>
      </c>
      <c r="F252" s="1">
        <v>849.8</v>
      </c>
      <c r="G252" s="23">
        <v>0.615</v>
      </c>
      <c r="H252" s="23">
        <v>0.708</v>
      </c>
      <c r="I252" s="1">
        <v>350.5</v>
      </c>
      <c r="J252" s="1">
        <v>565.0</v>
      </c>
      <c r="K252" s="1">
        <v>27121.0</v>
      </c>
      <c r="L252" s="1">
        <v>100.0</v>
      </c>
      <c r="M252" s="23">
        <v>14.631</v>
      </c>
      <c r="O252" s="23">
        <f t="shared" si="8"/>
        <v>0.708</v>
      </c>
    </row>
    <row r="253">
      <c r="A253" s="1">
        <v>490.0</v>
      </c>
      <c r="B253" s="1">
        <v>18341.0</v>
      </c>
      <c r="C253" s="26">
        <v>15.167</v>
      </c>
      <c r="D253" s="23">
        <v>16.133</v>
      </c>
      <c r="E253" s="23">
        <v>1.077</v>
      </c>
      <c r="F253" s="1">
        <v>849.8</v>
      </c>
      <c r="G253" s="23">
        <v>0.615</v>
      </c>
      <c r="H253" s="23">
        <v>0.708</v>
      </c>
      <c r="I253" s="1">
        <v>350.5</v>
      </c>
      <c r="J253" s="1">
        <v>565.0</v>
      </c>
      <c r="K253" s="1">
        <v>27121.0</v>
      </c>
      <c r="L253" s="1">
        <v>100.0</v>
      </c>
      <c r="M253" s="23">
        <v>14.631</v>
      </c>
      <c r="O253" s="23">
        <f t="shared" si="8"/>
        <v>0.708</v>
      </c>
    </row>
    <row r="254">
      <c r="A254" s="1">
        <v>492.0</v>
      </c>
      <c r="B254" s="1">
        <v>21754.0</v>
      </c>
      <c r="C254" s="26">
        <v>17.147</v>
      </c>
      <c r="D254" s="23">
        <v>18.017</v>
      </c>
      <c r="E254" s="23">
        <v>0.957</v>
      </c>
      <c r="F254" s="1">
        <v>864.8</v>
      </c>
      <c r="G254" s="23">
        <v>0.615</v>
      </c>
      <c r="H254" s="23">
        <v>0.708</v>
      </c>
      <c r="I254" s="1">
        <v>350.5</v>
      </c>
      <c r="J254" s="1">
        <v>565.0</v>
      </c>
      <c r="K254" s="1">
        <v>32167.0</v>
      </c>
      <c r="L254" s="1">
        <v>100.0</v>
      </c>
      <c r="M254" s="23">
        <v>14.765</v>
      </c>
      <c r="O254" s="23">
        <f t="shared" si="8"/>
        <v>0.708</v>
      </c>
    </row>
    <row r="255">
      <c r="A255" s="1">
        <v>494.0</v>
      </c>
      <c r="B255" s="1">
        <v>20900.0</v>
      </c>
      <c r="C255" s="26">
        <v>17.135</v>
      </c>
      <c r="D255" s="23">
        <v>17.983</v>
      </c>
      <c r="E255" s="23">
        <v>0.957</v>
      </c>
      <c r="F255" s="1">
        <v>864.8</v>
      </c>
      <c r="G255" s="23">
        <v>0.641</v>
      </c>
      <c r="H255" s="23">
        <v>0.708</v>
      </c>
      <c r="I255" s="1">
        <v>350.5</v>
      </c>
      <c r="J255" s="1">
        <v>647.0</v>
      </c>
      <c r="K255" s="1">
        <v>30905.0</v>
      </c>
      <c r="L255" s="1">
        <v>100.0</v>
      </c>
      <c r="M255" s="23">
        <v>14.765</v>
      </c>
      <c r="O255" s="23">
        <f t="shared" si="8"/>
        <v>0.708</v>
      </c>
    </row>
    <row r="256">
      <c r="A256" s="1">
        <v>496.0</v>
      </c>
      <c r="B256" s="1">
        <v>20900.0</v>
      </c>
      <c r="C256" s="26">
        <v>17.137</v>
      </c>
      <c r="D256" s="23">
        <v>18.007</v>
      </c>
      <c r="E256" s="23">
        <v>0.957</v>
      </c>
      <c r="F256" s="1">
        <v>864.8</v>
      </c>
      <c r="G256" s="23">
        <v>0.641</v>
      </c>
      <c r="H256" s="23">
        <v>0.708</v>
      </c>
      <c r="I256" s="1">
        <v>350.5</v>
      </c>
      <c r="J256" s="1">
        <v>647.0</v>
      </c>
      <c r="K256" s="1">
        <v>30905.0</v>
      </c>
      <c r="L256" s="1">
        <v>100.0</v>
      </c>
      <c r="M256" s="26">
        <v>14.87</v>
      </c>
      <c r="O256" s="23">
        <f t="shared" si="8"/>
        <v>0.708</v>
      </c>
    </row>
    <row r="257">
      <c r="A257" s="1">
        <v>498.0</v>
      </c>
      <c r="B257" s="1">
        <v>20900.0</v>
      </c>
      <c r="C257" s="26">
        <v>17.137</v>
      </c>
      <c r="D257" s="23">
        <v>18.007</v>
      </c>
      <c r="E257" s="23">
        <v>0.957</v>
      </c>
      <c r="F257" s="1">
        <v>864.8</v>
      </c>
      <c r="G257" s="23">
        <v>0.641</v>
      </c>
      <c r="H257" s="23">
        <v>0.708</v>
      </c>
      <c r="I257" s="1">
        <v>350.5</v>
      </c>
      <c r="J257" s="1">
        <v>647.0</v>
      </c>
      <c r="K257" s="1">
        <v>30905.0</v>
      </c>
      <c r="L257" s="1">
        <v>100.0</v>
      </c>
      <c r="M257" s="26">
        <v>14.87</v>
      </c>
      <c r="O257" s="23">
        <f t="shared" si="8"/>
        <v>0.708</v>
      </c>
    </row>
    <row r="258">
      <c r="A258" s="1">
        <v>500.0</v>
      </c>
      <c r="B258" s="1">
        <v>22607.0</v>
      </c>
      <c r="C258" s="23">
        <v>17.294</v>
      </c>
      <c r="D258" s="23">
        <v>17.343</v>
      </c>
      <c r="E258" s="23">
        <v>0.957</v>
      </c>
      <c r="F258" s="1">
        <v>864.8</v>
      </c>
      <c r="G258" s="23">
        <v>0.641</v>
      </c>
      <c r="H258" s="23">
        <v>0.708</v>
      </c>
      <c r="I258" s="1">
        <v>350.5</v>
      </c>
      <c r="J258" s="1">
        <v>647.0</v>
      </c>
      <c r="K258" s="1">
        <v>33428.0</v>
      </c>
      <c r="L258" s="1">
        <v>100.0</v>
      </c>
      <c r="M258" s="23">
        <v>14.836</v>
      </c>
      <c r="O258" s="23">
        <f t="shared" si="8"/>
        <v>0.708</v>
      </c>
    </row>
    <row r="259">
      <c r="A259" s="1">
        <v>502.0</v>
      </c>
      <c r="B259" s="1">
        <v>22607.0</v>
      </c>
      <c r="C259" s="23">
        <v>16.93</v>
      </c>
      <c r="D259" s="23">
        <v>17.019</v>
      </c>
      <c r="E259" s="23">
        <v>0.957</v>
      </c>
      <c r="F259" s="1">
        <v>864.8</v>
      </c>
      <c r="G259" s="23">
        <v>0.641</v>
      </c>
      <c r="H259" s="23">
        <v>0.708</v>
      </c>
      <c r="I259" s="1">
        <v>350.5</v>
      </c>
      <c r="J259" s="1">
        <v>647.0</v>
      </c>
      <c r="K259" s="1">
        <v>33428.0</v>
      </c>
      <c r="L259" s="1">
        <v>100.0</v>
      </c>
      <c r="M259" s="23">
        <v>14.836</v>
      </c>
      <c r="O259" s="23">
        <f t="shared" si="8"/>
        <v>0.708</v>
      </c>
    </row>
    <row r="260">
      <c r="A260" s="1">
        <v>504.0</v>
      </c>
      <c r="B260" s="1">
        <v>22607.0</v>
      </c>
      <c r="C260" s="23">
        <v>16.928</v>
      </c>
      <c r="D260" s="23">
        <v>16.999</v>
      </c>
      <c r="E260" s="23">
        <v>1.377</v>
      </c>
      <c r="F260" s="1">
        <v>864.8</v>
      </c>
      <c r="G260" s="23">
        <v>0.641</v>
      </c>
      <c r="H260" s="23">
        <v>0.698</v>
      </c>
      <c r="I260" s="1">
        <v>350.5</v>
      </c>
      <c r="J260" s="1">
        <v>647.0</v>
      </c>
      <c r="K260" s="1">
        <v>33428.0</v>
      </c>
      <c r="L260" s="1">
        <v>100.0</v>
      </c>
      <c r="M260" s="23">
        <v>14.744</v>
      </c>
      <c r="O260" s="23">
        <f t="shared" si="8"/>
        <v>0.698</v>
      </c>
    </row>
    <row r="261">
      <c r="A261" s="1">
        <v>506.0</v>
      </c>
      <c r="B261" s="1">
        <v>22149.0</v>
      </c>
      <c r="C261" s="23">
        <v>15.962</v>
      </c>
      <c r="D261" s="23">
        <v>17.345</v>
      </c>
      <c r="E261" s="23">
        <v>1.127</v>
      </c>
      <c r="F261" s="1">
        <v>864.8</v>
      </c>
      <c r="G261" s="23">
        <v>0.641</v>
      </c>
      <c r="H261" s="23">
        <v>0.698</v>
      </c>
      <c r="I261" s="1">
        <v>350.5</v>
      </c>
      <c r="J261" s="1">
        <v>647.0</v>
      </c>
      <c r="K261" s="1">
        <v>33428.0</v>
      </c>
      <c r="L261" s="1">
        <v>100.0</v>
      </c>
      <c r="M261" s="23">
        <v>14.744</v>
      </c>
      <c r="O261" s="23">
        <f t="shared" si="8"/>
        <v>0.698</v>
      </c>
    </row>
    <row r="262">
      <c r="A262" s="1">
        <v>508.0</v>
      </c>
      <c r="B262" s="1">
        <v>19641.0</v>
      </c>
      <c r="C262" s="23">
        <v>14.911</v>
      </c>
      <c r="D262" s="23">
        <v>17.204</v>
      </c>
      <c r="E262" s="23">
        <v>1.127</v>
      </c>
      <c r="F262" s="1">
        <v>864.8</v>
      </c>
      <c r="G262" s="23">
        <v>0.641</v>
      </c>
      <c r="H262" s="23">
        <v>0.698</v>
      </c>
      <c r="I262" s="1">
        <v>350.5</v>
      </c>
      <c r="J262" s="1">
        <v>647.0</v>
      </c>
      <c r="K262" s="1">
        <v>29644.0</v>
      </c>
      <c r="L262" s="1">
        <v>100.0</v>
      </c>
      <c r="M262" s="23">
        <v>14.744</v>
      </c>
      <c r="O262" s="23">
        <f t="shared" si="8"/>
        <v>0.698</v>
      </c>
    </row>
    <row r="263">
      <c r="A263" s="1">
        <v>510.0</v>
      </c>
      <c r="B263" s="1">
        <v>20047.0</v>
      </c>
      <c r="C263" s="23">
        <v>15.199</v>
      </c>
      <c r="D263" s="23">
        <v>17.118</v>
      </c>
      <c r="E263" s="23">
        <v>1.127</v>
      </c>
      <c r="F263" s="1">
        <v>864.8</v>
      </c>
      <c r="G263" s="23">
        <v>0.615</v>
      </c>
      <c r="H263" s="23">
        <v>0.698</v>
      </c>
      <c r="I263" s="1">
        <v>350.5</v>
      </c>
      <c r="J263" s="1">
        <v>565.0</v>
      </c>
      <c r="K263" s="1">
        <v>29644.0</v>
      </c>
      <c r="L263" s="1">
        <v>100.0</v>
      </c>
      <c r="M263" s="23">
        <v>14.743</v>
      </c>
      <c r="O263" s="23">
        <f t="shared" si="8"/>
        <v>0.698</v>
      </c>
    </row>
    <row r="264">
      <c r="A264" s="1">
        <v>512.0</v>
      </c>
      <c r="B264" s="1">
        <v>20047.0</v>
      </c>
      <c r="C264" s="23">
        <v>14.858</v>
      </c>
      <c r="D264" s="23">
        <v>16.794</v>
      </c>
      <c r="E264" s="23">
        <v>1.127</v>
      </c>
      <c r="F264" s="1">
        <v>864.8</v>
      </c>
      <c r="G264" s="23">
        <v>0.615</v>
      </c>
      <c r="H264" s="23">
        <v>0.698</v>
      </c>
      <c r="I264" s="1">
        <v>350.5</v>
      </c>
      <c r="J264" s="1">
        <v>565.0</v>
      </c>
      <c r="K264" s="1">
        <v>29644.0</v>
      </c>
      <c r="L264" s="1">
        <v>100.0</v>
      </c>
      <c r="M264" s="23">
        <v>14.743</v>
      </c>
      <c r="O264" s="23">
        <f t="shared" si="8"/>
        <v>0.698</v>
      </c>
    </row>
    <row r="265">
      <c r="A265" s="1">
        <v>514.0</v>
      </c>
      <c r="B265" s="1">
        <v>18341.0</v>
      </c>
      <c r="C265" s="23">
        <v>15.259</v>
      </c>
      <c r="D265" s="23">
        <v>17.153</v>
      </c>
      <c r="E265" s="23">
        <v>1.555</v>
      </c>
      <c r="F265" s="1">
        <v>864.8</v>
      </c>
      <c r="G265" s="23">
        <v>0.615</v>
      </c>
      <c r="H265" s="23">
        <v>0.708</v>
      </c>
      <c r="I265" s="1">
        <v>350.5</v>
      </c>
      <c r="J265" s="1">
        <v>565.0</v>
      </c>
      <c r="K265" s="1">
        <v>27121.0</v>
      </c>
      <c r="L265" s="1">
        <v>100.0</v>
      </c>
      <c r="M265" s="23">
        <v>14.755</v>
      </c>
      <c r="O265" s="23">
        <f t="shared" si="8"/>
        <v>0.708</v>
      </c>
    </row>
    <row r="266">
      <c r="A266" s="1">
        <v>516.0</v>
      </c>
      <c r="B266" s="1">
        <v>18341.0</v>
      </c>
      <c r="C266" s="26">
        <v>15.1</v>
      </c>
      <c r="D266" s="23">
        <v>17.001</v>
      </c>
      <c r="E266" s="23">
        <v>1.555</v>
      </c>
      <c r="F266" s="1">
        <v>864.8</v>
      </c>
      <c r="G266" s="23">
        <v>0.615</v>
      </c>
      <c r="H266" s="23">
        <v>0.708</v>
      </c>
      <c r="I266" s="1">
        <v>350.5</v>
      </c>
      <c r="J266" s="1">
        <v>565.0</v>
      </c>
      <c r="K266" s="1">
        <v>27121.0</v>
      </c>
      <c r="L266" s="1">
        <v>100.0</v>
      </c>
      <c r="M266" s="23">
        <v>14.755</v>
      </c>
      <c r="O266" s="23">
        <f t="shared" si="8"/>
        <v>0.708</v>
      </c>
    </row>
    <row r="267">
      <c r="A267" s="1">
        <v>518.0</v>
      </c>
      <c r="B267" s="1">
        <v>18341.0</v>
      </c>
      <c r="C267" s="26">
        <v>15.491</v>
      </c>
      <c r="D267" s="23">
        <v>17.382</v>
      </c>
      <c r="E267" s="23">
        <v>1.098</v>
      </c>
      <c r="F267" s="1">
        <v>849.8</v>
      </c>
      <c r="G267" s="23">
        <v>0.615</v>
      </c>
      <c r="H267" s="23">
        <v>0.708</v>
      </c>
      <c r="I267" s="1">
        <v>350.5</v>
      </c>
      <c r="J267" s="1">
        <v>565.0</v>
      </c>
      <c r="K267" s="1">
        <v>27121.0</v>
      </c>
      <c r="L267" s="1">
        <v>100.0</v>
      </c>
      <c r="M267" s="23">
        <v>14.767</v>
      </c>
      <c r="O267" s="23">
        <f t="shared" si="8"/>
        <v>0.708</v>
      </c>
    </row>
    <row r="268">
      <c r="A268" s="1">
        <v>520.0</v>
      </c>
      <c r="B268" s="1">
        <v>18341.0</v>
      </c>
      <c r="C268" s="26">
        <v>15.424</v>
      </c>
      <c r="D268" s="23">
        <v>16.518</v>
      </c>
      <c r="E268" s="23">
        <v>1.098</v>
      </c>
      <c r="F268" s="1">
        <v>864.8</v>
      </c>
      <c r="G268" s="23">
        <v>0.615</v>
      </c>
      <c r="H268" s="23">
        <v>0.708</v>
      </c>
      <c r="I268" s="1">
        <v>350.5</v>
      </c>
      <c r="J268" s="1">
        <v>565.0</v>
      </c>
      <c r="K268" s="1">
        <v>27121.0</v>
      </c>
      <c r="L268" s="1">
        <v>99.0</v>
      </c>
      <c r="M268" s="23">
        <v>14.767</v>
      </c>
      <c r="O268" s="23">
        <f t="shared" si="8"/>
        <v>0.708</v>
      </c>
    </row>
    <row r="269">
      <c r="A269" s="1">
        <v>522.0</v>
      </c>
      <c r="B269" s="1">
        <v>18341.0</v>
      </c>
      <c r="C269" s="26">
        <v>15.457</v>
      </c>
      <c r="D269" s="23">
        <v>21.092</v>
      </c>
      <c r="E269" s="23">
        <v>1.098</v>
      </c>
      <c r="F269" s="1">
        <v>864.8</v>
      </c>
      <c r="G269" s="23">
        <v>0.615</v>
      </c>
      <c r="H269" s="23">
        <v>1.708</v>
      </c>
      <c r="I269" s="1">
        <v>350.5</v>
      </c>
      <c r="J269" s="1">
        <v>565.0</v>
      </c>
      <c r="K269" s="1">
        <v>27121.0</v>
      </c>
      <c r="L269" s="1">
        <v>100.0</v>
      </c>
      <c r="M269" s="23">
        <v>14.715</v>
      </c>
      <c r="O269" s="23">
        <f t="shared" si="8"/>
        <v>1</v>
      </c>
    </row>
    <row r="270">
      <c r="A270" s="1">
        <v>524.0</v>
      </c>
      <c r="B270" s="1">
        <v>18341.0</v>
      </c>
      <c r="C270" s="23">
        <v>15.491</v>
      </c>
      <c r="D270" s="23">
        <v>21.092</v>
      </c>
      <c r="E270" s="23">
        <v>1.555</v>
      </c>
      <c r="F270" s="1">
        <v>864.8</v>
      </c>
      <c r="G270" s="23">
        <v>0.615</v>
      </c>
      <c r="H270" s="23">
        <v>1.708</v>
      </c>
      <c r="I270" s="1">
        <v>350.5</v>
      </c>
      <c r="J270" s="1">
        <v>565.0</v>
      </c>
      <c r="K270" s="1">
        <v>27121.0</v>
      </c>
      <c r="L270" s="1">
        <v>100.0</v>
      </c>
      <c r="M270" s="23">
        <v>14.715</v>
      </c>
      <c r="O270" s="23">
        <f t="shared" si="8"/>
        <v>1</v>
      </c>
    </row>
    <row r="271">
      <c r="A271" s="1">
        <v>526.0</v>
      </c>
      <c r="B271" s="1">
        <v>18341.0</v>
      </c>
      <c r="C271" s="23">
        <v>15.735</v>
      </c>
      <c r="D271" s="23">
        <v>21.379</v>
      </c>
      <c r="E271" s="23">
        <v>1.555</v>
      </c>
      <c r="F271" s="1">
        <v>864.8</v>
      </c>
      <c r="G271" s="23">
        <v>0.641</v>
      </c>
      <c r="H271" s="23">
        <v>0.708</v>
      </c>
      <c r="I271" s="1">
        <v>350.5</v>
      </c>
      <c r="J271" s="1">
        <v>647.0</v>
      </c>
      <c r="K271" s="1">
        <v>27121.0</v>
      </c>
      <c r="L271" s="1">
        <v>99.0</v>
      </c>
      <c r="M271" s="23">
        <v>14.756</v>
      </c>
      <c r="O271" s="23">
        <f t="shared" si="8"/>
        <v>0.708</v>
      </c>
    </row>
    <row r="272">
      <c r="A272" s="1">
        <v>528.0</v>
      </c>
      <c r="B272" s="1">
        <v>18341.0</v>
      </c>
      <c r="C272" s="23">
        <v>16.319</v>
      </c>
      <c r="D272" s="23">
        <v>22.069</v>
      </c>
      <c r="E272" s="23">
        <v>1.555</v>
      </c>
      <c r="F272" s="1">
        <v>864.8</v>
      </c>
      <c r="G272" s="23">
        <v>0.641</v>
      </c>
      <c r="H272" s="23">
        <v>0.708</v>
      </c>
      <c r="I272" s="1">
        <v>350.5</v>
      </c>
      <c r="J272" s="1">
        <v>647.0</v>
      </c>
      <c r="K272" s="1">
        <v>27121.0</v>
      </c>
      <c r="L272" s="1">
        <v>100.0</v>
      </c>
      <c r="M272" s="23">
        <v>14.756</v>
      </c>
      <c r="O272" s="23">
        <f t="shared" si="8"/>
        <v>0.708</v>
      </c>
    </row>
    <row r="273">
      <c r="A273" s="1">
        <v>530.0</v>
      </c>
      <c r="B273" s="1">
        <v>20047.0</v>
      </c>
      <c r="C273" s="23">
        <v>16.383</v>
      </c>
      <c r="D273" s="23">
        <v>20.888</v>
      </c>
      <c r="E273" s="23">
        <v>1.555</v>
      </c>
      <c r="F273" s="1">
        <v>864.8</v>
      </c>
      <c r="G273" s="23">
        <v>0.641</v>
      </c>
      <c r="H273" s="23">
        <v>0.708</v>
      </c>
      <c r="I273" s="1">
        <v>350.5</v>
      </c>
      <c r="J273" s="1">
        <v>647.0</v>
      </c>
      <c r="K273" s="1">
        <v>29644.0</v>
      </c>
      <c r="L273" s="1">
        <v>100.0</v>
      </c>
      <c r="M273" s="23">
        <v>14.727</v>
      </c>
      <c r="O273" s="23">
        <f t="shared" si="8"/>
        <v>0.708</v>
      </c>
    </row>
    <row r="274">
      <c r="A274" s="1">
        <v>532.0</v>
      </c>
      <c r="B274" s="1">
        <v>20047.0</v>
      </c>
      <c r="C274" s="23">
        <v>16.383</v>
      </c>
      <c r="D274" s="23">
        <v>17.104</v>
      </c>
      <c r="E274" s="23">
        <v>1.555</v>
      </c>
      <c r="F274" s="1">
        <v>849.8</v>
      </c>
      <c r="G274" s="23">
        <v>0.641</v>
      </c>
      <c r="H274" s="23">
        <v>0.498</v>
      </c>
      <c r="I274" s="1">
        <v>350.5</v>
      </c>
      <c r="J274" s="1">
        <v>647.0</v>
      </c>
      <c r="K274" s="1">
        <v>29644.0</v>
      </c>
      <c r="L274" s="1">
        <v>100.0</v>
      </c>
      <c r="M274" s="23">
        <v>14.727</v>
      </c>
      <c r="O274" s="23">
        <f t="shared" si="8"/>
        <v>0.498</v>
      </c>
    </row>
    <row r="275">
      <c r="A275" s="1">
        <v>534.0</v>
      </c>
      <c r="B275" s="1">
        <v>20047.0</v>
      </c>
      <c r="C275" s="23">
        <v>16.394</v>
      </c>
      <c r="D275" s="23">
        <v>17.097</v>
      </c>
      <c r="E275" s="23">
        <v>1.247</v>
      </c>
      <c r="F275" s="1">
        <v>849.8</v>
      </c>
      <c r="G275" s="23">
        <v>0.641</v>
      </c>
      <c r="H275" s="23">
        <v>0.498</v>
      </c>
      <c r="I275" s="1">
        <v>350.5</v>
      </c>
      <c r="J275" s="1">
        <v>647.0</v>
      </c>
      <c r="K275" s="1">
        <v>29644.0</v>
      </c>
      <c r="L275" s="1">
        <v>100.0</v>
      </c>
      <c r="M275" s="23">
        <v>14.694</v>
      </c>
      <c r="O275" s="23">
        <f t="shared" si="8"/>
        <v>0.498</v>
      </c>
    </row>
    <row r="276">
      <c r="A276" s="1">
        <v>536.0</v>
      </c>
      <c r="B276" s="1">
        <v>20047.0</v>
      </c>
      <c r="C276" s="23">
        <v>16.041</v>
      </c>
      <c r="D276" s="23">
        <v>16.758</v>
      </c>
      <c r="E276" s="23">
        <v>1.247</v>
      </c>
      <c r="F276" s="1">
        <v>849.8</v>
      </c>
      <c r="G276" s="23">
        <v>0.641</v>
      </c>
      <c r="H276" s="23">
        <v>0.498</v>
      </c>
      <c r="I276" s="1">
        <v>350.5</v>
      </c>
      <c r="J276" s="1">
        <v>647.0</v>
      </c>
      <c r="K276" s="1">
        <v>29644.0</v>
      </c>
      <c r="L276" s="1">
        <v>100.0</v>
      </c>
      <c r="M276" s="23">
        <v>14.694</v>
      </c>
      <c r="O276" s="23">
        <f t="shared" si="8"/>
        <v>0.498</v>
      </c>
    </row>
    <row r="277">
      <c r="A277" s="1">
        <v>538.0</v>
      </c>
      <c r="B277" s="1">
        <v>20047.0</v>
      </c>
      <c r="C277" s="23">
        <v>15.849</v>
      </c>
      <c r="D277" s="23">
        <v>16.758</v>
      </c>
      <c r="E277" s="23">
        <v>1.247</v>
      </c>
      <c r="F277" s="1">
        <v>849.8</v>
      </c>
      <c r="G277" s="23">
        <v>0.641</v>
      </c>
      <c r="H277" s="23">
        <v>0.498</v>
      </c>
      <c r="I277" s="1">
        <v>350.5</v>
      </c>
      <c r="J277" s="1">
        <v>647.0</v>
      </c>
      <c r="K277" s="1">
        <v>29644.0</v>
      </c>
      <c r="L277" s="1">
        <v>100.0</v>
      </c>
      <c r="M277" s="23">
        <v>14.694</v>
      </c>
      <c r="O277" s="23">
        <f t="shared" si="8"/>
        <v>0.498</v>
      </c>
    </row>
    <row r="278">
      <c r="A278" s="1">
        <v>540.0</v>
      </c>
      <c r="B278" s="1">
        <v>20047.0</v>
      </c>
      <c r="C278" s="23">
        <v>15.996</v>
      </c>
      <c r="D278" s="23">
        <v>16.753</v>
      </c>
      <c r="E278" s="23">
        <v>1.247</v>
      </c>
      <c r="F278" s="1">
        <v>849.8</v>
      </c>
      <c r="G278" s="23">
        <v>0.641</v>
      </c>
      <c r="H278" s="23">
        <v>0.498</v>
      </c>
      <c r="I278" s="1">
        <v>350.5</v>
      </c>
      <c r="J278" s="1">
        <v>647.0</v>
      </c>
      <c r="K278" s="1">
        <v>29644.0</v>
      </c>
      <c r="L278" s="1">
        <v>99.0</v>
      </c>
      <c r="M278" s="23">
        <v>14.677</v>
      </c>
      <c r="O278" s="23">
        <f t="shared" si="8"/>
        <v>0.498</v>
      </c>
    </row>
    <row r="279">
      <c r="A279" s="1" t="s">
        <v>516</v>
      </c>
      <c r="B279" s="1"/>
      <c r="C279" s="23"/>
      <c r="D279" s="26"/>
      <c r="E279" s="23"/>
      <c r="F279" s="1"/>
      <c r="G279" s="23"/>
      <c r="H279" s="23"/>
      <c r="I279" s="1"/>
      <c r="J279" s="1"/>
      <c r="K279" s="1"/>
      <c r="O279" s="23" t="str">
        <f t="shared" si="8"/>
        <v/>
      </c>
    </row>
    <row r="280">
      <c r="A280" s="1">
        <v>542.0</v>
      </c>
      <c r="B280" s="1">
        <v>20047.0</v>
      </c>
      <c r="C280" s="23">
        <v>15.124</v>
      </c>
      <c r="D280" s="23">
        <v>15.962</v>
      </c>
      <c r="E280" s="26">
        <v>1.247</v>
      </c>
      <c r="F280" s="1">
        <v>849.8</v>
      </c>
      <c r="G280" s="23">
        <v>0.641</v>
      </c>
      <c r="H280" s="23">
        <v>0.49</v>
      </c>
      <c r="I280" s="1">
        <v>350.5</v>
      </c>
      <c r="J280" s="1">
        <v>647.0</v>
      </c>
      <c r="K280" s="1">
        <v>29644.0</v>
      </c>
      <c r="L280" s="1">
        <v>100.0</v>
      </c>
      <c r="M280" s="23">
        <v>14.677</v>
      </c>
      <c r="O280" s="23">
        <f t="shared" si="8"/>
        <v>0.49</v>
      </c>
    </row>
    <row r="281">
      <c r="A281" s="1">
        <v>544.0</v>
      </c>
      <c r="B281" s="1">
        <v>18341.0</v>
      </c>
      <c r="C281" s="23">
        <v>14.942</v>
      </c>
      <c r="D281" s="23">
        <v>15.795</v>
      </c>
      <c r="E281" s="26">
        <v>1.247</v>
      </c>
      <c r="F281" s="1">
        <v>849.8</v>
      </c>
      <c r="G281" s="23">
        <v>0.615</v>
      </c>
      <c r="H281" s="23">
        <v>0.498</v>
      </c>
      <c r="I281" s="1">
        <v>350.5</v>
      </c>
      <c r="J281" s="1">
        <v>565.0</v>
      </c>
      <c r="K281" s="1">
        <v>27121.0</v>
      </c>
      <c r="L281" s="1">
        <v>100.0</v>
      </c>
      <c r="M281" s="23">
        <v>14.635</v>
      </c>
      <c r="O281" s="23">
        <f t="shared" si="8"/>
        <v>0.498</v>
      </c>
    </row>
    <row r="282">
      <c r="A282" s="1">
        <v>546.0</v>
      </c>
      <c r="B282" s="1">
        <v>18341.0</v>
      </c>
      <c r="C282" s="23">
        <v>14.919</v>
      </c>
      <c r="D282" s="23">
        <v>15.795</v>
      </c>
      <c r="E282" s="23">
        <v>1.247</v>
      </c>
      <c r="F282" s="1">
        <v>864.8</v>
      </c>
      <c r="G282" s="23">
        <v>0.615</v>
      </c>
      <c r="H282" s="23">
        <v>0.498</v>
      </c>
      <c r="I282" s="1">
        <v>350.5</v>
      </c>
      <c r="J282" s="1">
        <v>565.0</v>
      </c>
      <c r="K282" s="1">
        <v>27121.0</v>
      </c>
      <c r="L282" s="1">
        <v>100.0</v>
      </c>
      <c r="M282" s="23">
        <v>14.635</v>
      </c>
      <c r="O282" s="23">
        <f t="shared" si="8"/>
        <v>0.498</v>
      </c>
    </row>
    <row r="283">
      <c r="A283" s="1">
        <v>548.0</v>
      </c>
      <c r="B283" s="1">
        <v>18341.0</v>
      </c>
      <c r="C283" s="23">
        <v>14.908</v>
      </c>
      <c r="D283" s="23">
        <v>15.793</v>
      </c>
      <c r="E283" s="23">
        <v>1.247</v>
      </c>
      <c r="F283" s="1">
        <v>864.8</v>
      </c>
      <c r="G283" s="23">
        <v>0.615</v>
      </c>
      <c r="H283" s="23">
        <v>0.498</v>
      </c>
      <c r="I283" s="1">
        <v>350.5</v>
      </c>
      <c r="J283" s="1">
        <v>565.0</v>
      </c>
      <c r="K283" s="1">
        <v>27121.0</v>
      </c>
      <c r="L283" s="1">
        <v>100.0</v>
      </c>
      <c r="M283" s="23">
        <v>14.625</v>
      </c>
      <c r="O283" s="23">
        <f t="shared" si="8"/>
        <v>0.498</v>
      </c>
    </row>
    <row r="284">
      <c r="A284" s="1">
        <v>550.0</v>
      </c>
      <c r="B284" s="1">
        <v>18341.0</v>
      </c>
      <c r="C284" s="23">
        <v>14.896</v>
      </c>
      <c r="D284" s="23">
        <v>15.793</v>
      </c>
      <c r="E284" s="26">
        <v>1.127</v>
      </c>
      <c r="F284" s="1">
        <v>864.8</v>
      </c>
      <c r="G284" s="23">
        <v>0.615</v>
      </c>
      <c r="H284" s="23">
        <v>0.498</v>
      </c>
      <c r="I284" s="1">
        <v>350.5</v>
      </c>
      <c r="J284" s="1">
        <v>565.0</v>
      </c>
      <c r="K284" s="1">
        <v>27121.0</v>
      </c>
      <c r="L284" s="1">
        <v>100.0</v>
      </c>
      <c r="M284" s="23">
        <v>14.625</v>
      </c>
      <c r="O284" s="23">
        <f t="shared" si="8"/>
        <v>0.498</v>
      </c>
    </row>
    <row r="285">
      <c r="A285" s="1">
        <v>552.0</v>
      </c>
      <c r="B285" s="1">
        <v>18341.0</v>
      </c>
      <c r="C285" s="23">
        <v>14.874</v>
      </c>
      <c r="D285" s="23">
        <v>15.792</v>
      </c>
      <c r="E285" s="26">
        <v>0.807</v>
      </c>
      <c r="F285" s="1">
        <v>864.8</v>
      </c>
      <c r="G285" s="23">
        <v>0.615</v>
      </c>
      <c r="H285" s="23">
        <v>0.498</v>
      </c>
      <c r="I285" s="1">
        <v>350.5</v>
      </c>
      <c r="J285" s="1">
        <v>565.0</v>
      </c>
      <c r="K285" s="1">
        <v>27121.0</v>
      </c>
      <c r="L285" s="1">
        <v>100.0</v>
      </c>
      <c r="M285" s="23">
        <v>14.619</v>
      </c>
      <c r="O285" s="23">
        <f t="shared" si="8"/>
        <v>0.498</v>
      </c>
    </row>
    <row r="286">
      <c r="A286" s="1">
        <v>554.0</v>
      </c>
      <c r="B286" s="1">
        <v>17970.0</v>
      </c>
      <c r="C286" s="23">
        <v>14.862</v>
      </c>
      <c r="D286" s="23">
        <v>15.792</v>
      </c>
      <c r="E286" s="26">
        <v>1.227</v>
      </c>
      <c r="F286" s="1">
        <v>864.8</v>
      </c>
      <c r="G286" s="23">
        <v>0.609</v>
      </c>
      <c r="H286" s="23">
        <v>0.49</v>
      </c>
      <c r="I286" s="1">
        <v>350.5</v>
      </c>
      <c r="J286" s="1">
        <v>545.2</v>
      </c>
      <c r="K286" s="1">
        <v>27121.0</v>
      </c>
      <c r="L286" s="1">
        <v>100.0</v>
      </c>
      <c r="M286" s="23">
        <v>14.619</v>
      </c>
      <c r="O286" s="23">
        <f t="shared" si="8"/>
        <v>0.49</v>
      </c>
    </row>
    <row r="287">
      <c r="A287" s="1">
        <v>557.0</v>
      </c>
      <c r="B287" s="1">
        <v>17970.0</v>
      </c>
      <c r="C287" s="23">
        <v>14.827</v>
      </c>
      <c r="D287" s="23">
        <v>15.769</v>
      </c>
      <c r="E287" s="23">
        <v>1.227</v>
      </c>
      <c r="F287" s="1">
        <v>864.8</v>
      </c>
      <c r="G287" s="23">
        <v>0.615</v>
      </c>
      <c r="H287" s="23">
        <v>0.48</v>
      </c>
      <c r="I287" s="1">
        <v>350.5</v>
      </c>
      <c r="J287" s="1">
        <v>565.0</v>
      </c>
      <c r="K287" s="1">
        <v>27121.0</v>
      </c>
      <c r="L287" s="1">
        <v>100.0</v>
      </c>
      <c r="M287" s="23">
        <v>14.668</v>
      </c>
      <c r="O287" s="23">
        <f t="shared" si="8"/>
        <v>0.48</v>
      </c>
    </row>
    <row r="288">
      <c r="A288" s="1">
        <v>559.0</v>
      </c>
      <c r="B288" s="1">
        <v>18341.0</v>
      </c>
      <c r="C288" s="23">
        <v>14.863</v>
      </c>
      <c r="D288" s="23">
        <v>15.803</v>
      </c>
      <c r="E288" s="23">
        <v>1.477</v>
      </c>
      <c r="F288" s="1">
        <v>849.8</v>
      </c>
      <c r="G288" s="23">
        <v>0.641</v>
      </c>
      <c r="H288" s="23">
        <v>0.48</v>
      </c>
      <c r="I288" s="1">
        <v>350.5</v>
      </c>
      <c r="J288" s="1">
        <v>647.0</v>
      </c>
      <c r="K288" s="1">
        <v>27121.0</v>
      </c>
      <c r="L288" s="1">
        <v>100.0</v>
      </c>
      <c r="M288" s="23">
        <v>14.668</v>
      </c>
      <c r="O288" s="23">
        <f t="shared" si="8"/>
        <v>0.48</v>
      </c>
    </row>
    <row r="289">
      <c r="A289" s="1">
        <v>561.0</v>
      </c>
      <c r="B289" s="1">
        <v>18341.0</v>
      </c>
      <c r="C289" s="23">
        <v>14.499</v>
      </c>
      <c r="D289" s="23">
        <v>15.462</v>
      </c>
      <c r="E289" s="26">
        <v>1.477</v>
      </c>
      <c r="F289" s="1">
        <v>849.8</v>
      </c>
      <c r="G289" s="23">
        <v>0.641</v>
      </c>
      <c r="H289" s="23">
        <v>0.522</v>
      </c>
      <c r="I289" s="1">
        <v>350.5</v>
      </c>
      <c r="J289" s="1">
        <v>647.0</v>
      </c>
      <c r="K289" s="1">
        <v>27121.0</v>
      </c>
      <c r="L289" s="1">
        <v>100.0</v>
      </c>
      <c r="M289" s="26">
        <v>14.66</v>
      </c>
      <c r="O289" s="23">
        <f t="shared" si="8"/>
        <v>0.522</v>
      </c>
    </row>
    <row r="290">
      <c r="A290" s="1">
        <v>563.0</v>
      </c>
      <c r="B290" s="1">
        <v>20047.0</v>
      </c>
      <c r="C290" s="23">
        <v>16.489</v>
      </c>
      <c r="D290" s="23">
        <v>16.549</v>
      </c>
      <c r="E290" s="26">
        <v>1.477</v>
      </c>
      <c r="F290" s="1">
        <v>849.8</v>
      </c>
      <c r="G290" s="23">
        <v>0.641</v>
      </c>
      <c r="H290" s="23">
        <v>0.53</v>
      </c>
      <c r="I290" s="1">
        <v>350.5</v>
      </c>
      <c r="J290" s="1">
        <v>647.0</v>
      </c>
      <c r="K290" s="1">
        <v>29644.0</v>
      </c>
      <c r="L290" s="1">
        <v>100.0</v>
      </c>
      <c r="M290" s="26">
        <v>14.66</v>
      </c>
      <c r="O290" s="23">
        <f t="shared" si="8"/>
        <v>0.53</v>
      </c>
    </row>
    <row r="291">
      <c r="A291" s="1">
        <v>565.0</v>
      </c>
      <c r="B291" s="1">
        <v>25166.0</v>
      </c>
      <c r="C291" s="23">
        <v>16.176</v>
      </c>
      <c r="D291" s="23">
        <v>16.884</v>
      </c>
      <c r="E291" s="26">
        <v>1.477</v>
      </c>
      <c r="F291" s="1">
        <v>810.5</v>
      </c>
      <c r="G291" s="23">
        <v>0.628</v>
      </c>
      <c r="H291" s="23">
        <v>0.53</v>
      </c>
      <c r="I291" s="1">
        <v>350.5</v>
      </c>
      <c r="J291" s="1">
        <v>607.7</v>
      </c>
      <c r="K291" s="1">
        <v>37212.0</v>
      </c>
      <c r="L291" s="1">
        <v>100.0</v>
      </c>
      <c r="M291" s="26">
        <v>14.66</v>
      </c>
      <c r="O291" s="23">
        <f t="shared" si="8"/>
        <v>0.53</v>
      </c>
    </row>
    <row r="292">
      <c r="A292" s="1">
        <v>567.0</v>
      </c>
      <c r="B292" s="1">
        <v>22607.0</v>
      </c>
      <c r="C292" s="23">
        <v>15.934</v>
      </c>
      <c r="D292" s="23">
        <v>16.686</v>
      </c>
      <c r="E292" s="26">
        <v>1.477</v>
      </c>
      <c r="F292" s="1">
        <v>810.5</v>
      </c>
      <c r="G292" s="23">
        <v>0.628</v>
      </c>
      <c r="H292" s="23">
        <v>0.572</v>
      </c>
      <c r="I292" s="1">
        <v>350.5</v>
      </c>
      <c r="J292" s="1">
        <v>607.7</v>
      </c>
      <c r="K292" s="1">
        <v>33428.0</v>
      </c>
      <c r="L292" s="1">
        <v>100.0</v>
      </c>
      <c r="M292" s="23">
        <v>14.796</v>
      </c>
      <c r="O292" s="23">
        <f t="shared" si="8"/>
        <v>0.572</v>
      </c>
    </row>
    <row r="293">
      <c r="A293" s="1">
        <v>569.0</v>
      </c>
      <c r="B293" s="1">
        <v>22607.0</v>
      </c>
      <c r="C293" s="26">
        <v>15.934</v>
      </c>
      <c r="D293" s="23">
        <v>16.686</v>
      </c>
      <c r="E293" s="26">
        <v>1.477</v>
      </c>
      <c r="F293" s="1">
        <v>810.5</v>
      </c>
      <c r="G293" s="23">
        <v>0.628</v>
      </c>
      <c r="H293" s="23">
        <v>0.572</v>
      </c>
      <c r="I293" s="1">
        <v>350.5</v>
      </c>
      <c r="J293" s="1">
        <v>607.7</v>
      </c>
      <c r="K293" s="1">
        <v>33428.0</v>
      </c>
      <c r="L293" s="1">
        <v>100.0</v>
      </c>
      <c r="M293" s="23">
        <v>14.796</v>
      </c>
      <c r="O293" s="23">
        <f t="shared" si="8"/>
        <v>0.572</v>
      </c>
    </row>
    <row r="294">
      <c r="A294" s="1">
        <v>571.0</v>
      </c>
      <c r="B294" s="1">
        <v>22607.0</v>
      </c>
      <c r="C294" s="26">
        <v>17.077</v>
      </c>
      <c r="D294" s="23">
        <v>17.871</v>
      </c>
      <c r="E294" s="26">
        <v>1.477</v>
      </c>
      <c r="F294" s="1">
        <v>849.8</v>
      </c>
      <c r="G294" s="23">
        <v>0.641</v>
      </c>
      <c r="H294" s="23">
        <v>0.572</v>
      </c>
      <c r="I294" s="1">
        <v>350.5</v>
      </c>
      <c r="J294" s="1">
        <v>647.0</v>
      </c>
      <c r="K294" s="1">
        <v>33428.0</v>
      </c>
      <c r="L294" s="1">
        <v>100.0</v>
      </c>
      <c r="M294" s="23">
        <v>14.782</v>
      </c>
      <c r="O294" s="23">
        <f t="shared" si="8"/>
        <v>0.572</v>
      </c>
    </row>
    <row r="295">
      <c r="A295" s="1">
        <v>573.0</v>
      </c>
      <c r="B295" s="1">
        <v>22607.0</v>
      </c>
      <c r="C295" s="23">
        <v>17.452</v>
      </c>
      <c r="D295" s="23">
        <v>18.195</v>
      </c>
      <c r="E295" s="26">
        <v>1.377</v>
      </c>
      <c r="F295" s="1">
        <v>849.8</v>
      </c>
      <c r="G295" s="23">
        <v>0.641</v>
      </c>
      <c r="H295" s="23">
        <v>0.564</v>
      </c>
      <c r="I295" s="1">
        <v>350.5</v>
      </c>
      <c r="J295" s="1">
        <v>647.0</v>
      </c>
      <c r="K295" s="1">
        <v>33428.0</v>
      </c>
      <c r="L295" s="1">
        <v>100.0</v>
      </c>
      <c r="M295" s="23">
        <v>14.782</v>
      </c>
      <c r="O295" s="23">
        <f t="shared" si="8"/>
        <v>0.564</v>
      </c>
    </row>
    <row r="296">
      <c r="A296" s="1">
        <v>575.0</v>
      </c>
      <c r="B296" s="1">
        <v>22607.0</v>
      </c>
      <c r="C296" s="23">
        <v>17.476</v>
      </c>
      <c r="D296" s="23">
        <v>18.217</v>
      </c>
      <c r="E296" s="26">
        <v>1.377</v>
      </c>
      <c r="F296" s="1">
        <v>849.8</v>
      </c>
      <c r="G296" s="23">
        <v>0.641</v>
      </c>
      <c r="H296" s="23">
        <v>0.564</v>
      </c>
      <c r="I296" s="1">
        <v>350.5</v>
      </c>
      <c r="J296" s="1">
        <v>647.0</v>
      </c>
      <c r="K296" s="1">
        <v>33428.0</v>
      </c>
      <c r="L296" s="1">
        <v>100.0</v>
      </c>
      <c r="M296" s="23">
        <v>14.886</v>
      </c>
      <c r="O296" s="23">
        <f t="shared" si="8"/>
        <v>0.564</v>
      </c>
    </row>
    <row r="297">
      <c r="A297" s="1">
        <v>577.0</v>
      </c>
      <c r="B297" s="1">
        <v>22607.0</v>
      </c>
      <c r="C297" s="23">
        <v>16.892</v>
      </c>
      <c r="D297" s="23">
        <v>17.677</v>
      </c>
      <c r="E297" s="26">
        <v>1.377</v>
      </c>
      <c r="F297" s="1">
        <v>849.8</v>
      </c>
      <c r="G297" s="23">
        <v>0.615</v>
      </c>
      <c r="H297" s="23">
        <v>0.572</v>
      </c>
      <c r="I297" s="1">
        <v>350.5</v>
      </c>
      <c r="J297" s="1">
        <v>565.0</v>
      </c>
      <c r="K297" s="1">
        <v>33428.0</v>
      </c>
      <c r="L297" s="1">
        <v>100.0</v>
      </c>
      <c r="M297" s="23">
        <v>14.886</v>
      </c>
      <c r="O297" s="23">
        <f t="shared" si="8"/>
        <v>0.572</v>
      </c>
    </row>
    <row r="298">
      <c r="A298" s="1">
        <v>579.0</v>
      </c>
      <c r="B298" s="1">
        <v>17488.0</v>
      </c>
      <c r="C298" s="23">
        <v>16.269</v>
      </c>
      <c r="D298" s="23">
        <v>17.073</v>
      </c>
      <c r="E298" s="23">
        <v>1.377</v>
      </c>
      <c r="F298" s="1">
        <v>864.8</v>
      </c>
      <c r="G298" s="23">
        <v>0.615</v>
      </c>
      <c r="H298" s="23">
        <v>0.572</v>
      </c>
      <c r="I298" s="1">
        <v>350.5</v>
      </c>
      <c r="J298" s="1">
        <v>565.0</v>
      </c>
      <c r="K298" s="1">
        <v>25860.0</v>
      </c>
      <c r="L298" s="1">
        <v>100.0</v>
      </c>
      <c r="M298" s="23">
        <v>14.733</v>
      </c>
      <c r="O298" s="23">
        <f t="shared" si="8"/>
        <v>0.572</v>
      </c>
    </row>
    <row r="299">
      <c r="A299" s="1">
        <v>581.0</v>
      </c>
      <c r="B299" s="1">
        <v>18341.0</v>
      </c>
      <c r="C299" s="23">
        <v>15.408</v>
      </c>
      <c r="D299" s="23">
        <v>16.306</v>
      </c>
      <c r="E299" s="26">
        <v>1.377</v>
      </c>
      <c r="F299" s="1">
        <v>864.8</v>
      </c>
      <c r="G299" s="23">
        <v>0.615</v>
      </c>
      <c r="H299" s="23">
        <v>0.572</v>
      </c>
      <c r="I299" s="1">
        <v>350.5</v>
      </c>
      <c r="J299" s="1">
        <v>565.0</v>
      </c>
      <c r="K299" s="1">
        <v>27121.0</v>
      </c>
      <c r="L299" s="1">
        <v>100.0</v>
      </c>
      <c r="M299" s="23">
        <v>14.733</v>
      </c>
      <c r="O299" s="23">
        <f t="shared" si="8"/>
        <v>0.572</v>
      </c>
    </row>
    <row r="300">
      <c r="A300" s="1">
        <v>583.0</v>
      </c>
      <c r="B300" s="1">
        <v>18341.0</v>
      </c>
      <c r="C300" s="23">
        <v>15.362</v>
      </c>
      <c r="D300" s="23">
        <v>15.418</v>
      </c>
      <c r="E300" s="26">
        <v>1.377</v>
      </c>
      <c r="F300" s="1">
        <v>864.8</v>
      </c>
      <c r="G300" s="23">
        <v>0.615</v>
      </c>
      <c r="H300" s="23">
        <v>0.572</v>
      </c>
      <c r="I300" s="1">
        <v>350.5</v>
      </c>
      <c r="J300" s="1">
        <v>565.0</v>
      </c>
      <c r="K300" s="1">
        <v>27121.0</v>
      </c>
      <c r="L300" s="1">
        <v>100.0</v>
      </c>
      <c r="M300" s="23">
        <v>14.626</v>
      </c>
      <c r="O300" s="23">
        <f t="shared" si="8"/>
        <v>0.572</v>
      </c>
    </row>
    <row r="301">
      <c r="A301" s="1">
        <v>585.0</v>
      </c>
      <c r="B301" s="1">
        <v>18341.0</v>
      </c>
      <c r="C301" s="23">
        <v>14.645</v>
      </c>
      <c r="D301" s="23">
        <v>18.873</v>
      </c>
      <c r="E301" s="26">
        <v>1.497</v>
      </c>
      <c r="F301" s="1">
        <v>864.8</v>
      </c>
      <c r="G301" s="23">
        <v>0.615</v>
      </c>
      <c r="H301" s="23">
        <v>1.572</v>
      </c>
      <c r="I301" s="1">
        <v>350.5</v>
      </c>
      <c r="J301" s="1">
        <v>565.0</v>
      </c>
      <c r="K301" s="1">
        <v>27121.0</v>
      </c>
      <c r="L301" s="1">
        <v>100.0</v>
      </c>
      <c r="M301" s="23">
        <v>14.626</v>
      </c>
      <c r="O301" s="23">
        <f t="shared" si="8"/>
        <v>1</v>
      </c>
    </row>
    <row r="302">
      <c r="A302" s="1">
        <v>587.0</v>
      </c>
      <c r="B302" s="1">
        <v>18341.0</v>
      </c>
      <c r="C302" s="23">
        <v>14.68</v>
      </c>
      <c r="D302" s="23">
        <v>18.878</v>
      </c>
      <c r="E302" s="26">
        <v>1.497</v>
      </c>
      <c r="F302" s="1">
        <v>864.8</v>
      </c>
      <c r="G302" s="23">
        <v>0.615</v>
      </c>
      <c r="H302" s="23">
        <v>1.488</v>
      </c>
      <c r="I302" s="1">
        <v>350.5</v>
      </c>
      <c r="J302" s="1">
        <v>565.0</v>
      </c>
      <c r="K302" s="1">
        <v>27121.0</v>
      </c>
      <c r="L302" s="1">
        <v>100.0</v>
      </c>
      <c r="M302" s="23">
        <v>14.643</v>
      </c>
      <c r="O302" s="23">
        <f t="shared" si="8"/>
        <v>1</v>
      </c>
    </row>
    <row r="303">
      <c r="A303" s="1">
        <v>589.0</v>
      </c>
      <c r="B303" s="1">
        <v>18341.0</v>
      </c>
      <c r="C303" s="26">
        <v>15.021</v>
      </c>
      <c r="D303" s="23">
        <v>19.292</v>
      </c>
      <c r="E303" s="26">
        <v>1.077</v>
      </c>
      <c r="F303" s="1">
        <v>864.8</v>
      </c>
      <c r="G303" s="23">
        <v>0.615</v>
      </c>
      <c r="H303" s="23">
        <v>0.488</v>
      </c>
      <c r="I303" s="1">
        <v>350.5</v>
      </c>
      <c r="J303" s="1">
        <v>565.0</v>
      </c>
      <c r="K303" s="1">
        <v>27121.0</v>
      </c>
      <c r="L303" s="1">
        <v>100.0</v>
      </c>
      <c r="M303" s="23">
        <v>14.643</v>
      </c>
      <c r="O303" s="23">
        <f t="shared" si="8"/>
        <v>0.488</v>
      </c>
    </row>
    <row r="304">
      <c r="A304" s="1">
        <v>591.0</v>
      </c>
      <c r="B304" s="1">
        <v>18341.0</v>
      </c>
      <c r="C304" s="23">
        <v>14.784</v>
      </c>
      <c r="D304" s="26">
        <v>19.299</v>
      </c>
      <c r="E304" s="26">
        <v>1.077</v>
      </c>
      <c r="F304" s="1">
        <v>849.8</v>
      </c>
      <c r="G304" s="23">
        <v>0.641</v>
      </c>
      <c r="H304" s="23">
        <v>0.488</v>
      </c>
      <c r="I304" s="1">
        <v>350.5</v>
      </c>
      <c r="J304" s="1">
        <v>647.0</v>
      </c>
      <c r="K304" s="1">
        <v>27121.0</v>
      </c>
      <c r="L304" s="1">
        <v>100.0</v>
      </c>
      <c r="M304" s="23">
        <v>14.668</v>
      </c>
      <c r="O304" s="23">
        <f t="shared" si="8"/>
        <v>0.488</v>
      </c>
    </row>
    <row r="305">
      <c r="A305" s="1">
        <v>593.0</v>
      </c>
      <c r="B305" s="1">
        <v>18341.0</v>
      </c>
      <c r="C305" s="23">
        <v>15.171</v>
      </c>
      <c r="D305" s="23">
        <v>19.713</v>
      </c>
      <c r="E305" s="26">
        <v>1.077</v>
      </c>
      <c r="F305" s="1">
        <v>849.8</v>
      </c>
      <c r="G305" s="23">
        <v>0.641</v>
      </c>
      <c r="H305" s="23">
        <v>0.498</v>
      </c>
      <c r="I305" s="1">
        <v>350.5</v>
      </c>
      <c r="J305" s="1">
        <v>647.0</v>
      </c>
      <c r="K305" s="1">
        <v>27121.0</v>
      </c>
      <c r="L305" s="1">
        <v>100.0</v>
      </c>
      <c r="M305" s="23">
        <v>14.668</v>
      </c>
      <c r="O305" s="23">
        <f t="shared" si="8"/>
        <v>0.498</v>
      </c>
    </row>
    <row r="306">
      <c r="A306" s="1">
        <v>595.0</v>
      </c>
      <c r="B306" s="1">
        <v>18341.0</v>
      </c>
      <c r="C306" s="23">
        <v>16.408</v>
      </c>
      <c r="D306" s="23">
        <v>17.272</v>
      </c>
      <c r="E306" s="26">
        <v>1.077</v>
      </c>
      <c r="F306" s="1">
        <v>849.8</v>
      </c>
      <c r="G306" s="23">
        <v>0.641</v>
      </c>
      <c r="H306" s="23">
        <v>0.498</v>
      </c>
      <c r="I306" s="1">
        <v>350.5</v>
      </c>
      <c r="J306" s="1">
        <v>647.0</v>
      </c>
      <c r="K306" s="1">
        <v>27121.0</v>
      </c>
      <c r="L306" s="1">
        <v>100.0</v>
      </c>
      <c r="M306" s="23">
        <v>14.668</v>
      </c>
      <c r="O306" s="23">
        <f t="shared" si="8"/>
        <v>0.498</v>
      </c>
    </row>
    <row r="307">
      <c r="A307" s="1">
        <v>597.0</v>
      </c>
      <c r="B307" s="1">
        <v>20047.0</v>
      </c>
      <c r="C307" s="23">
        <v>16.578</v>
      </c>
      <c r="D307" s="23">
        <v>17.436</v>
      </c>
      <c r="E307" s="26">
        <v>1.686</v>
      </c>
      <c r="F307" s="1">
        <v>849.8</v>
      </c>
      <c r="G307" s="23">
        <v>0.641</v>
      </c>
      <c r="H307" s="23">
        <v>0.498</v>
      </c>
      <c r="I307" s="1">
        <v>350.5</v>
      </c>
      <c r="J307" s="1">
        <v>647.0</v>
      </c>
      <c r="K307" s="1">
        <v>29644.0</v>
      </c>
      <c r="L307" s="1">
        <v>100.0</v>
      </c>
      <c r="M307" s="23">
        <v>14.693</v>
      </c>
      <c r="O307" s="23">
        <f t="shared" si="8"/>
        <v>0.498</v>
      </c>
    </row>
    <row r="308">
      <c r="A308" s="1">
        <v>599.0</v>
      </c>
      <c r="B308" s="1">
        <v>20047.0</v>
      </c>
      <c r="C308" s="23">
        <v>16.613</v>
      </c>
      <c r="D308" s="23">
        <v>17.436</v>
      </c>
      <c r="E308" s="23">
        <v>1.555</v>
      </c>
      <c r="F308" s="1">
        <v>849.8</v>
      </c>
      <c r="G308" s="23">
        <v>0.641</v>
      </c>
      <c r="H308" s="23">
        <v>0.498</v>
      </c>
      <c r="I308" s="1">
        <v>350.5</v>
      </c>
      <c r="J308" s="1">
        <v>647.0</v>
      </c>
      <c r="K308" s="1">
        <v>29644.0</v>
      </c>
      <c r="L308" s="1">
        <v>100.0</v>
      </c>
      <c r="M308" s="23">
        <v>14.693</v>
      </c>
      <c r="O308" s="23">
        <f t="shared" si="8"/>
        <v>0.498</v>
      </c>
    </row>
    <row r="309">
      <c r="A309" s="1">
        <v>601.0</v>
      </c>
      <c r="B309" s="1">
        <v>20047.0</v>
      </c>
      <c r="C309" s="23">
        <v>16.626</v>
      </c>
      <c r="D309" s="23">
        <v>17.448</v>
      </c>
      <c r="E309" s="26">
        <v>1.555</v>
      </c>
      <c r="F309" s="1">
        <v>849.8</v>
      </c>
      <c r="G309" s="23">
        <v>0.641</v>
      </c>
      <c r="H309" s="23">
        <v>0.498</v>
      </c>
      <c r="I309" s="1">
        <v>350.5</v>
      </c>
      <c r="J309" s="1">
        <v>647.0</v>
      </c>
      <c r="K309" s="1">
        <v>29644.0</v>
      </c>
      <c r="L309" s="1">
        <v>100.0</v>
      </c>
      <c r="M309" s="26">
        <v>14.75</v>
      </c>
      <c r="O309" s="23">
        <f t="shared" si="8"/>
        <v>0.498</v>
      </c>
    </row>
    <row r="310">
      <c r="A310" s="1">
        <v>603.0</v>
      </c>
      <c r="B310" s="1">
        <v>19641.0</v>
      </c>
      <c r="C310" s="23">
        <v>16.545</v>
      </c>
      <c r="D310" s="23">
        <v>17.414</v>
      </c>
      <c r="E310" s="26">
        <v>1.555</v>
      </c>
      <c r="F310" s="1">
        <v>849.8</v>
      </c>
      <c r="G310" s="23">
        <v>0.641</v>
      </c>
      <c r="H310" s="23">
        <v>0.498</v>
      </c>
      <c r="I310" s="1">
        <v>350.5</v>
      </c>
      <c r="J310" s="1">
        <v>647.0</v>
      </c>
      <c r="K310" s="1">
        <v>29644.0</v>
      </c>
      <c r="L310" s="1">
        <v>100.0</v>
      </c>
      <c r="M310" s="26">
        <v>14.75</v>
      </c>
      <c r="O310" s="23">
        <f t="shared" si="8"/>
        <v>0.498</v>
      </c>
    </row>
    <row r="311">
      <c r="A311" s="1">
        <v>605.0</v>
      </c>
      <c r="B311" s="1">
        <v>20047.0</v>
      </c>
      <c r="C311" s="23">
        <v>16.534</v>
      </c>
      <c r="D311" s="23">
        <v>17.414</v>
      </c>
      <c r="E311" s="26">
        <v>1.555</v>
      </c>
      <c r="F311" s="1">
        <v>849.8</v>
      </c>
      <c r="G311" s="23">
        <v>0.641</v>
      </c>
      <c r="H311" s="23">
        <v>0.498</v>
      </c>
      <c r="I311" s="1">
        <v>350.5</v>
      </c>
      <c r="J311" s="1">
        <v>647.0</v>
      </c>
      <c r="K311" s="1">
        <v>29644.0</v>
      </c>
      <c r="L311" s="1">
        <v>100.0</v>
      </c>
      <c r="M311" s="23">
        <v>14.749</v>
      </c>
      <c r="O311" s="23">
        <f t="shared" si="8"/>
        <v>0.498</v>
      </c>
    </row>
    <row r="312">
      <c r="A312" s="1">
        <v>607.0</v>
      </c>
      <c r="B312" s="1">
        <v>20047.0</v>
      </c>
      <c r="C312" s="23">
        <v>16.547</v>
      </c>
      <c r="D312" s="23">
        <v>17.448</v>
      </c>
      <c r="E312" s="26">
        <v>1.098</v>
      </c>
      <c r="F312" s="1">
        <v>849.8</v>
      </c>
      <c r="G312" s="23">
        <v>0.615</v>
      </c>
      <c r="H312" s="23">
        <v>0.498</v>
      </c>
      <c r="I312" s="1">
        <v>350.5</v>
      </c>
      <c r="J312" s="1">
        <v>565.0</v>
      </c>
      <c r="K312" s="1">
        <v>29644.0</v>
      </c>
      <c r="L312" s="1">
        <v>100.0</v>
      </c>
      <c r="M312" s="23">
        <v>14.749</v>
      </c>
      <c r="O312" s="23">
        <f t="shared" si="8"/>
        <v>0.498</v>
      </c>
    </row>
    <row r="313">
      <c r="A313" s="1">
        <v>609.0</v>
      </c>
      <c r="B313" s="1">
        <v>20047.0</v>
      </c>
      <c r="C313" s="23">
        <v>15.542</v>
      </c>
      <c r="D313" s="23">
        <v>16.533</v>
      </c>
      <c r="E313" s="26">
        <v>1.098</v>
      </c>
      <c r="F313" s="1">
        <v>849.8</v>
      </c>
      <c r="G313" s="23">
        <v>0.615</v>
      </c>
      <c r="H313" s="23">
        <v>0.498</v>
      </c>
      <c r="I313" s="1">
        <v>350.5</v>
      </c>
      <c r="J313" s="1">
        <v>565.0</v>
      </c>
      <c r="K313" s="1">
        <v>29644.0</v>
      </c>
      <c r="L313" s="1">
        <v>100.0</v>
      </c>
      <c r="M313" s="26">
        <v>14.7</v>
      </c>
      <c r="O313" s="23">
        <f t="shared" si="8"/>
        <v>0.498</v>
      </c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  <c r="K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  <c r="K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  <c r="K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  <c r="K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  <c r="K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  <c r="K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  <c r="K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  <c r="K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  <c r="K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  <c r="K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  <c r="K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  <c r="K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  <c r="K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  <c r="K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  <c r="K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  <c r="K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  <c r="K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  <c r="K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  <c r="K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  <c r="K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  <c r="K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  <c r="K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  <c r="K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  <c r="K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  <c r="K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  <c r="K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  <c r="K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  <c r="K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  <c r="K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  <c r="K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  <c r="K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  <c r="K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  <c r="K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  <c r="K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  <c r="K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  <c r="K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  <c r="K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  <c r="K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  <c r="K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  <c r="K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  <c r="K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  <c r="K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  <c r="K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  <c r="K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  <c r="K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  <c r="K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  <c r="K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  <c r="K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  <c r="K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  <c r="K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  <c r="K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  <c r="K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  <c r="K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  <c r="K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  <c r="K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  <c r="K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  <c r="K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  <c r="K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  <c r="K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  <c r="K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  <c r="K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  <c r="K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  <c r="K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  <c r="K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  <c r="K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  <c r="K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  <c r="K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  <c r="K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  <c r="K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  <c r="K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  <c r="K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  <c r="K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  <c r="K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  <c r="K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  <c r="K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  <c r="K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  <c r="K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  <c r="K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  <c r="K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  <c r="K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  <c r="K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  <c r="K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  <c r="K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  <c r="K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  <c r="K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  <c r="K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  <c r="K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  <c r="K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  <c r="K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  <c r="K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  <c r="K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  <c r="K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  <c r="K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  <c r="K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  <c r="K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  <c r="K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  <c r="K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  <c r="K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  <c r="K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  <c r="K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  <c r="K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  <c r="K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  <c r="K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  <c r="K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  <c r="K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  <c r="K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  <c r="K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  <c r="K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  <c r="K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  <c r="K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  <c r="K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  <c r="K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  <c r="K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  <c r="K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  <c r="K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  <c r="K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  <c r="K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  <c r="K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  <c r="K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  <c r="K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  <c r="K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  <c r="K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  <c r="K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  <c r="K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  <c r="K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  <c r="K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  <c r="K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  <c r="K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  <c r="K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  <c r="K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  <c r="K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  <c r="K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  <c r="K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  <c r="K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  <c r="K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  <c r="K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  <c r="K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  <c r="K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  <c r="K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  <c r="K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  <c r="K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  <c r="K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  <c r="K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  <c r="K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  <c r="K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  <c r="K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  <c r="K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  <c r="K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  <c r="K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  <c r="K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  <c r="K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  <c r="K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  <c r="K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  <c r="K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  <c r="K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  <c r="K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  <c r="K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  <c r="K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  <c r="K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  <c r="K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  <c r="K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  <c r="K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  <c r="K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  <c r="K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  <c r="K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  <c r="K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  <c r="K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  <c r="K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  <c r="K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  <c r="K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  <c r="K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  <c r="K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  <c r="K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  <c r="K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  <c r="K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  <c r="K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  <c r="K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  <c r="K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  <c r="K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  <c r="K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  <c r="K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  <c r="K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  <c r="K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  <c r="K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  <c r="K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  <c r="K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  <c r="K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  <c r="K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  <c r="K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  <c r="K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  <c r="K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  <c r="K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  <c r="K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  <c r="K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  <c r="K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  <c r="K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  <c r="K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  <c r="K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  <c r="K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  <c r="K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  <c r="K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  <c r="K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  <c r="K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  <c r="K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  <c r="K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  <c r="K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  <c r="K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  <c r="K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  <c r="K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  <c r="K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  <c r="K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  <c r="K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  <c r="K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  <c r="K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  <c r="K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  <c r="K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  <c r="K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  <c r="K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  <c r="K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  <c r="K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  <c r="K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  <c r="K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  <c r="K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  <c r="K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  <c r="K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  <c r="K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  <c r="K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  <c r="K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  <c r="K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  <c r="K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K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  <c r="K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K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5</v>
      </c>
      <c r="B1" s="40" t="str">
        <f t="shared" ref="B1:L1" si="1">B9</f>
        <v>Wisdom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40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Stamina</v>
      </c>
      <c r="L1" s="40" t="str">
        <f t="shared" si="1"/>
        <v>THealth</v>
      </c>
    </row>
    <row r="2">
      <c r="A2" s="41" t="s">
        <v>111</v>
      </c>
      <c r="B2" s="42">
        <f t="shared" ref="B2:L2" si="2">Average(B7:B1001)</f>
        <v>19908.53</v>
      </c>
      <c r="C2" s="43">
        <f t="shared" si="2"/>
        <v>16.99546333</v>
      </c>
      <c r="D2" s="43">
        <f t="shared" si="2"/>
        <v>16.98442667</v>
      </c>
      <c r="E2" s="43">
        <f t="shared" si="2"/>
        <v>3.58512</v>
      </c>
      <c r="F2" s="42">
        <f t="shared" si="2"/>
        <v>880.042</v>
      </c>
      <c r="G2" s="43">
        <f t="shared" si="2"/>
        <v>0.7870833333</v>
      </c>
      <c r="H2" s="43">
        <f t="shared" si="2"/>
        <v>0.53733</v>
      </c>
      <c r="I2" s="42">
        <f t="shared" si="2"/>
        <v>315.9533333</v>
      </c>
      <c r="J2" s="42">
        <f t="shared" si="2"/>
        <v>1144.259667</v>
      </c>
      <c r="K2" s="42">
        <f t="shared" si="2"/>
        <v>31362.95667</v>
      </c>
      <c r="L2" s="43">
        <f t="shared" si="2"/>
        <v>99.97666667</v>
      </c>
    </row>
    <row r="3">
      <c r="A3" s="41" t="s">
        <v>112</v>
      </c>
      <c r="B3" s="42">
        <f t="shared" ref="B3:L3" si="3">Min(B7:B1001)</f>
        <v>17684</v>
      </c>
      <c r="C3" s="43">
        <f t="shared" si="3"/>
        <v>12.334</v>
      </c>
      <c r="D3" s="43">
        <f t="shared" si="3"/>
        <v>14.997</v>
      </c>
      <c r="E3" s="43">
        <f t="shared" si="3"/>
        <v>2.837</v>
      </c>
      <c r="F3" s="42">
        <f t="shared" si="3"/>
        <v>834.6</v>
      </c>
      <c r="G3" s="43">
        <f t="shared" si="3"/>
        <v>0.759</v>
      </c>
      <c r="H3" s="43">
        <f t="shared" si="3"/>
        <v>0.421</v>
      </c>
      <c r="I3" s="42">
        <f t="shared" si="3"/>
        <v>278.9</v>
      </c>
      <c r="J3" s="42">
        <f t="shared" si="3"/>
        <v>1065.7</v>
      </c>
      <c r="K3" s="42">
        <f t="shared" si="3"/>
        <v>27841</v>
      </c>
      <c r="L3" s="43">
        <f t="shared" si="3"/>
        <v>99</v>
      </c>
    </row>
    <row r="4">
      <c r="A4" s="41" t="s">
        <v>113</v>
      </c>
      <c r="B4" s="42">
        <f t="shared" ref="B4:L4" si="4">Median(B7:B1001)</f>
        <v>18546</v>
      </c>
      <c r="C4" s="43">
        <f t="shared" si="4"/>
        <v>16.933</v>
      </c>
      <c r="D4" s="43">
        <f t="shared" si="4"/>
        <v>16.8095</v>
      </c>
      <c r="E4" s="43">
        <f t="shared" si="4"/>
        <v>3.527</v>
      </c>
      <c r="F4" s="42">
        <f t="shared" si="4"/>
        <v>888.9</v>
      </c>
      <c r="G4" s="43">
        <f t="shared" si="4"/>
        <v>0.782</v>
      </c>
      <c r="H4" s="43">
        <f t="shared" si="4"/>
        <v>0.439</v>
      </c>
      <c r="I4" s="42">
        <f t="shared" si="4"/>
        <v>318.9</v>
      </c>
      <c r="J4" s="42">
        <f t="shared" si="4"/>
        <v>1147.6</v>
      </c>
      <c r="K4" s="42">
        <f t="shared" si="4"/>
        <v>29199</v>
      </c>
      <c r="L4" s="43">
        <f t="shared" si="4"/>
        <v>100</v>
      </c>
    </row>
    <row r="5">
      <c r="A5" s="41" t="s">
        <v>114</v>
      </c>
      <c r="B5" s="42">
        <f t="shared" ref="B5:L5" si="5">Max(B7:B1001)</f>
        <v>23722</v>
      </c>
      <c r="C5" s="43">
        <f t="shared" si="5"/>
        <v>20.053</v>
      </c>
      <c r="D5" s="43">
        <f t="shared" si="5"/>
        <v>19.95</v>
      </c>
      <c r="E5" s="43">
        <f t="shared" si="5"/>
        <v>4.411</v>
      </c>
      <c r="F5" s="42">
        <f t="shared" si="5"/>
        <v>888.9</v>
      </c>
      <c r="G5" s="43">
        <f t="shared" si="5"/>
        <v>0.882</v>
      </c>
      <c r="H5" s="43">
        <f t="shared" si="5"/>
        <v>1.469</v>
      </c>
      <c r="I5" s="42">
        <f t="shared" si="5"/>
        <v>318.9</v>
      </c>
      <c r="J5" s="42">
        <f t="shared" si="5"/>
        <v>1186.9</v>
      </c>
      <c r="K5" s="42">
        <f t="shared" si="5"/>
        <v>37348</v>
      </c>
      <c r="L5" s="43">
        <f t="shared" si="5"/>
        <v>100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</row>
    <row r="7">
      <c r="A7" s="1"/>
      <c r="B7" s="1"/>
      <c r="C7" s="23"/>
      <c r="D7" s="23"/>
      <c r="E7" s="23"/>
      <c r="F7" s="1"/>
      <c r="G7" s="23"/>
      <c r="H7" s="23"/>
      <c r="I7" s="1"/>
      <c r="J7" s="1"/>
      <c r="K7" s="1"/>
    </row>
    <row r="8">
      <c r="A8" s="1" t="s">
        <v>517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482</v>
      </c>
      <c r="B9" s="1" t="s">
        <v>518</v>
      </c>
      <c r="C9" s="1" t="s">
        <v>23</v>
      </c>
      <c r="D9" s="1" t="s">
        <v>12</v>
      </c>
      <c r="E9" s="1" t="s">
        <v>24</v>
      </c>
      <c r="F9" s="1" t="s">
        <v>25</v>
      </c>
      <c r="G9" s="1" t="s">
        <v>26</v>
      </c>
      <c r="H9" s="1" t="s">
        <v>483</v>
      </c>
      <c r="I9" s="1" t="s">
        <v>484</v>
      </c>
      <c r="J9" s="1" t="s">
        <v>485</v>
      </c>
      <c r="K9" s="1" t="s">
        <v>486</v>
      </c>
      <c r="L9" s="1" t="s">
        <v>498</v>
      </c>
      <c r="M9" s="1" t="s">
        <v>499</v>
      </c>
    </row>
    <row r="10">
      <c r="A10" s="1">
        <v>0.0</v>
      </c>
      <c r="B10" s="1">
        <v>18546.0</v>
      </c>
      <c r="C10" s="23">
        <v>12.334</v>
      </c>
      <c r="D10" s="23">
        <v>15.541</v>
      </c>
      <c r="E10" s="23">
        <v>2.837</v>
      </c>
      <c r="F10" s="1">
        <v>834.6</v>
      </c>
      <c r="G10" s="23">
        <v>0.771</v>
      </c>
      <c r="H10" s="23">
        <v>0.421</v>
      </c>
      <c r="I10" s="1">
        <v>278.9</v>
      </c>
      <c r="J10" s="61">
        <v>1127.8</v>
      </c>
      <c r="K10" s="1">
        <v>29199.0</v>
      </c>
      <c r="L10" s="1">
        <v>100.0</v>
      </c>
      <c r="M10" s="23">
        <v>15.07</v>
      </c>
      <c r="N10" s="23">
        <f t="shared" ref="N10:N167" si="6">if(H10&gt;100%,100%,H10)</f>
        <v>0.421</v>
      </c>
    </row>
    <row r="11">
      <c r="A11" s="1">
        <v>2.0</v>
      </c>
      <c r="B11" s="1">
        <v>18546.0</v>
      </c>
      <c r="C11" s="23">
        <v>13.997</v>
      </c>
      <c r="D11" s="23">
        <v>15.553</v>
      </c>
      <c r="E11" s="23">
        <v>3.191</v>
      </c>
      <c r="F11" s="1">
        <v>834.6</v>
      </c>
      <c r="G11" s="23">
        <v>0.771</v>
      </c>
      <c r="H11" s="23">
        <v>0.421</v>
      </c>
      <c r="I11" s="1">
        <v>286.9</v>
      </c>
      <c r="J11" s="61">
        <v>1127.8</v>
      </c>
      <c r="K11" s="1">
        <v>29199.0</v>
      </c>
      <c r="L11" s="1">
        <v>100.0</v>
      </c>
      <c r="M11" s="23">
        <v>15.07</v>
      </c>
      <c r="N11" s="23">
        <f t="shared" si="6"/>
        <v>0.421</v>
      </c>
    </row>
    <row r="12">
      <c r="A12" s="1">
        <v>4.0</v>
      </c>
      <c r="B12" s="1">
        <v>18546.0</v>
      </c>
      <c r="C12" s="26">
        <v>15.991</v>
      </c>
      <c r="D12" s="23">
        <v>17.505</v>
      </c>
      <c r="E12" s="23">
        <v>3.191</v>
      </c>
      <c r="F12" s="1">
        <v>873.9</v>
      </c>
      <c r="G12" s="23">
        <v>0.779</v>
      </c>
      <c r="H12" s="23">
        <v>0.421</v>
      </c>
      <c r="I12" s="1">
        <v>286.9</v>
      </c>
      <c r="J12" s="61">
        <v>1167.1</v>
      </c>
      <c r="K12" s="1">
        <v>29199.0</v>
      </c>
      <c r="L12" s="1">
        <v>100.0</v>
      </c>
      <c r="M12" s="23">
        <v>15.132</v>
      </c>
      <c r="N12" s="23">
        <f t="shared" si="6"/>
        <v>0.421</v>
      </c>
    </row>
    <row r="13">
      <c r="A13" s="1">
        <v>6.0</v>
      </c>
      <c r="B13" s="1">
        <v>21997.0</v>
      </c>
      <c r="C13" s="26">
        <v>16.768</v>
      </c>
      <c r="D13" s="23">
        <v>18.219</v>
      </c>
      <c r="E13" s="23">
        <v>3.345</v>
      </c>
      <c r="F13" s="1">
        <v>873.9</v>
      </c>
      <c r="G13" s="23">
        <v>0.766</v>
      </c>
      <c r="H13" s="23">
        <v>1.429</v>
      </c>
      <c r="I13" s="1">
        <v>290.9</v>
      </c>
      <c r="J13" s="61">
        <v>1104.9</v>
      </c>
      <c r="K13" s="1">
        <v>34632.0</v>
      </c>
      <c r="L13" s="1">
        <v>100.0</v>
      </c>
      <c r="M13" s="23">
        <v>15.132</v>
      </c>
      <c r="N13" s="23">
        <f t="shared" si="6"/>
        <v>1</v>
      </c>
    </row>
    <row r="14">
      <c r="A14" s="1">
        <v>8.0</v>
      </c>
      <c r="B14" s="1">
        <v>22859.0</v>
      </c>
      <c r="C14" s="26">
        <v>15.348</v>
      </c>
      <c r="D14" s="23">
        <v>17.855</v>
      </c>
      <c r="E14" s="23">
        <v>3.305</v>
      </c>
      <c r="F14" s="1">
        <v>873.9</v>
      </c>
      <c r="G14" s="23">
        <v>0.766</v>
      </c>
      <c r="H14" s="23">
        <v>1.429</v>
      </c>
      <c r="I14" s="1">
        <v>290.9</v>
      </c>
      <c r="J14" s="61">
        <v>1104.9</v>
      </c>
      <c r="K14" s="1">
        <v>35990.0</v>
      </c>
      <c r="L14" s="1">
        <v>100.0</v>
      </c>
      <c r="M14" s="23">
        <v>15.343</v>
      </c>
      <c r="N14" s="23">
        <f t="shared" si="6"/>
        <v>1</v>
      </c>
    </row>
    <row r="15">
      <c r="A15" s="1">
        <v>10.0</v>
      </c>
      <c r="B15" s="1">
        <v>22859.0</v>
      </c>
      <c r="C15" s="23">
        <v>15.122</v>
      </c>
      <c r="D15" s="23">
        <v>17.608</v>
      </c>
      <c r="E15" s="23">
        <v>3.465</v>
      </c>
      <c r="F15" s="1">
        <v>888.9</v>
      </c>
      <c r="G15" s="23">
        <v>0.766</v>
      </c>
      <c r="H15" s="23">
        <v>1.429</v>
      </c>
      <c r="I15" s="1">
        <v>290.9</v>
      </c>
      <c r="J15" s="61">
        <v>1104.9</v>
      </c>
      <c r="K15" s="1">
        <v>35990.0</v>
      </c>
      <c r="L15" s="1">
        <v>100.0</v>
      </c>
      <c r="M15" s="23">
        <v>15.343</v>
      </c>
      <c r="N15" s="23">
        <f t="shared" si="6"/>
        <v>1</v>
      </c>
    </row>
    <row r="16">
      <c r="A16" s="1">
        <v>12.0</v>
      </c>
      <c r="B16" s="1">
        <v>22859.0</v>
      </c>
      <c r="C16" s="23">
        <v>15.167</v>
      </c>
      <c r="D16" s="23">
        <v>18.976</v>
      </c>
      <c r="E16" s="23">
        <v>3.465</v>
      </c>
      <c r="F16" s="1">
        <v>888.9</v>
      </c>
      <c r="G16" s="23">
        <v>0.766</v>
      </c>
      <c r="H16" s="23">
        <v>0.429</v>
      </c>
      <c r="I16" s="1">
        <v>290.9</v>
      </c>
      <c r="J16" s="61">
        <v>1104.9</v>
      </c>
      <c r="K16" s="1">
        <v>35990.0</v>
      </c>
      <c r="L16" s="1">
        <v>100.0</v>
      </c>
      <c r="M16" s="23">
        <v>15.458</v>
      </c>
      <c r="N16" s="23">
        <f t="shared" si="6"/>
        <v>0.429</v>
      </c>
    </row>
    <row r="17">
      <c r="A17" s="1">
        <v>14.0</v>
      </c>
      <c r="B17" s="1">
        <v>22859.0</v>
      </c>
      <c r="C17" s="23">
        <v>14.741</v>
      </c>
      <c r="D17" s="23">
        <v>19.046</v>
      </c>
      <c r="E17" s="23">
        <v>3.585</v>
      </c>
      <c r="F17" s="1">
        <v>849.6</v>
      </c>
      <c r="G17" s="23">
        <v>0.759</v>
      </c>
      <c r="H17" s="23">
        <v>0.429</v>
      </c>
      <c r="I17" s="1">
        <v>290.9</v>
      </c>
      <c r="J17" s="61">
        <v>1065.7</v>
      </c>
      <c r="K17" s="1">
        <v>35990.0</v>
      </c>
      <c r="L17" s="1">
        <v>100.0</v>
      </c>
      <c r="M17" s="23">
        <v>15.458</v>
      </c>
      <c r="N17" s="23">
        <f t="shared" si="6"/>
        <v>0.429</v>
      </c>
    </row>
    <row r="18">
      <c r="A18" s="1">
        <v>16.0</v>
      </c>
      <c r="B18" s="1">
        <v>22859.0</v>
      </c>
      <c r="C18" s="23">
        <v>14.875</v>
      </c>
      <c r="D18" s="23">
        <v>19.078</v>
      </c>
      <c r="E18" s="23">
        <v>4.235</v>
      </c>
      <c r="F18" s="1">
        <v>849.6</v>
      </c>
      <c r="G18" s="23">
        <v>0.759</v>
      </c>
      <c r="H18" s="23">
        <v>0.421</v>
      </c>
      <c r="I18" s="1">
        <v>290.9</v>
      </c>
      <c r="J18" s="61">
        <v>1065.7</v>
      </c>
      <c r="K18" s="1">
        <v>35990.0</v>
      </c>
      <c r="L18" s="1">
        <v>100.0</v>
      </c>
      <c r="M18" s="23">
        <v>15.516</v>
      </c>
      <c r="N18" s="23">
        <f t="shared" si="6"/>
        <v>0.421</v>
      </c>
    </row>
    <row r="19">
      <c r="A19" s="1">
        <v>18.0</v>
      </c>
      <c r="B19" s="1">
        <v>22859.0</v>
      </c>
      <c r="C19" s="26">
        <v>15.581</v>
      </c>
      <c r="D19" s="23">
        <v>19.074</v>
      </c>
      <c r="E19" s="23">
        <v>4.158</v>
      </c>
      <c r="F19" s="1">
        <v>888.9</v>
      </c>
      <c r="G19" s="23">
        <v>0.766</v>
      </c>
      <c r="H19" s="23">
        <v>0.421</v>
      </c>
      <c r="I19" s="1">
        <v>294.9</v>
      </c>
      <c r="J19" s="61">
        <v>1104.9</v>
      </c>
      <c r="K19" s="1">
        <v>35990.0</v>
      </c>
      <c r="L19" s="1">
        <v>100.0</v>
      </c>
      <c r="M19" s="23">
        <v>15.516</v>
      </c>
      <c r="N19" s="23">
        <f t="shared" si="6"/>
        <v>0.421</v>
      </c>
    </row>
    <row r="20">
      <c r="A20" s="1">
        <v>20.0</v>
      </c>
      <c r="B20" s="1">
        <v>22859.0</v>
      </c>
      <c r="C20" s="26">
        <v>14.589</v>
      </c>
      <c r="D20" s="23">
        <v>17.959</v>
      </c>
      <c r="E20" s="23">
        <v>4.341</v>
      </c>
      <c r="F20" s="1">
        <v>888.9</v>
      </c>
      <c r="G20" s="23">
        <v>0.766</v>
      </c>
      <c r="H20" s="23">
        <v>0.421</v>
      </c>
      <c r="I20" s="1">
        <v>294.9</v>
      </c>
      <c r="J20" s="61">
        <v>1104.9</v>
      </c>
      <c r="K20" s="1">
        <v>35990.0</v>
      </c>
      <c r="L20" s="1">
        <v>100.0</v>
      </c>
      <c r="M20" s="26">
        <v>15.401</v>
      </c>
      <c r="N20" s="23">
        <f t="shared" si="6"/>
        <v>0.421</v>
      </c>
    </row>
    <row r="21">
      <c r="A21" s="1">
        <v>22.0</v>
      </c>
      <c r="B21" s="1">
        <v>21997.0</v>
      </c>
      <c r="C21" s="23">
        <v>13.57</v>
      </c>
      <c r="D21" s="23">
        <v>16.673</v>
      </c>
      <c r="E21" s="23">
        <v>4.189</v>
      </c>
      <c r="F21" s="1">
        <v>888.9</v>
      </c>
      <c r="G21" s="23">
        <v>0.766</v>
      </c>
      <c r="H21" s="23">
        <v>0.421</v>
      </c>
      <c r="I21" s="1">
        <v>294.9</v>
      </c>
      <c r="J21" s="61">
        <v>1104.9</v>
      </c>
      <c r="K21" s="1">
        <v>34632.0</v>
      </c>
      <c r="L21" s="1">
        <v>100.0</v>
      </c>
      <c r="M21" s="26">
        <v>15.401</v>
      </c>
      <c r="N21" s="23">
        <f t="shared" si="6"/>
        <v>0.421</v>
      </c>
    </row>
    <row r="22">
      <c r="A22" s="1">
        <v>24.0</v>
      </c>
      <c r="B22" s="1">
        <v>18546.0</v>
      </c>
      <c r="C22" s="26">
        <v>13.947</v>
      </c>
      <c r="D22" s="23">
        <v>17.032</v>
      </c>
      <c r="E22" s="23">
        <v>4.119</v>
      </c>
      <c r="F22" s="1">
        <v>888.9</v>
      </c>
      <c r="G22" s="23">
        <v>0.766</v>
      </c>
      <c r="H22" s="23">
        <v>0.431</v>
      </c>
      <c r="I22" s="1">
        <v>294.9</v>
      </c>
      <c r="J22" s="61">
        <v>1104.9</v>
      </c>
      <c r="K22" s="1">
        <v>29199.0</v>
      </c>
      <c r="L22" s="1">
        <v>100.0</v>
      </c>
      <c r="M22" s="23">
        <v>15.401</v>
      </c>
      <c r="N22" s="23">
        <f t="shared" si="6"/>
        <v>0.431</v>
      </c>
    </row>
    <row r="23">
      <c r="A23" s="1">
        <v>27.0</v>
      </c>
      <c r="B23" s="1">
        <v>18546.0</v>
      </c>
      <c r="C23" s="23">
        <v>14.187</v>
      </c>
      <c r="D23" s="23">
        <v>16.962</v>
      </c>
      <c r="E23" s="23">
        <v>4.224</v>
      </c>
      <c r="F23" s="1">
        <v>888.9</v>
      </c>
      <c r="G23" s="23">
        <v>0.766</v>
      </c>
      <c r="H23" s="23">
        <v>0.431</v>
      </c>
      <c r="I23" s="1">
        <v>294.9</v>
      </c>
      <c r="J23" s="61">
        <v>1104.9</v>
      </c>
      <c r="K23" s="1">
        <v>29199.0</v>
      </c>
      <c r="L23" s="1">
        <v>100.0</v>
      </c>
      <c r="M23" s="23">
        <v>15.256</v>
      </c>
      <c r="N23" s="23">
        <f t="shared" si="6"/>
        <v>0.431</v>
      </c>
    </row>
    <row r="24">
      <c r="A24" s="1">
        <v>29.0</v>
      </c>
      <c r="B24" s="1">
        <v>18546.0</v>
      </c>
      <c r="C24" s="23">
        <v>14.339</v>
      </c>
      <c r="D24" s="23">
        <v>17.064</v>
      </c>
      <c r="E24" s="23">
        <v>4.093</v>
      </c>
      <c r="F24" s="1">
        <v>888.9</v>
      </c>
      <c r="G24" s="23">
        <v>0.766</v>
      </c>
      <c r="H24" s="23">
        <v>0.439</v>
      </c>
      <c r="I24" s="1">
        <v>294.9</v>
      </c>
      <c r="J24" s="61">
        <v>1104.9</v>
      </c>
      <c r="K24" s="1">
        <v>29199.0</v>
      </c>
      <c r="L24" s="1">
        <v>100.0</v>
      </c>
      <c r="M24" s="23">
        <v>15.256</v>
      </c>
      <c r="N24" s="23">
        <f t="shared" si="6"/>
        <v>0.439</v>
      </c>
    </row>
    <row r="25">
      <c r="A25" s="1">
        <v>31.0</v>
      </c>
      <c r="B25" s="1">
        <v>18546.0</v>
      </c>
      <c r="C25" s="23">
        <v>14.145</v>
      </c>
      <c r="D25" s="23">
        <v>16.834</v>
      </c>
      <c r="E25" s="23">
        <v>4.093</v>
      </c>
      <c r="F25" s="1">
        <v>888.9</v>
      </c>
      <c r="G25" s="23">
        <v>0.782</v>
      </c>
      <c r="H25" s="23">
        <v>0.439</v>
      </c>
      <c r="I25" s="1">
        <v>294.9</v>
      </c>
      <c r="J25" s="61">
        <v>1186.9</v>
      </c>
      <c r="K25" s="1">
        <v>29199.0</v>
      </c>
      <c r="L25" s="1">
        <v>99.0</v>
      </c>
      <c r="M25" s="23">
        <v>15.233</v>
      </c>
      <c r="N25" s="23">
        <f t="shared" si="6"/>
        <v>0.439</v>
      </c>
    </row>
    <row r="26">
      <c r="A26" s="1">
        <v>33.0</v>
      </c>
      <c r="B26" s="1">
        <v>18546.0</v>
      </c>
      <c r="C26" s="23">
        <v>14.146</v>
      </c>
      <c r="D26" s="23">
        <v>16.834</v>
      </c>
      <c r="E26" s="23">
        <v>4.093</v>
      </c>
      <c r="F26" s="1">
        <v>873.9</v>
      </c>
      <c r="G26" s="23">
        <v>0.782</v>
      </c>
      <c r="H26" s="23">
        <v>0.439</v>
      </c>
      <c r="I26" s="1">
        <v>294.9</v>
      </c>
      <c r="J26" s="61">
        <v>1186.9</v>
      </c>
      <c r="K26" s="1">
        <v>29199.0</v>
      </c>
      <c r="L26" s="1">
        <v>100.0</v>
      </c>
      <c r="M26" s="23">
        <v>15.233</v>
      </c>
      <c r="N26" s="23">
        <f t="shared" si="6"/>
        <v>0.439</v>
      </c>
    </row>
    <row r="27">
      <c r="A27" s="1">
        <v>35.0</v>
      </c>
      <c r="B27" s="1">
        <v>18237.0</v>
      </c>
      <c r="C27" s="23">
        <v>14.446</v>
      </c>
      <c r="D27" s="23">
        <v>17.136</v>
      </c>
      <c r="E27" s="23">
        <v>4.158</v>
      </c>
      <c r="F27" s="1">
        <v>873.9</v>
      </c>
      <c r="G27" s="23">
        <v>0.782</v>
      </c>
      <c r="H27" s="23">
        <v>0.429</v>
      </c>
      <c r="I27" s="1">
        <v>294.9</v>
      </c>
      <c r="J27" s="61">
        <v>1186.9</v>
      </c>
      <c r="K27" s="1">
        <v>29199.0</v>
      </c>
      <c r="L27" s="1">
        <v>100.0</v>
      </c>
      <c r="M27" s="23">
        <v>15.237</v>
      </c>
      <c r="N27" s="23">
        <f t="shared" si="6"/>
        <v>0.429</v>
      </c>
    </row>
    <row r="28">
      <c r="A28" s="1">
        <v>37.0</v>
      </c>
      <c r="B28" s="1">
        <v>18546.0</v>
      </c>
      <c r="C28" s="23">
        <v>14.004</v>
      </c>
      <c r="D28" s="23">
        <v>16.061</v>
      </c>
      <c r="E28" s="23">
        <v>3.515</v>
      </c>
      <c r="F28" s="1">
        <v>873.9</v>
      </c>
      <c r="G28" s="23">
        <v>0.782</v>
      </c>
      <c r="H28" s="23">
        <v>0.429</v>
      </c>
      <c r="I28" s="1">
        <v>294.9</v>
      </c>
      <c r="J28" s="61">
        <v>1186.9</v>
      </c>
      <c r="K28" s="1">
        <v>29199.0</v>
      </c>
      <c r="L28" s="1">
        <v>100.0</v>
      </c>
      <c r="M28" s="23">
        <v>15.237</v>
      </c>
      <c r="N28" s="23">
        <f t="shared" si="6"/>
        <v>0.429</v>
      </c>
    </row>
    <row r="29">
      <c r="A29" s="1">
        <v>39.0</v>
      </c>
      <c r="B29" s="1">
        <v>18546.0</v>
      </c>
      <c r="C29" s="23">
        <v>13.971</v>
      </c>
      <c r="D29" s="23">
        <v>16.045</v>
      </c>
      <c r="E29" s="23">
        <v>3.515</v>
      </c>
      <c r="F29" s="1">
        <v>873.9</v>
      </c>
      <c r="G29" s="23">
        <v>0.782</v>
      </c>
      <c r="H29" s="23">
        <v>0.429</v>
      </c>
      <c r="I29" s="1">
        <v>294.9</v>
      </c>
      <c r="J29" s="61">
        <v>1186.9</v>
      </c>
      <c r="K29" s="1">
        <v>29199.0</v>
      </c>
      <c r="L29" s="1">
        <v>100.0</v>
      </c>
      <c r="M29" s="23">
        <v>15.169</v>
      </c>
      <c r="N29" s="23">
        <f t="shared" si="6"/>
        <v>0.429</v>
      </c>
    </row>
    <row r="30">
      <c r="A30" s="1">
        <v>41.0</v>
      </c>
      <c r="B30" s="1">
        <v>18546.0</v>
      </c>
      <c r="C30" s="23">
        <v>14.47</v>
      </c>
      <c r="D30" s="26">
        <v>16.045</v>
      </c>
      <c r="E30" s="23">
        <v>3.515</v>
      </c>
      <c r="F30" s="1">
        <v>873.9</v>
      </c>
      <c r="G30" s="23">
        <v>0.782</v>
      </c>
      <c r="H30" s="23">
        <v>0.429</v>
      </c>
      <c r="I30" s="1">
        <v>294.9</v>
      </c>
      <c r="J30" s="61">
        <v>1186.9</v>
      </c>
      <c r="K30" s="1">
        <v>29199.0</v>
      </c>
      <c r="L30" s="1">
        <v>100.0</v>
      </c>
      <c r="M30" s="23">
        <v>15.169</v>
      </c>
      <c r="N30" s="23">
        <f t="shared" si="6"/>
        <v>0.429</v>
      </c>
    </row>
    <row r="31">
      <c r="A31" s="1">
        <v>43.0</v>
      </c>
      <c r="B31" s="1">
        <v>18546.0</v>
      </c>
      <c r="C31" s="23">
        <v>14.537</v>
      </c>
      <c r="D31" s="26">
        <v>16.102</v>
      </c>
      <c r="E31" s="23">
        <v>3.265</v>
      </c>
      <c r="F31" s="1">
        <v>888.9</v>
      </c>
      <c r="G31" s="23">
        <v>0.782</v>
      </c>
      <c r="H31" s="23">
        <v>0.429</v>
      </c>
      <c r="I31" s="1">
        <v>294.9</v>
      </c>
      <c r="J31" s="61">
        <v>1186.9</v>
      </c>
      <c r="K31" s="1">
        <v>29199.0</v>
      </c>
      <c r="L31" s="1">
        <v>100.0</v>
      </c>
      <c r="M31" s="23">
        <v>15.162</v>
      </c>
      <c r="N31" s="23">
        <f t="shared" si="6"/>
        <v>0.429</v>
      </c>
    </row>
    <row r="32">
      <c r="A32" s="1">
        <v>45.0</v>
      </c>
      <c r="B32" s="1">
        <v>18546.0</v>
      </c>
      <c r="C32" s="26">
        <v>14.393</v>
      </c>
      <c r="D32" s="23">
        <v>15.274</v>
      </c>
      <c r="E32" s="23">
        <v>3.265</v>
      </c>
      <c r="F32" s="1">
        <v>888.9</v>
      </c>
      <c r="G32" s="23">
        <v>0.782</v>
      </c>
      <c r="H32" s="23">
        <v>0.429</v>
      </c>
      <c r="I32" s="1">
        <v>294.9</v>
      </c>
      <c r="J32" s="61">
        <v>1186.9</v>
      </c>
      <c r="K32" s="1">
        <v>29199.0</v>
      </c>
      <c r="L32" s="1">
        <v>100.0</v>
      </c>
      <c r="M32" s="23">
        <v>15.162</v>
      </c>
      <c r="N32" s="23">
        <f t="shared" si="6"/>
        <v>0.429</v>
      </c>
    </row>
    <row r="33">
      <c r="A33" s="1">
        <v>47.0</v>
      </c>
      <c r="B33" s="1">
        <v>20272.0</v>
      </c>
      <c r="C33" s="26">
        <v>14.815</v>
      </c>
      <c r="D33" s="23">
        <v>15.744</v>
      </c>
      <c r="E33" s="23">
        <v>3.345</v>
      </c>
      <c r="F33" s="1">
        <v>888.9</v>
      </c>
      <c r="G33" s="23">
        <v>0.766</v>
      </c>
      <c r="H33" s="23">
        <v>0.429</v>
      </c>
      <c r="I33" s="1">
        <v>294.9</v>
      </c>
      <c r="J33" s="61">
        <v>1104.9</v>
      </c>
      <c r="K33" s="1">
        <v>31915.0</v>
      </c>
      <c r="L33" s="1">
        <v>100.0</v>
      </c>
      <c r="M33" s="23">
        <v>15.177</v>
      </c>
      <c r="N33" s="23">
        <f t="shared" si="6"/>
        <v>0.429</v>
      </c>
    </row>
    <row r="34">
      <c r="A34" s="1">
        <v>49.0</v>
      </c>
      <c r="B34" s="1">
        <v>20272.0</v>
      </c>
      <c r="C34" s="23">
        <v>14.804</v>
      </c>
      <c r="D34" s="23">
        <v>15.744</v>
      </c>
      <c r="E34" s="23">
        <v>3.345</v>
      </c>
      <c r="F34" s="1">
        <v>888.9</v>
      </c>
      <c r="G34" s="23">
        <v>0.766</v>
      </c>
      <c r="H34" s="23">
        <v>0.439</v>
      </c>
      <c r="I34" s="1">
        <v>294.9</v>
      </c>
      <c r="J34" s="61">
        <v>1104.9</v>
      </c>
      <c r="K34" s="1">
        <v>31915.0</v>
      </c>
      <c r="L34" s="1">
        <v>100.0</v>
      </c>
      <c r="M34" s="23">
        <v>15.177</v>
      </c>
      <c r="N34" s="23">
        <f t="shared" si="6"/>
        <v>0.439</v>
      </c>
    </row>
    <row r="35">
      <c r="A35" s="1">
        <v>51.0</v>
      </c>
      <c r="B35" s="1">
        <v>20272.0</v>
      </c>
      <c r="C35" s="23">
        <v>14.821</v>
      </c>
      <c r="D35" s="23">
        <v>15.741</v>
      </c>
      <c r="E35" s="23">
        <v>3.347</v>
      </c>
      <c r="F35" s="1">
        <v>888.9</v>
      </c>
      <c r="G35" s="23">
        <v>0.766</v>
      </c>
      <c r="H35" s="23">
        <v>0.439</v>
      </c>
      <c r="I35" s="1">
        <v>298.9</v>
      </c>
      <c r="J35" s="61">
        <v>1104.9</v>
      </c>
      <c r="K35" s="1">
        <v>31915.0</v>
      </c>
      <c r="L35" s="1">
        <v>100.0</v>
      </c>
      <c r="M35" s="23">
        <v>15.165</v>
      </c>
      <c r="N35" s="23">
        <f t="shared" si="6"/>
        <v>0.439</v>
      </c>
    </row>
    <row r="36">
      <c r="A36" s="1">
        <v>53.0</v>
      </c>
      <c r="B36" s="1">
        <v>20272.0</v>
      </c>
      <c r="C36" s="23">
        <v>14.754</v>
      </c>
      <c r="D36" s="23">
        <v>15.651</v>
      </c>
      <c r="E36" s="23">
        <v>2.927</v>
      </c>
      <c r="F36" s="1">
        <v>888.9</v>
      </c>
      <c r="G36" s="23">
        <v>0.766</v>
      </c>
      <c r="H36" s="23">
        <v>0.431</v>
      </c>
      <c r="I36" s="1">
        <v>298.9</v>
      </c>
      <c r="J36" s="61">
        <v>1104.9</v>
      </c>
      <c r="K36" s="1">
        <v>31915.0</v>
      </c>
      <c r="L36" s="1">
        <v>100.0</v>
      </c>
      <c r="M36" s="23">
        <v>15.165</v>
      </c>
      <c r="N36" s="23">
        <f t="shared" si="6"/>
        <v>0.431</v>
      </c>
    </row>
    <row r="37">
      <c r="A37" s="1">
        <v>55.0</v>
      </c>
      <c r="B37" s="1">
        <v>20272.0</v>
      </c>
      <c r="C37" s="26">
        <v>14.618</v>
      </c>
      <c r="D37" s="23">
        <v>16.34</v>
      </c>
      <c r="E37" s="23">
        <v>2.927</v>
      </c>
      <c r="F37" s="1">
        <v>873.9</v>
      </c>
      <c r="G37" s="23">
        <v>0.766</v>
      </c>
      <c r="H37" s="23">
        <v>0.431</v>
      </c>
      <c r="I37" s="1">
        <v>298.9</v>
      </c>
      <c r="J37" s="61">
        <v>1104.9</v>
      </c>
      <c r="K37" s="1">
        <v>31915.0</v>
      </c>
      <c r="L37" s="1">
        <v>100.0</v>
      </c>
      <c r="M37" s="23">
        <v>15.165</v>
      </c>
      <c r="N37" s="23">
        <f t="shared" si="6"/>
        <v>0.431</v>
      </c>
    </row>
    <row r="38">
      <c r="A38" s="1">
        <v>57.0</v>
      </c>
      <c r="B38" s="1">
        <v>20272.0</v>
      </c>
      <c r="C38" s="26">
        <v>13.966</v>
      </c>
      <c r="D38" s="23">
        <v>16.371</v>
      </c>
      <c r="E38" s="23">
        <v>3.347</v>
      </c>
      <c r="F38" s="1">
        <v>834.6</v>
      </c>
      <c r="G38" s="23">
        <v>0.759</v>
      </c>
      <c r="H38" s="23">
        <v>0.431</v>
      </c>
      <c r="I38" s="1">
        <v>298.9</v>
      </c>
      <c r="J38" s="61">
        <v>1065.7</v>
      </c>
      <c r="K38" s="1">
        <v>31915.0</v>
      </c>
      <c r="L38" s="1">
        <v>100.0</v>
      </c>
      <c r="M38" s="23">
        <v>15.181</v>
      </c>
      <c r="N38" s="23">
        <f t="shared" si="6"/>
        <v>0.431</v>
      </c>
    </row>
    <row r="39">
      <c r="A39" s="1">
        <v>59.0</v>
      </c>
      <c r="B39" s="1">
        <v>20272.0</v>
      </c>
      <c r="C39" s="23">
        <v>14.284</v>
      </c>
      <c r="D39" s="23">
        <v>16.686</v>
      </c>
      <c r="E39" s="23">
        <v>3.347</v>
      </c>
      <c r="F39" s="1">
        <v>834.6</v>
      </c>
      <c r="G39" s="23">
        <v>0.759</v>
      </c>
      <c r="H39" s="23">
        <v>0.421</v>
      </c>
      <c r="I39" s="1">
        <v>298.9</v>
      </c>
      <c r="J39" s="61">
        <v>1065.7</v>
      </c>
      <c r="K39" s="1">
        <v>31915.0</v>
      </c>
      <c r="L39" s="1">
        <v>100.0</v>
      </c>
      <c r="M39" s="23">
        <v>15.181</v>
      </c>
      <c r="N39" s="23">
        <f t="shared" si="6"/>
        <v>0.421</v>
      </c>
    </row>
    <row r="40">
      <c r="A40" s="1">
        <v>61.0</v>
      </c>
      <c r="B40" s="1">
        <v>20272.0</v>
      </c>
      <c r="C40" s="26">
        <v>14.526</v>
      </c>
      <c r="D40" s="23">
        <v>16.266</v>
      </c>
      <c r="E40" s="23">
        <v>3.347</v>
      </c>
      <c r="F40" s="1">
        <v>873.9</v>
      </c>
      <c r="G40" s="23">
        <v>0.766</v>
      </c>
      <c r="H40" s="23">
        <v>0.429</v>
      </c>
      <c r="I40" s="1">
        <v>298.9</v>
      </c>
      <c r="J40" s="61">
        <v>1104.9</v>
      </c>
      <c r="K40" s="1">
        <v>31915.0</v>
      </c>
      <c r="L40" s="1">
        <v>100.0</v>
      </c>
      <c r="M40" s="23">
        <v>15.203</v>
      </c>
      <c r="N40" s="23">
        <f t="shared" si="6"/>
        <v>0.429</v>
      </c>
    </row>
    <row r="41">
      <c r="A41" s="1">
        <v>63.0</v>
      </c>
      <c r="B41" s="1">
        <v>18546.0</v>
      </c>
      <c r="C41" s="26">
        <v>14.495</v>
      </c>
      <c r="D41" s="23">
        <v>16.165</v>
      </c>
      <c r="E41" s="23">
        <v>3.267</v>
      </c>
      <c r="F41" s="1">
        <v>873.9</v>
      </c>
      <c r="G41" s="23">
        <v>0.782</v>
      </c>
      <c r="H41" s="23">
        <v>0.429</v>
      </c>
      <c r="I41" s="1">
        <v>298.9</v>
      </c>
      <c r="J41" s="61">
        <v>1186.9</v>
      </c>
      <c r="K41" s="1">
        <v>29199.0</v>
      </c>
      <c r="L41" s="1">
        <v>100.0</v>
      </c>
      <c r="M41" s="23">
        <v>15.203</v>
      </c>
      <c r="N41" s="23">
        <f t="shared" si="6"/>
        <v>0.429</v>
      </c>
    </row>
    <row r="42">
      <c r="A42" s="1">
        <v>65.0</v>
      </c>
      <c r="B42" s="1">
        <v>18546.0</v>
      </c>
      <c r="C42" s="26">
        <v>14.839</v>
      </c>
      <c r="D42" s="23">
        <v>16.482</v>
      </c>
      <c r="E42" s="23">
        <v>3.387</v>
      </c>
      <c r="F42" s="1">
        <v>873.9</v>
      </c>
      <c r="G42" s="23">
        <v>0.882</v>
      </c>
      <c r="H42" s="23">
        <v>0.459</v>
      </c>
      <c r="I42" s="1">
        <v>298.9</v>
      </c>
      <c r="J42" s="61">
        <v>1186.9</v>
      </c>
      <c r="K42" s="1">
        <v>29199.0</v>
      </c>
      <c r="L42" s="1">
        <v>100.0</v>
      </c>
      <c r="M42" s="23">
        <v>15.197</v>
      </c>
      <c r="N42" s="23">
        <f t="shared" si="6"/>
        <v>0.459</v>
      </c>
    </row>
    <row r="43">
      <c r="A43" s="1">
        <v>67.0</v>
      </c>
      <c r="B43" s="1">
        <v>18546.0</v>
      </c>
      <c r="C43" s="23">
        <v>14.839</v>
      </c>
      <c r="D43" s="23">
        <v>16.351</v>
      </c>
      <c r="E43" s="23">
        <v>2.969</v>
      </c>
      <c r="F43" s="1">
        <v>873.9</v>
      </c>
      <c r="G43" s="23">
        <v>0.882</v>
      </c>
      <c r="H43" s="23">
        <v>0.459</v>
      </c>
      <c r="I43" s="1">
        <v>302.9</v>
      </c>
      <c r="J43" s="61">
        <v>1186.9</v>
      </c>
      <c r="K43" s="1">
        <v>29199.0</v>
      </c>
      <c r="L43" s="1">
        <v>100.0</v>
      </c>
      <c r="M43" s="23">
        <v>15.197</v>
      </c>
      <c r="N43" s="23">
        <f t="shared" si="6"/>
        <v>0.459</v>
      </c>
    </row>
    <row r="44">
      <c r="A44" s="1">
        <v>69.0</v>
      </c>
      <c r="B44" s="1">
        <v>18546.0</v>
      </c>
      <c r="C44" s="26">
        <v>14.861</v>
      </c>
      <c r="D44" s="23">
        <v>16.383</v>
      </c>
      <c r="E44" s="23">
        <v>3.389</v>
      </c>
      <c r="F44" s="1">
        <v>873.9</v>
      </c>
      <c r="G44" s="23">
        <v>0.882</v>
      </c>
      <c r="H44" s="23">
        <v>1.459</v>
      </c>
      <c r="I44" s="1">
        <v>302.9</v>
      </c>
      <c r="J44" s="61">
        <v>1186.9</v>
      </c>
      <c r="K44" s="1">
        <v>29199.0</v>
      </c>
      <c r="L44" s="1">
        <v>100.0</v>
      </c>
      <c r="M44" s="23">
        <v>15.225</v>
      </c>
      <c r="N44" s="23">
        <f t="shared" si="6"/>
        <v>1</v>
      </c>
    </row>
    <row r="45">
      <c r="A45" s="1">
        <v>71.0</v>
      </c>
      <c r="B45" s="1">
        <v>18546.0</v>
      </c>
      <c r="C45" s="23">
        <v>14.883</v>
      </c>
      <c r="D45" s="23">
        <v>16.383</v>
      </c>
      <c r="E45" s="23">
        <v>3.389</v>
      </c>
      <c r="F45" s="1">
        <v>873.9</v>
      </c>
      <c r="G45" s="23">
        <v>0.882</v>
      </c>
      <c r="H45" s="23">
        <v>1.452</v>
      </c>
      <c r="I45" s="1">
        <v>302.9</v>
      </c>
      <c r="J45" s="61">
        <v>1186.9</v>
      </c>
      <c r="K45" s="1">
        <v>29199.0</v>
      </c>
      <c r="L45" s="1">
        <v>100.0</v>
      </c>
      <c r="M45" s="23">
        <v>15.225</v>
      </c>
      <c r="N45" s="23">
        <f t="shared" si="6"/>
        <v>1</v>
      </c>
    </row>
    <row r="46">
      <c r="A46" s="1">
        <v>73.0</v>
      </c>
      <c r="B46" s="1">
        <v>18546.0</v>
      </c>
      <c r="C46" s="23">
        <v>14.894</v>
      </c>
      <c r="D46" s="23">
        <v>16.384</v>
      </c>
      <c r="E46" s="23">
        <v>3.393</v>
      </c>
      <c r="F46" s="1">
        <v>873.9</v>
      </c>
      <c r="G46" s="23">
        <v>0.882</v>
      </c>
      <c r="H46" s="23">
        <v>1.452</v>
      </c>
      <c r="I46" s="1">
        <v>310.9</v>
      </c>
      <c r="J46" s="61">
        <v>1186.9</v>
      </c>
      <c r="K46" s="1">
        <v>29199.0</v>
      </c>
      <c r="L46" s="1">
        <v>100.0</v>
      </c>
      <c r="M46" s="23">
        <v>15.225</v>
      </c>
      <c r="N46" s="23">
        <f t="shared" si="6"/>
        <v>1</v>
      </c>
    </row>
    <row r="47">
      <c r="A47" s="1">
        <v>75.0</v>
      </c>
      <c r="B47" s="1">
        <v>21997.0</v>
      </c>
      <c r="C47" s="23">
        <v>16.559</v>
      </c>
      <c r="D47" s="23">
        <v>18.011</v>
      </c>
      <c r="E47" s="23">
        <v>3.555</v>
      </c>
      <c r="F47" s="1">
        <v>873.9</v>
      </c>
      <c r="G47" s="23">
        <v>0.782</v>
      </c>
      <c r="H47" s="23">
        <v>0.429</v>
      </c>
      <c r="I47" s="1">
        <v>314.9</v>
      </c>
      <c r="J47" s="61">
        <v>1186.9</v>
      </c>
      <c r="K47" s="1">
        <v>34632.0</v>
      </c>
      <c r="L47" s="1">
        <v>100.0</v>
      </c>
      <c r="M47" s="23">
        <v>15.225</v>
      </c>
      <c r="N47" s="23">
        <f t="shared" si="6"/>
        <v>0.429</v>
      </c>
    </row>
    <row r="48">
      <c r="A48" s="1">
        <v>77.0</v>
      </c>
      <c r="B48" s="1">
        <v>21134.0</v>
      </c>
      <c r="C48" s="23">
        <v>17.081</v>
      </c>
      <c r="D48" s="23">
        <v>18.548</v>
      </c>
      <c r="E48" s="23">
        <v>3.515</v>
      </c>
      <c r="F48" s="1">
        <v>873.9</v>
      </c>
      <c r="G48" s="23">
        <v>0.782</v>
      </c>
      <c r="H48" s="23">
        <v>0.429</v>
      </c>
      <c r="I48" s="1">
        <v>314.9</v>
      </c>
      <c r="J48" s="61">
        <v>1186.9</v>
      </c>
      <c r="K48" s="1">
        <v>33273.0</v>
      </c>
      <c r="L48" s="1">
        <v>100.0</v>
      </c>
      <c r="M48" s="26">
        <v>15.475</v>
      </c>
      <c r="N48" s="23">
        <f t="shared" si="6"/>
        <v>0.429</v>
      </c>
    </row>
    <row r="49">
      <c r="A49" s="1">
        <v>79.0</v>
      </c>
      <c r="B49" s="1">
        <v>22859.0</v>
      </c>
      <c r="C49" s="23">
        <v>16.926</v>
      </c>
      <c r="D49" s="23">
        <v>18.366</v>
      </c>
      <c r="E49" s="23">
        <v>3.595</v>
      </c>
      <c r="F49" s="1">
        <v>873.9</v>
      </c>
      <c r="G49" s="23">
        <v>0.782</v>
      </c>
      <c r="H49" s="23">
        <v>0.429</v>
      </c>
      <c r="I49" s="1">
        <v>314.9</v>
      </c>
      <c r="J49" s="61">
        <v>1186.9</v>
      </c>
      <c r="K49" s="1">
        <v>35990.0</v>
      </c>
      <c r="L49" s="1">
        <v>100.0</v>
      </c>
      <c r="M49" s="26">
        <v>15.475</v>
      </c>
      <c r="N49" s="23">
        <f t="shared" si="6"/>
        <v>0.429</v>
      </c>
    </row>
    <row r="50">
      <c r="A50" s="1">
        <v>81.0</v>
      </c>
      <c r="B50" s="1">
        <v>22478.0</v>
      </c>
      <c r="C50" s="23">
        <v>16.858</v>
      </c>
      <c r="D50" s="23">
        <v>18.362</v>
      </c>
      <c r="E50" s="23">
        <v>3.477</v>
      </c>
      <c r="F50" s="1">
        <v>873.9</v>
      </c>
      <c r="G50" s="23">
        <v>0.763</v>
      </c>
      <c r="H50" s="23">
        <v>0.429</v>
      </c>
      <c r="I50" s="1">
        <v>318.9</v>
      </c>
      <c r="J50" s="61">
        <v>1085.1</v>
      </c>
      <c r="K50" s="1">
        <v>35990.0</v>
      </c>
      <c r="L50" s="1">
        <v>100.0</v>
      </c>
      <c r="M50" s="23">
        <v>15.475</v>
      </c>
      <c r="N50" s="23">
        <f t="shared" si="6"/>
        <v>0.429</v>
      </c>
    </row>
    <row r="51">
      <c r="A51" s="1">
        <v>83.0</v>
      </c>
      <c r="B51" s="1">
        <v>22859.0</v>
      </c>
      <c r="C51" s="23">
        <v>16.847</v>
      </c>
      <c r="D51" s="23">
        <v>18.336</v>
      </c>
      <c r="E51" s="23">
        <v>3.477</v>
      </c>
      <c r="F51" s="1">
        <v>873.9</v>
      </c>
      <c r="G51" s="23">
        <v>0.763</v>
      </c>
      <c r="H51" s="23">
        <v>0.429</v>
      </c>
      <c r="I51" s="1">
        <v>318.9</v>
      </c>
      <c r="J51" s="61">
        <v>1085.1</v>
      </c>
      <c r="K51" s="1">
        <v>35990.0</v>
      </c>
      <c r="L51" s="1">
        <v>100.0</v>
      </c>
      <c r="M51" s="23">
        <v>15.505</v>
      </c>
      <c r="N51" s="23">
        <f t="shared" si="6"/>
        <v>0.429</v>
      </c>
    </row>
    <row r="52">
      <c r="A52" s="1">
        <v>85.0</v>
      </c>
      <c r="B52" s="1">
        <v>22859.0</v>
      </c>
      <c r="C52" s="23">
        <v>16.915</v>
      </c>
      <c r="D52" s="23">
        <v>18.369</v>
      </c>
      <c r="E52" s="23">
        <v>3.477</v>
      </c>
      <c r="F52" s="1">
        <v>873.9</v>
      </c>
      <c r="G52" s="23">
        <v>0.766</v>
      </c>
      <c r="H52" s="23">
        <v>0.439</v>
      </c>
      <c r="I52" s="1">
        <v>318.9</v>
      </c>
      <c r="J52" s="61">
        <v>1104.9</v>
      </c>
      <c r="K52" s="1">
        <v>35990.0</v>
      </c>
      <c r="L52" s="1">
        <v>100.0</v>
      </c>
      <c r="M52" s="23">
        <v>15.505</v>
      </c>
      <c r="N52" s="23">
        <f t="shared" si="6"/>
        <v>0.439</v>
      </c>
    </row>
    <row r="53">
      <c r="A53" s="1">
        <v>87.0</v>
      </c>
      <c r="B53" s="1">
        <v>22859.0</v>
      </c>
      <c r="C53" s="23">
        <v>16.938</v>
      </c>
      <c r="D53" s="23">
        <v>19.25</v>
      </c>
      <c r="E53" s="23">
        <v>3.477</v>
      </c>
      <c r="F53" s="1">
        <v>888.9</v>
      </c>
      <c r="G53" s="23">
        <v>0.766</v>
      </c>
      <c r="H53" s="23">
        <v>0.439</v>
      </c>
      <c r="I53" s="1">
        <v>318.9</v>
      </c>
      <c r="J53" s="61">
        <v>1104.9</v>
      </c>
      <c r="K53" s="1">
        <v>35990.0</v>
      </c>
      <c r="L53" s="1">
        <v>100.0</v>
      </c>
      <c r="M53" s="23">
        <v>15.508</v>
      </c>
      <c r="N53" s="23">
        <f t="shared" si="6"/>
        <v>0.439</v>
      </c>
    </row>
    <row r="54">
      <c r="A54" s="1">
        <v>89.0</v>
      </c>
      <c r="B54" s="1">
        <v>22859.0</v>
      </c>
      <c r="C54" s="23">
        <v>15.495</v>
      </c>
      <c r="D54" s="23">
        <v>17.82</v>
      </c>
      <c r="E54" s="23">
        <v>3.477</v>
      </c>
      <c r="F54" s="1">
        <v>888.9</v>
      </c>
      <c r="G54" s="23">
        <v>0.766</v>
      </c>
      <c r="H54" s="23">
        <v>0.439</v>
      </c>
      <c r="I54" s="1">
        <v>318.9</v>
      </c>
      <c r="J54" s="61">
        <v>1104.9</v>
      </c>
      <c r="K54" s="1">
        <v>35990.0</v>
      </c>
      <c r="L54" s="1">
        <v>100.0</v>
      </c>
      <c r="M54" s="23">
        <v>15.508</v>
      </c>
      <c r="N54" s="23">
        <f t="shared" si="6"/>
        <v>0.439</v>
      </c>
    </row>
    <row r="55">
      <c r="A55" s="1">
        <v>91.0</v>
      </c>
      <c r="B55" s="1">
        <v>20272.0</v>
      </c>
      <c r="C55" s="26">
        <v>14.301</v>
      </c>
      <c r="D55" s="23">
        <v>16.605</v>
      </c>
      <c r="E55" s="23">
        <v>3.437</v>
      </c>
      <c r="F55" s="1">
        <v>888.9</v>
      </c>
      <c r="G55" s="23">
        <v>0.766</v>
      </c>
      <c r="H55" s="23">
        <v>0.439</v>
      </c>
      <c r="I55" s="1">
        <v>318.9</v>
      </c>
      <c r="J55" s="61">
        <v>1104.9</v>
      </c>
      <c r="K55" s="1">
        <v>31915.0</v>
      </c>
      <c r="L55" s="1">
        <v>100.0</v>
      </c>
      <c r="M55" s="23">
        <v>15.349</v>
      </c>
      <c r="N55" s="23">
        <f t="shared" si="6"/>
        <v>0.439</v>
      </c>
    </row>
    <row r="56">
      <c r="A56" s="1">
        <v>93.0</v>
      </c>
      <c r="B56" s="1">
        <v>18546.0</v>
      </c>
      <c r="C56" s="23">
        <v>14.49</v>
      </c>
      <c r="D56" s="23">
        <v>16.79</v>
      </c>
      <c r="E56" s="23">
        <v>3.457</v>
      </c>
      <c r="F56" s="1">
        <v>888.9</v>
      </c>
      <c r="G56" s="23">
        <v>0.766</v>
      </c>
      <c r="H56" s="23">
        <v>0.439</v>
      </c>
      <c r="I56" s="1">
        <v>318.9</v>
      </c>
      <c r="J56" s="61">
        <v>1104.9</v>
      </c>
      <c r="K56" s="1">
        <v>29199.0</v>
      </c>
      <c r="L56" s="1">
        <v>100.0</v>
      </c>
      <c r="M56" s="23">
        <v>15.349</v>
      </c>
      <c r="N56" s="23">
        <f t="shared" si="6"/>
        <v>0.439</v>
      </c>
    </row>
    <row r="57">
      <c r="A57" s="1">
        <v>95.0</v>
      </c>
      <c r="B57" s="1">
        <v>18546.0</v>
      </c>
      <c r="C57" s="23">
        <v>14.113</v>
      </c>
      <c r="D57" s="23">
        <v>16.933</v>
      </c>
      <c r="E57" s="23">
        <v>3.377</v>
      </c>
      <c r="F57" s="1">
        <v>888.9</v>
      </c>
      <c r="G57" s="23">
        <v>0.766</v>
      </c>
      <c r="H57" s="23">
        <v>0.439</v>
      </c>
      <c r="I57" s="1">
        <v>318.9</v>
      </c>
      <c r="J57" s="61">
        <v>1104.9</v>
      </c>
      <c r="K57" s="1">
        <v>29199.0</v>
      </c>
      <c r="L57" s="1">
        <v>100.0</v>
      </c>
      <c r="M57" s="23">
        <v>15.222</v>
      </c>
      <c r="N57" s="23">
        <f t="shared" si="6"/>
        <v>0.439</v>
      </c>
    </row>
    <row r="58">
      <c r="A58" s="1">
        <v>97.0</v>
      </c>
      <c r="B58" s="1">
        <v>18546.0</v>
      </c>
      <c r="C58" s="23">
        <v>14.167</v>
      </c>
      <c r="D58" s="23">
        <v>16.941</v>
      </c>
      <c r="E58" s="23">
        <v>3.627</v>
      </c>
      <c r="F58" s="1">
        <v>888.9</v>
      </c>
      <c r="G58" s="23">
        <v>0.782</v>
      </c>
      <c r="H58" s="23">
        <v>0.439</v>
      </c>
      <c r="I58" s="1">
        <v>318.9</v>
      </c>
      <c r="J58" s="61">
        <v>1186.9</v>
      </c>
      <c r="K58" s="1">
        <v>29199.0</v>
      </c>
      <c r="L58" s="1">
        <v>100.0</v>
      </c>
      <c r="M58" s="23">
        <v>15.222</v>
      </c>
      <c r="N58" s="23">
        <f t="shared" si="6"/>
        <v>0.439</v>
      </c>
    </row>
    <row r="59">
      <c r="A59" s="1">
        <v>99.0</v>
      </c>
      <c r="B59" s="1">
        <v>18546.0</v>
      </c>
      <c r="C59" s="23">
        <v>16.555</v>
      </c>
      <c r="D59" s="23">
        <v>16.048</v>
      </c>
      <c r="E59" s="23">
        <v>3.627</v>
      </c>
      <c r="F59" s="1">
        <v>873.9</v>
      </c>
      <c r="G59" s="23">
        <v>0.782</v>
      </c>
      <c r="H59" s="23">
        <v>0.439</v>
      </c>
      <c r="I59" s="1">
        <v>318.9</v>
      </c>
      <c r="J59" s="61">
        <v>1186.9</v>
      </c>
      <c r="K59" s="1">
        <v>29199.0</v>
      </c>
      <c r="L59" s="1">
        <v>100.0</v>
      </c>
      <c r="M59" s="23">
        <v>15.164</v>
      </c>
      <c r="N59" s="23">
        <f t="shared" si="6"/>
        <v>0.439</v>
      </c>
    </row>
    <row r="60">
      <c r="A60" s="1">
        <v>101.0</v>
      </c>
      <c r="B60" s="1">
        <v>18546.0</v>
      </c>
      <c r="C60" s="23">
        <v>16.217</v>
      </c>
      <c r="D60" s="23">
        <v>16.398</v>
      </c>
      <c r="E60" s="23">
        <v>4.28</v>
      </c>
      <c r="F60" s="1">
        <v>849.6</v>
      </c>
      <c r="G60" s="23">
        <v>0.775</v>
      </c>
      <c r="H60" s="23">
        <v>0.439</v>
      </c>
      <c r="I60" s="1">
        <v>318.9</v>
      </c>
      <c r="J60" s="61">
        <v>1147.6</v>
      </c>
      <c r="K60" s="1">
        <v>29199.0</v>
      </c>
      <c r="L60" s="1">
        <v>100.0</v>
      </c>
      <c r="M60" s="23">
        <v>15.164</v>
      </c>
      <c r="N60" s="23">
        <f t="shared" si="6"/>
        <v>0.439</v>
      </c>
    </row>
    <row r="61">
      <c r="A61" s="1">
        <v>103.0</v>
      </c>
      <c r="B61" s="1">
        <v>18546.0</v>
      </c>
      <c r="C61" s="23">
        <v>16.181</v>
      </c>
      <c r="D61" s="26">
        <v>16.404</v>
      </c>
      <c r="E61" s="23">
        <v>4.28</v>
      </c>
      <c r="F61" s="1">
        <v>849.6</v>
      </c>
      <c r="G61" s="23">
        <v>0.775</v>
      </c>
      <c r="H61" s="23">
        <v>0.429</v>
      </c>
      <c r="I61" s="1">
        <v>318.9</v>
      </c>
      <c r="J61" s="61">
        <v>1147.6</v>
      </c>
      <c r="K61" s="1">
        <v>29199.0</v>
      </c>
      <c r="L61" s="1">
        <v>100.0</v>
      </c>
      <c r="M61" s="23">
        <v>15.191</v>
      </c>
      <c r="N61" s="23">
        <f t="shared" si="6"/>
        <v>0.429</v>
      </c>
    </row>
    <row r="62">
      <c r="A62" s="1">
        <v>105.0</v>
      </c>
      <c r="B62" s="1">
        <v>18546.0</v>
      </c>
      <c r="C62" s="23">
        <v>16.181</v>
      </c>
      <c r="D62" s="26">
        <v>16.404</v>
      </c>
      <c r="E62" s="23">
        <v>4.28</v>
      </c>
      <c r="F62" s="1">
        <v>849.6</v>
      </c>
      <c r="G62" s="23">
        <v>0.775</v>
      </c>
      <c r="H62" s="23">
        <v>0.429</v>
      </c>
      <c r="I62" s="1">
        <v>318.9</v>
      </c>
      <c r="J62" s="61">
        <v>1147.6</v>
      </c>
      <c r="K62" s="1">
        <v>29199.0</v>
      </c>
      <c r="L62" s="1">
        <v>100.0</v>
      </c>
      <c r="M62" s="23">
        <v>15.191</v>
      </c>
      <c r="N62" s="23">
        <f t="shared" si="6"/>
        <v>0.429</v>
      </c>
    </row>
    <row r="63">
      <c r="A63" s="1">
        <v>107.0</v>
      </c>
      <c r="B63" s="1">
        <v>18546.0</v>
      </c>
      <c r="C63" s="23">
        <v>16.832</v>
      </c>
      <c r="D63" s="23">
        <v>15.661</v>
      </c>
      <c r="E63" s="23">
        <v>4.28</v>
      </c>
      <c r="F63" s="1">
        <v>888.9</v>
      </c>
      <c r="G63" s="23">
        <v>0.782</v>
      </c>
      <c r="H63" s="23">
        <v>0.429</v>
      </c>
      <c r="I63" s="1">
        <v>318.9</v>
      </c>
      <c r="J63" s="61">
        <v>1186.9</v>
      </c>
      <c r="K63" s="1">
        <v>29199.0</v>
      </c>
      <c r="L63" s="1">
        <v>100.0</v>
      </c>
      <c r="M63" s="23">
        <v>15.152</v>
      </c>
      <c r="N63" s="23">
        <f t="shared" si="6"/>
        <v>0.429</v>
      </c>
    </row>
    <row r="64">
      <c r="A64" s="1">
        <v>110.0</v>
      </c>
      <c r="B64" s="1">
        <v>18546.0</v>
      </c>
      <c r="C64" s="23">
        <v>16.794</v>
      </c>
      <c r="D64" s="26">
        <v>15.661</v>
      </c>
      <c r="E64" s="23">
        <v>4.28</v>
      </c>
      <c r="F64" s="1">
        <v>888.9</v>
      </c>
      <c r="G64" s="23">
        <v>0.782</v>
      </c>
      <c r="H64" s="23">
        <v>0.429</v>
      </c>
      <c r="I64" s="1">
        <v>318.9</v>
      </c>
      <c r="J64" s="61">
        <v>1186.9</v>
      </c>
      <c r="K64" s="1">
        <v>29199.0</v>
      </c>
      <c r="L64" s="1">
        <v>100.0</v>
      </c>
      <c r="M64" s="23">
        <v>15.152</v>
      </c>
      <c r="N64" s="23">
        <f t="shared" si="6"/>
        <v>0.429</v>
      </c>
    </row>
    <row r="65">
      <c r="A65" s="1">
        <v>112.0</v>
      </c>
      <c r="B65" s="1">
        <v>20272.0</v>
      </c>
      <c r="C65" s="26">
        <v>17.6</v>
      </c>
      <c r="D65" s="26">
        <v>16.338</v>
      </c>
      <c r="E65" s="23">
        <v>4.368</v>
      </c>
      <c r="F65" s="1">
        <v>888.9</v>
      </c>
      <c r="G65" s="23">
        <v>0.882</v>
      </c>
      <c r="H65" s="23">
        <v>0.451</v>
      </c>
      <c r="I65" s="1">
        <v>318.9</v>
      </c>
      <c r="J65" s="61">
        <v>1186.9</v>
      </c>
      <c r="K65" s="1">
        <v>31915.0</v>
      </c>
      <c r="L65" s="1">
        <v>100.0</v>
      </c>
      <c r="M65" s="23">
        <v>15.152</v>
      </c>
      <c r="N65" s="23">
        <f t="shared" si="6"/>
        <v>0.451</v>
      </c>
    </row>
    <row r="66">
      <c r="A66" s="1">
        <v>114.0</v>
      </c>
      <c r="B66" s="1">
        <v>20272.0</v>
      </c>
      <c r="C66" s="23">
        <v>17.533</v>
      </c>
      <c r="D66" s="23">
        <v>16.34</v>
      </c>
      <c r="E66" s="26">
        <v>4.259</v>
      </c>
      <c r="F66" s="1">
        <v>888.9</v>
      </c>
      <c r="G66" s="23">
        <v>0.866</v>
      </c>
      <c r="H66" s="23">
        <v>0.469</v>
      </c>
      <c r="I66" s="1">
        <v>318.9</v>
      </c>
      <c r="J66" s="61">
        <v>1104.9</v>
      </c>
      <c r="K66" s="1">
        <v>31915.0</v>
      </c>
      <c r="L66" s="1">
        <v>100.0</v>
      </c>
      <c r="M66" s="23">
        <v>15.177</v>
      </c>
      <c r="N66" s="23">
        <f t="shared" si="6"/>
        <v>0.469</v>
      </c>
    </row>
    <row r="67">
      <c r="A67" s="1">
        <v>116.0</v>
      </c>
      <c r="B67" s="1">
        <v>20272.0</v>
      </c>
      <c r="C67" s="23">
        <v>17.804</v>
      </c>
      <c r="D67" s="23">
        <v>16.55</v>
      </c>
      <c r="E67" s="23">
        <v>4.259</v>
      </c>
      <c r="F67" s="1">
        <v>888.9</v>
      </c>
      <c r="G67" s="23">
        <v>0.866</v>
      </c>
      <c r="H67" s="23">
        <v>0.469</v>
      </c>
      <c r="I67" s="1">
        <v>318.9</v>
      </c>
      <c r="J67" s="61">
        <v>1104.9</v>
      </c>
      <c r="K67" s="1">
        <v>31915.0</v>
      </c>
      <c r="L67" s="1">
        <v>100.0</v>
      </c>
      <c r="M67" s="23">
        <v>15.177</v>
      </c>
      <c r="N67" s="23">
        <f t="shared" si="6"/>
        <v>0.469</v>
      </c>
    </row>
    <row r="68">
      <c r="A68" s="1">
        <v>118.0</v>
      </c>
      <c r="B68" s="1">
        <v>20272.0</v>
      </c>
      <c r="C68" s="23">
        <v>17.804</v>
      </c>
      <c r="D68" s="23">
        <v>16.55</v>
      </c>
      <c r="E68" s="23">
        <v>4.259</v>
      </c>
      <c r="F68" s="1">
        <v>888.9</v>
      </c>
      <c r="G68" s="23">
        <v>0.866</v>
      </c>
      <c r="H68" s="23">
        <v>0.469</v>
      </c>
      <c r="I68" s="1">
        <v>318.9</v>
      </c>
      <c r="J68" s="61">
        <v>1104.9</v>
      </c>
      <c r="K68" s="1">
        <v>31915.0</v>
      </c>
      <c r="L68" s="1">
        <v>100.0</v>
      </c>
      <c r="M68" s="23">
        <v>15.177</v>
      </c>
      <c r="N68" s="23">
        <f t="shared" si="6"/>
        <v>0.469</v>
      </c>
    </row>
    <row r="69">
      <c r="A69" s="1">
        <v>120.0</v>
      </c>
      <c r="B69" s="1">
        <v>20272.0</v>
      </c>
      <c r="C69" s="23">
        <v>17.804</v>
      </c>
      <c r="D69" s="23">
        <v>16.534</v>
      </c>
      <c r="E69" s="23">
        <v>3.727</v>
      </c>
      <c r="F69" s="1">
        <v>888.9</v>
      </c>
      <c r="G69" s="23">
        <v>0.866</v>
      </c>
      <c r="H69" s="23">
        <v>0.469</v>
      </c>
      <c r="I69" s="1">
        <v>318.9</v>
      </c>
      <c r="J69" s="61">
        <v>1104.9</v>
      </c>
      <c r="K69" s="1">
        <v>31915.0</v>
      </c>
      <c r="L69" s="1">
        <v>100.0</v>
      </c>
      <c r="M69" s="23">
        <v>15.177</v>
      </c>
      <c r="N69" s="23">
        <f t="shared" si="6"/>
        <v>0.469</v>
      </c>
    </row>
    <row r="70">
      <c r="A70" s="1">
        <v>122.0</v>
      </c>
      <c r="B70" s="1">
        <v>20272.0</v>
      </c>
      <c r="C70" s="23">
        <v>17.804</v>
      </c>
      <c r="D70" s="23">
        <v>16.507</v>
      </c>
      <c r="E70" s="23">
        <v>3.307</v>
      </c>
      <c r="F70" s="1">
        <v>888.9</v>
      </c>
      <c r="G70" s="23">
        <v>0.766</v>
      </c>
      <c r="H70" s="23">
        <v>0.439</v>
      </c>
      <c r="I70" s="1">
        <v>318.9</v>
      </c>
      <c r="J70" s="61">
        <v>1104.9</v>
      </c>
      <c r="K70" s="1">
        <v>31915.0</v>
      </c>
      <c r="L70" s="1">
        <v>100.0</v>
      </c>
      <c r="M70" s="23">
        <v>15.178</v>
      </c>
      <c r="N70" s="23">
        <f t="shared" si="6"/>
        <v>0.439</v>
      </c>
    </row>
    <row r="71">
      <c r="A71" s="1">
        <v>124.0</v>
      </c>
      <c r="B71" s="1">
        <v>20272.0</v>
      </c>
      <c r="C71" s="26">
        <v>17.804</v>
      </c>
      <c r="D71" s="23">
        <v>16.507</v>
      </c>
      <c r="E71" s="23">
        <v>3.307</v>
      </c>
      <c r="F71" s="1">
        <v>888.9</v>
      </c>
      <c r="G71" s="23">
        <v>0.766</v>
      </c>
      <c r="H71" s="23">
        <v>0.439</v>
      </c>
      <c r="I71" s="1">
        <v>318.9</v>
      </c>
      <c r="J71" s="61">
        <v>1104.9</v>
      </c>
      <c r="K71" s="1">
        <v>31915.0</v>
      </c>
      <c r="L71" s="1">
        <v>100.0</v>
      </c>
      <c r="M71" s="23">
        <v>15.178</v>
      </c>
      <c r="N71" s="23">
        <f t="shared" si="6"/>
        <v>0.439</v>
      </c>
    </row>
    <row r="72">
      <c r="A72" s="1">
        <v>126.0</v>
      </c>
      <c r="B72" s="1">
        <v>20272.0</v>
      </c>
      <c r="C72" s="23">
        <v>16.796</v>
      </c>
      <c r="D72" s="23">
        <v>15.658</v>
      </c>
      <c r="E72" s="23">
        <v>3.307</v>
      </c>
      <c r="F72" s="1">
        <v>873.9</v>
      </c>
      <c r="G72" s="23">
        <v>0.766</v>
      </c>
      <c r="H72" s="23">
        <v>0.439</v>
      </c>
      <c r="I72" s="1">
        <v>318.9</v>
      </c>
      <c r="J72" s="61">
        <v>1104.9</v>
      </c>
      <c r="K72" s="1">
        <v>31915.0</v>
      </c>
      <c r="L72" s="1">
        <v>100.0</v>
      </c>
      <c r="M72" s="26">
        <v>15.139</v>
      </c>
      <c r="N72" s="23">
        <f t="shared" si="6"/>
        <v>0.439</v>
      </c>
    </row>
    <row r="73">
      <c r="A73" s="1">
        <v>128.0</v>
      </c>
      <c r="B73" s="1">
        <v>18237.0</v>
      </c>
      <c r="C73" s="23">
        <v>16.834</v>
      </c>
      <c r="D73" s="23">
        <v>16.136</v>
      </c>
      <c r="E73" s="23">
        <v>3.227</v>
      </c>
      <c r="F73" s="1">
        <v>873.9</v>
      </c>
      <c r="G73" s="23">
        <v>0.766</v>
      </c>
      <c r="H73" s="23">
        <v>0.439</v>
      </c>
      <c r="I73" s="1">
        <v>318.9</v>
      </c>
      <c r="J73" s="61">
        <v>1104.9</v>
      </c>
      <c r="K73" s="1">
        <v>29199.0</v>
      </c>
      <c r="L73" s="1">
        <v>100.0</v>
      </c>
      <c r="M73" s="26">
        <v>15.139</v>
      </c>
      <c r="N73" s="23">
        <f t="shared" si="6"/>
        <v>0.439</v>
      </c>
    </row>
    <row r="74">
      <c r="A74" s="1">
        <v>130.0</v>
      </c>
      <c r="B74" s="1">
        <v>18237.0</v>
      </c>
      <c r="C74" s="23">
        <v>16.851</v>
      </c>
      <c r="D74" s="23">
        <v>15.577</v>
      </c>
      <c r="E74" s="23">
        <v>3.227</v>
      </c>
      <c r="F74" s="1">
        <v>873.9</v>
      </c>
      <c r="G74" s="23">
        <v>0.782</v>
      </c>
      <c r="H74" s="23">
        <v>0.439</v>
      </c>
      <c r="I74" s="1">
        <v>318.9</v>
      </c>
      <c r="J74" s="61">
        <v>1186.9</v>
      </c>
      <c r="K74" s="1">
        <v>29199.0</v>
      </c>
      <c r="L74" s="1">
        <v>100.0</v>
      </c>
      <c r="M74" s="23">
        <v>15.122</v>
      </c>
      <c r="N74" s="23">
        <f t="shared" si="6"/>
        <v>0.439</v>
      </c>
    </row>
    <row r="75">
      <c r="A75" s="1">
        <v>132.0</v>
      </c>
      <c r="B75" s="1">
        <v>18546.0</v>
      </c>
      <c r="C75" s="23">
        <v>16.926</v>
      </c>
      <c r="D75" s="23">
        <v>15.635</v>
      </c>
      <c r="E75" s="23">
        <v>3.647</v>
      </c>
      <c r="F75" s="1">
        <v>873.9</v>
      </c>
      <c r="G75" s="23">
        <v>0.782</v>
      </c>
      <c r="H75" s="23">
        <v>1.439</v>
      </c>
      <c r="I75" s="1">
        <v>318.9</v>
      </c>
      <c r="J75" s="61">
        <v>1186.9</v>
      </c>
      <c r="K75" s="1">
        <v>29199.0</v>
      </c>
      <c r="L75" s="1">
        <v>100.0</v>
      </c>
      <c r="M75" s="23">
        <v>15.122</v>
      </c>
      <c r="N75" s="23">
        <f t="shared" si="6"/>
        <v>1</v>
      </c>
    </row>
    <row r="76">
      <c r="A76" s="1">
        <v>134.0</v>
      </c>
      <c r="B76" s="1">
        <v>18546.0</v>
      </c>
      <c r="C76" s="23">
        <v>16.548</v>
      </c>
      <c r="D76" s="23">
        <v>16.065</v>
      </c>
      <c r="E76" s="23">
        <v>3.647</v>
      </c>
      <c r="F76" s="1">
        <v>888.9</v>
      </c>
      <c r="G76" s="23">
        <v>0.782</v>
      </c>
      <c r="H76" s="23">
        <v>1.429</v>
      </c>
      <c r="I76" s="1">
        <v>318.9</v>
      </c>
      <c r="J76" s="61">
        <v>1186.9</v>
      </c>
      <c r="K76" s="1">
        <v>29199.0</v>
      </c>
      <c r="L76" s="1">
        <v>100.0</v>
      </c>
      <c r="M76" s="23">
        <v>15.24</v>
      </c>
      <c r="N76" s="23">
        <f t="shared" si="6"/>
        <v>1</v>
      </c>
    </row>
    <row r="77">
      <c r="A77" s="1">
        <v>136.0</v>
      </c>
      <c r="B77" s="1">
        <v>18546.0</v>
      </c>
      <c r="C77" s="23">
        <v>16.561</v>
      </c>
      <c r="D77" s="23">
        <v>17.142</v>
      </c>
      <c r="E77" s="23">
        <v>3.277</v>
      </c>
      <c r="F77" s="1">
        <v>888.9</v>
      </c>
      <c r="G77" s="23">
        <v>0.782</v>
      </c>
      <c r="H77" s="23">
        <v>0.429</v>
      </c>
      <c r="I77" s="1">
        <v>318.9</v>
      </c>
      <c r="J77" s="61">
        <v>1186.9</v>
      </c>
      <c r="K77" s="1">
        <v>29199.0</v>
      </c>
      <c r="L77" s="1">
        <v>100.0</v>
      </c>
      <c r="M77" s="23">
        <v>15.24</v>
      </c>
      <c r="N77" s="23">
        <f t="shared" si="6"/>
        <v>0.429</v>
      </c>
    </row>
    <row r="78">
      <c r="A78" s="1">
        <v>138.0</v>
      </c>
      <c r="B78" s="1">
        <v>18546.0</v>
      </c>
      <c r="C78" s="23">
        <v>16.586</v>
      </c>
      <c r="D78" s="23">
        <v>18.022</v>
      </c>
      <c r="E78" s="23">
        <v>3.277</v>
      </c>
      <c r="F78" s="1">
        <v>888.9</v>
      </c>
      <c r="G78" s="23">
        <v>0.782</v>
      </c>
      <c r="H78" s="23">
        <v>0.429</v>
      </c>
      <c r="I78" s="1">
        <v>318.9</v>
      </c>
      <c r="J78" s="61">
        <v>1186.9</v>
      </c>
      <c r="K78" s="1">
        <v>29199.0</v>
      </c>
      <c r="L78" s="1">
        <v>100.0</v>
      </c>
      <c r="M78" s="23">
        <v>15.24</v>
      </c>
      <c r="N78" s="23">
        <f t="shared" si="6"/>
        <v>0.429</v>
      </c>
    </row>
    <row r="79">
      <c r="A79" s="1">
        <v>140.0</v>
      </c>
      <c r="B79" s="1">
        <v>18546.0</v>
      </c>
      <c r="C79" s="23">
        <v>15.994</v>
      </c>
      <c r="D79" s="23">
        <v>16.965</v>
      </c>
      <c r="E79" s="23">
        <v>3.277</v>
      </c>
      <c r="F79" s="1">
        <v>888.9</v>
      </c>
      <c r="G79" s="23">
        <v>0.782</v>
      </c>
      <c r="H79" s="23">
        <v>0.429</v>
      </c>
      <c r="I79" s="1">
        <v>318.9</v>
      </c>
      <c r="J79" s="61">
        <v>1186.9</v>
      </c>
      <c r="K79" s="1">
        <v>29199.0</v>
      </c>
      <c r="L79" s="1">
        <v>100.0</v>
      </c>
      <c r="M79" s="23">
        <v>15.381</v>
      </c>
      <c r="N79" s="23">
        <f t="shared" si="6"/>
        <v>0.429</v>
      </c>
    </row>
    <row r="80">
      <c r="A80" s="1">
        <v>142.0</v>
      </c>
      <c r="B80" s="1">
        <v>18546.0</v>
      </c>
      <c r="C80" s="23">
        <v>16.611</v>
      </c>
      <c r="D80" s="23">
        <v>16.965</v>
      </c>
      <c r="E80" s="23">
        <v>3.277</v>
      </c>
      <c r="F80" s="1">
        <v>888.9</v>
      </c>
      <c r="G80" s="23">
        <v>0.782</v>
      </c>
      <c r="H80" s="23">
        <v>0.429</v>
      </c>
      <c r="I80" s="1">
        <v>318.9</v>
      </c>
      <c r="J80" s="61">
        <v>1186.9</v>
      </c>
      <c r="K80" s="1">
        <v>29199.0</v>
      </c>
      <c r="L80" s="1">
        <v>100.0</v>
      </c>
      <c r="M80" s="23">
        <v>15.381</v>
      </c>
      <c r="N80" s="23">
        <f t="shared" si="6"/>
        <v>0.429</v>
      </c>
    </row>
    <row r="81">
      <c r="A81" s="1">
        <v>144.0</v>
      </c>
      <c r="B81" s="1">
        <v>19409.0</v>
      </c>
      <c r="C81" s="23">
        <v>18.589</v>
      </c>
      <c r="D81" s="23">
        <v>18.676</v>
      </c>
      <c r="E81" s="23">
        <v>3.317</v>
      </c>
      <c r="F81" s="1">
        <v>888.9</v>
      </c>
      <c r="G81" s="23">
        <v>0.782</v>
      </c>
      <c r="H81" s="23">
        <v>0.429</v>
      </c>
      <c r="I81" s="1">
        <v>318.9</v>
      </c>
      <c r="J81" s="61">
        <v>1186.9</v>
      </c>
      <c r="K81" s="1">
        <v>30557.0</v>
      </c>
      <c r="L81" s="1">
        <v>100.0</v>
      </c>
      <c r="M81" s="23">
        <v>15.298</v>
      </c>
      <c r="N81" s="23">
        <f t="shared" si="6"/>
        <v>0.429</v>
      </c>
    </row>
    <row r="82">
      <c r="A82" s="1">
        <v>146.0</v>
      </c>
      <c r="B82" s="1">
        <v>22859.0</v>
      </c>
      <c r="C82" s="23">
        <v>18.778</v>
      </c>
      <c r="D82" s="23">
        <v>18.873</v>
      </c>
      <c r="E82" s="23">
        <v>3.477</v>
      </c>
      <c r="F82" s="1">
        <v>873.9</v>
      </c>
      <c r="G82" s="23">
        <v>0.782</v>
      </c>
      <c r="H82" s="23">
        <v>0.429</v>
      </c>
      <c r="I82" s="1">
        <v>318.9</v>
      </c>
      <c r="J82" s="61">
        <v>1186.9</v>
      </c>
      <c r="K82" s="1">
        <v>35990.0</v>
      </c>
      <c r="L82" s="1">
        <v>100.0</v>
      </c>
      <c r="M82" s="23">
        <v>15.298</v>
      </c>
      <c r="N82" s="23">
        <f t="shared" si="6"/>
        <v>0.429</v>
      </c>
    </row>
    <row r="83">
      <c r="A83" s="1">
        <v>148.0</v>
      </c>
      <c r="B83" s="1">
        <v>22859.0</v>
      </c>
      <c r="C83" s="23">
        <v>18.365</v>
      </c>
      <c r="D83" s="23">
        <v>19.95</v>
      </c>
      <c r="E83" s="23">
        <v>3.477</v>
      </c>
      <c r="F83" s="1">
        <v>888.9</v>
      </c>
      <c r="G83" s="23">
        <v>0.866</v>
      </c>
      <c r="H83" s="23">
        <v>0.459</v>
      </c>
      <c r="I83" s="1">
        <v>318.9</v>
      </c>
      <c r="J83" s="61">
        <v>1104.9</v>
      </c>
      <c r="K83" s="1">
        <v>35990.0</v>
      </c>
      <c r="L83" s="1">
        <v>100.0</v>
      </c>
      <c r="M83" s="23">
        <v>15.592</v>
      </c>
      <c r="N83" s="23">
        <f t="shared" si="6"/>
        <v>0.459</v>
      </c>
    </row>
    <row r="84">
      <c r="A84" s="1">
        <v>150.0</v>
      </c>
      <c r="B84" s="1">
        <v>22859.0</v>
      </c>
      <c r="C84" s="23">
        <v>19.121</v>
      </c>
      <c r="D84" s="23">
        <v>19.73</v>
      </c>
      <c r="E84" s="23">
        <v>3.477</v>
      </c>
      <c r="F84" s="1">
        <v>888.9</v>
      </c>
      <c r="G84" s="23">
        <v>0.866</v>
      </c>
      <c r="H84" s="23">
        <v>0.451</v>
      </c>
      <c r="I84" s="1">
        <v>318.9</v>
      </c>
      <c r="J84" s="61">
        <v>1104.9</v>
      </c>
      <c r="K84" s="1">
        <v>35990.0</v>
      </c>
      <c r="L84" s="1">
        <v>100.0</v>
      </c>
      <c r="M84" s="23">
        <v>15.592</v>
      </c>
      <c r="N84" s="23">
        <f t="shared" si="6"/>
        <v>0.451</v>
      </c>
    </row>
    <row r="85">
      <c r="A85" s="1">
        <v>152.0</v>
      </c>
      <c r="B85" s="1">
        <v>22859.0</v>
      </c>
      <c r="C85" s="23">
        <v>18.541</v>
      </c>
      <c r="D85" s="23">
        <v>19.715</v>
      </c>
      <c r="E85" s="23">
        <v>3.477</v>
      </c>
      <c r="F85" s="1">
        <v>888.9</v>
      </c>
      <c r="G85" s="23">
        <v>0.866</v>
      </c>
      <c r="H85" s="23">
        <v>0.469</v>
      </c>
      <c r="I85" s="1">
        <v>318.9</v>
      </c>
      <c r="J85" s="61">
        <v>1104.9</v>
      </c>
      <c r="K85" s="1">
        <v>35990.0</v>
      </c>
      <c r="L85" s="1">
        <v>99.0</v>
      </c>
      <c r="M85" s="23">
        <v>15.523</v>
      </c>
      <c r="N85" s="23">
        <f t="shared" si="6"/>
        <v>0.469</v>
      </c>
    </row>
    <row r="86">
      <c r="A86" s="1">
        <v>154.0</v>
      </c>
      <c r="B86" s="1">
        <v>22859.0</v>
      </c>
      <c r="C86" s="23">
        <v>19.146</v>
      </c>
      <c r="D86" s="23">
        <v>19.715</v>
      </c>
      <c r="E86" s="23">
        <v>3.477</v>
      </c>
      <c r="F86" s="1">
        <v>888.9</v>
      </c>
      <c r="G86" s="23">
        <v>0.866</v>
      </c>
      <c r="H86" s="23">
        <v>0.469</v>
      </c>
      <c r="I86" s="1">
        <v>318.9</v>
      </c>
      <c r="J86" s="61">
        <v>1104.9</v>
      </c>
      <c r="K86" s="1">
        <v>35990.0</v>
      </c>
      <c r="L86" s="1">
        <v>100.0</v>
      </c>
      <c r="M86" s="23">
        <v>15.523</v>
      </c>
      <c r="N86" s="23">
        <f t="shared" si="6"/>
        <v>0.469</v>
      </c>
    </row>
    <row r="87">
      <c r="A87" s="1">
        <v>156.0</v>
      </c>
      <c r="B87" s="1">
        <v>22859.0</v>
      </c>
      <c r="C87" s="23">
        <v>19.146</v>
      </c>
      <c r="D87" s="23">
        <v>19.7</v>
      </c>
      <c r="E87" s="23">
        <v>3.477</v>
      </c>
      <c r="F87" s="1">
        <v>888.9</v>
      </c>
      <c r="G87" s="23">
        <v>0.866</v>
      </c>
      <c r="H87" s="23">
        <v>0.469</v>
      </c>
      <c r="I87" s="1">
        <v>318.9</v>
      </c>
      <c r="J87" s="61">
        <v>1104.9</v>
      </c>
      <c r="K87" s="1">
        <v>35990.0</v>
      </c>
      <c r="L87" s="1">
        <v>100.0</v>
      </c>
      <c r="M87" s="23">
        <v>15.454</v>
      </c>
      <c r="N87" s="23">
        <f t="shared" si="6"/>
        <v>0.469</v>
      </c>
    </row>
    <row r="88">
      <c r="A88" s="1">
        <v>158.0</v>
      </c>
      <c r="B88" s="1">
        <v>23722.0</v>
      </c>
      <c r="C88" s="23">
        <v>17.911</v>
      </c>
      <c r="D88" s="23">
        <v>18.6</v>
      </c>
      <c r="E88" s="23">
        <v>3.477</v>
      </c>
      <c r="F88" s="1">
        <v>888.9</v>
      </c>
      <c r="G88" s="23">
        <v>0.766</v>
      </c>
      <c r="H88" s="23">
        <v>0.439</v>
      </c>
      <c r="I88" s="1">
        <v>318.9</v>
      </c>
      <c r="J88" s="61">
        <v>1104.9</v>
      </c>
      <c r="K88" s="1">
        <v>37348.0</v>
      </c>
      <c r="L88" s="1">
        <v>99.0</v>
      </c>
      <c r="M88" s="23">
        <v>15.454</v>
      </c>
      <c r="N88" s="23">
        <f t="shared" si="6"/>
        <v>0.439</v>
      </c>
    </row>
    <row r="89">
      <c r="A89" s="1">
        <v>160.0</v>
      </c>
      <c r="B89" s="1">
        <v>18546.0</v>
      </c>
      <c r="C89" s="23">
        <v>17.299</v>
      </c>
      <c r="D89" s="23">
        <v>18.05</v>
      </c>
      <c r="E89" s="23">
        <v>3.437</v>
      </c>
      <c r="F89" s="1">
        <v>873.9</v>
      </c>
      <c r="G89" s="23">
        <v>0.763</v>
      </c>
      <c r="H89" s="23">
        <v>0.439</v>
      </c>
      <c r="I89" s="1">
        <v>318.9</v>
      </c>
      <c r="J89" s="61">
        <v>1085.1</v>
      </c>
      <c r="K89" s="1">
        <v>29199.0</v>
      </c>
      <c r="L89" s="1">
        <v>100.0</v>
      </c>
      <c r="M89" s="23">
        <v>15.316</v>
      </c>
      <c r="N89" s="23">
        <f t="shared" si="6"/>
        <v>0.439</v>
      </c>
    </row>
    <row r="90">
      <c r="A90" s="1">
        <v>162.0</v>
      </c>
      <c r="B90" s="1">
        <v>18546.0</v>
      </c>
      <c r="C90" s="23">
        <v>16.947</v>
      </c>
      <c r="D90" s="23">
        <v>16.401</v>
      </c>
      <c r="E90" s="23">
        <v>3.277</v>
      </c>
      <c r="F90" s="1">
        <v>873.9</v>
      </c>
      <c r="G90" s="23">
        <v>0.763</v>
      </c>
      <c r="H90" s="23">
        <v>0.439</v>
      </c>
      <c r="I90" s="1">
        <v>318.9</v>
      </c>
      <c r="J90" s="61">
        <v>1085.1</v>
      </c>
      <c r="K90" s="1">
        <v>29199.0</v>
      </c>
      <c r="L90" s="1">
        <v>100.0</v>
      </c>
      <c r="M90" s="23">
        <v>15.316</v>
      </c>
      <c r="N90" s="23">
        <f t="shared" si="6"/>
        <v>0.439</v>
      </c>
    </row>
    <row r="91">
      <c r="A91" s="1">
        <v>164.0</v>
      </c>
      <c r="B91" s="1">
        <v>18546.0</v>
      </c>
      <c r="C91" s="26">
        <v>16.371</v>
      </c>
      <c r="D91" s="23">
        <v>16.377</v>
      </c>
      <c r="E91" s="23">
        <v>2.977</v>
      </c>
      <c r="F91" s="1">
        <v>873.9</v>
      </c>
      <c r="G91" s="23">
        <v>0.779</v>
      </c>
      <c r="H91" s="23">
        <v>0.439</v>
      </c>
      <c r="I91" s="1">
        <v>318.9</v>
      </c>
      <c r="J91" s="61">
        <v>1167.1</v>
      </c>
      <c r="K91" s="1">
        <v>29199.0</v>
      </c>
      <c r="L91" s="1">
        <v>100.0</v>
      </c>
      <c r="M91" s="23">
        <v>15.316</v>
      </c>
      <c r="N91" s="23">
        <f t="shared" si="6"/>
        <v>0.439</v>
      </c>
    </row>
    <row r="92">
      <c r="A92" s="1">
        <v>166.0</v>
      </c>
      <c r="B92" s="1">
        <v>18546.0</v>
      </c>
      <c r="C92" s="23">
        <v>16.308</v>
      </c>
      <c r="D92" s="23">
        <v>16.381</v>
      </c>
      <c r="E92" s="23">
        <v>3.397</v>
      </c>
      <c r="F92" s="1">
        <v>834.6</v>
      </c>
      <c r="G92" s="23">
        <v>0.775</v>
      </c>
      <c r="H92" s="23">
        <v>0.439</v>
      </c>
      <c r="I92" s="1">
        <v>318.9</v>
      </c>
      <c r="J92" s="61">
        <v>1147.6</v>
      </c>
      <c r="K92" s="1">
        <v>29199.0</v>
      </c>
      <c r="L92" s="1">
        <v>100.0</v>
      </c>
      <c r="M92" s="23">
        <v>15.208</v>
      </c>
      <c r="N92" s="23">
        <f t="shared" si="6"/>
        <v>0.439</v>
      </c>
    </row>
    <row r="93">
      <c r="A93" s="1">
        <v>168.0</v>
      </c>
      <c r="B93" s="1">
        <v>18546.0</v>
      </c>
      <c r="C93" s="23">
        <v>16.272</v>
      </c>
      <c r="D93" s="23">
        <v>16.381</v>
      </c>
      <c r="E93" s="23">
        <v>3.397</v>
      </c>
      <c r="F93" s="1">
        <v>834.6</v>
      </c>
      <c r="G93" s="23">
        <v>0.775</v>
      </c>
      <c r="H93" s="23">
        <v>0.439</v>
      </c>
      <c r="I93" s="1">
        <v>318.9</v>
      </c>
      <c r="J93" s="61">
        <v>1147.6</v>
      </c>
      <c r="K93" s="1">
        <v>29199.0</v>
      </c>
      <c r="L93" s="1">
        <v>100.0</v>
      </c>
      <c r="M93" s="23">
        <v>15.208</v>
      </c>
      <c r="N93" s="23">
        <f t="shared" si="6"/>
        <v>0.439</v>
      </c>
    </row>
    <row r="94">
      <c r="A94" s="1">
        <v>170.0</v>
      </c>
      <c r="B94" s="1">
        <v>18546.0</v>
      </c>
      <c r="C94" s="23">
        <v>16.926</v>
      </c>
      <c r="D94" s="23">
        <v>16.375</v>
      </c>
      <c r="E94" s="23">
        <v>3.397</v>
      </c>
      <c r="F94" s="1">
        <v>888.9</v>
      </c>
      <c r="G94" s="23">
        <v>0.782</v>
      </c>
      <c r="H94" s="23">
        <v>0.439</v>
      </c>
      <c r="I94" s="1">
        <v>318.9</v>
      </c>
      <c r="J94" s="61">
        <v>1186.9</v>
      </c>
      <c r="K94" s="1">
        <v>29199.0</v>
      </c>
      <c r="L94" s="1">
        <v>100.0</v>
      </c>
      <c r="M94" s="23">
        <v>15.185</v>
      </c>
      <c r="N94" s="23">
        <f t="shared" si="6"/>
        <v>0.439</v>
      </c>
    </row>
    <row r="95">
      <c r="A95" s="1">
        <v>172.0</v>
      </c>
      <c r="B95" s="1">
        <v>18546.0</v>
      </c>
      <c r="C95" s="23">
        <v>16.939</v>
      </c>
      <c r="D95" s="23">
        <v>16.375</v>
      </c>
      <c r="E95" s="23">
        <v>3.397</v>
      </c>
      <c r="F95" s="1">
        <v>888.9</v>
      </c>
      <c r="G95" s="23">
        <v>0.782</v>
      </c>
      <c r="H95" s="23">
        <v>0.439</v>
      </c>
      <c r="I95" s="1">
        <v>318.9</v>
      </c>
      <c r="J95" s="61">
        <v>1186.9</v>
      </c>
      <c r="K95" s="1">
        <v>29199.0</v>
      </c>
      <c r="L95" s="1">
        <v>100.0</v>
      </c>
      <c r="M95" s="23">
        <v>15.185</v>
      </c>
      <c r="N95" s="23">
        <f t="shared" si="6"/>
        <v>0.439</v>
      </c>
    </row>
    <row r="96">
      <c r="A96" s="1">
        <v>174.0</v>
      </c>
      <c r="B96" s="1">
        <v>18546.0</v>
      </c>
      <c r="C96" s="23">
        <v>16.914</v>
      </c>
      <c r="D96" s="23">
        <v>15.639</v>
      </c>
      <c r="E96" s="23">
        <v>3.397</v>
      </c>
      <c r="F96" s="1">
        <v>888.9</v>
      </c>
      <c r="G96" s="23">
        <v>0.782</v>
      </c>
      <c r="H96" s="23">
        <v>0.429</v>
      </c>
      <c r="I96" s="1">
        <v>318.9</v>
      </c>
      <c r="J96" s="61">
        <v>1186.9</v>
      </c>
      <c r="K96" s="1">
        <v>29199.0</v>
      </c>
      <c r="L96" s="1">
        <v>100.0</v>
      </c>
      <c r="M96" s="23">
        <v>15.179</v>
      </c>
      <c r="N96" s="23">
        <f t="shared" si="6"/>
        <v>0.429</v>
      </c>
    </row>
    <row r="97">
      <c r="A97" s="1">
        <v>176.0</v>
      </c>
      <c r="B97" s="1">
        <v>18237.0</v>
      </c>
      <c r="C97" s="23">
        <v>16.876</v>
      </c>
      <c r="D97" s="23">
        <v>15.58</v>
      </c>
      <c r="E97" s="23">
        <v>2.977</v>
      </c>
      <c r="F97" s="1">
        <v>888.9</v>
      </c>
      <c r="G97" s="23">
        <v>0.782</v>
      </c>
      <c r="H97" s="23">
        <v>0.429</v>
      </c>
      <c r="I97" s="1">
        <v>318.9</v>
      </c>
      <c r="J97" s="61">
        <v>1186.9</v>
      </c>
      <c r="K97" s="1">
        <v>29199.0</v>
      </c>
      <c r="L97" s="1">
        <v>100.0</v>
      </c>
      <c r="M97" s="23">
        <v>15.179</v>
      </c>
      <c r="N97" s="23">
        <f t="shared" si="6"/>
        <v>0.429</v>
      </c>
    </row>
    <row r="98">
      <c r="A98" s="1">
        <v>178.0</v>
      </c>
      <c r="B98" s="1">
        <v>18546.0</v>
      </c>
      <c r="C98" s="26">
        <v>16.914</v>
      </c>
      <c r="D98" s="23">
        <v>15.602</v>
      </c>
      <c r="E98" s="23">
        <v>2.977</v>
      </c>
      <c r="F98" s="1">
        <v>888.9</v>
      </c>
      <c r="G98" s="23">
        <v>0.782</v>
      </c>
      <c r="H98" s="23">
        <v>0.429</v>
      </c>
      <c r="I98" s="1">
        <v>318.9</v>
      </c>
      <c r="J98" s="61">
        <v>1186.9</v>
      </c>
      <c r="K98" s="1">
        <v>29199.0</v>
      </c>
      <c r="L98" s="1">
        <v>100.0</v>
      </c>
      <c r="M98" s="23">
        <v>15.131</v>
      </c>
      <c r="N98" s="23">
        <f t="shared" si="6"/>
        <v>0.429</v>
      </c>
    </row>
    <row r="99">
      <c r="A99" s="1">
        <v>180.0</v>
      </c>
      <c r="B99" s="1">
        <v>18546.0</v>
      </c>
      <c r="C99" s="23">
        <v>18.174</v>
      </c>
      <c r="D99" s="23">
        <v>16.648</v>
      </c>
      <c r="E99" s="23">
        <v>2.857</v>
      </c>
      <c r="F99" s="1">
        <v>888.9</v>
      </c>
      <c r="G99" s="23">
        <v>0.782</v>
      </c>
      <c r="H99" s="23">
        <v>0.429</v>
      </c>
      <c r="I99" s="1">
        <v>318.9</v>
      </c>
      <c r="J99" s="61">
        <v>1186.9</v>
      </c>
      <c r="K99" s="1">
        <v>29199.0</v>
      </c>
      <c r="L99" s="1">
        <v>100.0</v>
      </c>
      <c r="M99" s="23">
        <v>15.131</v>
      </c>
      <c r="N99" s="23">
        <f t="shared" si="6"/>
        <v>0.429</v>
      </c>
    </row>
    <row r="100">
      <c r="A100" s="1">
        <v>182.0</v>
      </c>
      <c r="B100" s="1">
        <v>20272.0</v>
      </c>
      <c r="C100" s="23">
        <v>18.295</v>
      </c>
      <c r="D100" s="23">
        <v>16.814</v>
      </c>
      <c r="E100" s="23">
        <v>2.937</v>
      </c>
      <c r="F100" s="1">
        <v>873.9</v>
      </c>
      <c r="G100" s="23">
        <v>0.766</v>
      </c>
      <c r="H100" s="23">
        <v>0.439</v>
      </c>
      <c r="I100" s="1">
        <v>318.9</v>
      </c>
      <c r="J100" s="61">
        <v>1104.9</v>
      </c>
      <c r="K100" s="1">
        <v>31915.0</v>
      </c>
      <c r="L100" s="1">
        <v>100.0</v>
      </c>
      <c r="M100" s="23">
        <v>15.199</v>
      </c>
      <c r="N100" s="23">
        <f t="shared" si="6"/>
        <v>0.439</v>
      </c>
    </row>
    <row r="101">
      <c r="A101" s="1">
        <v>184.0</v>
      </c>
      <c r="B101" s="1">
        <v>20272.0</v>
      </c>
      <c r="C101" s="23">
        <v>18.295</v>
      </c>
      <c r="D101" s="23">
        <v>16.837</v>
      </c>
      <c r="E101" s="23">
        <v>3.637</v>
      </c>
      <c r="F101" s="1">
        <v>888.9</v>
      </c>
      <c r="G101" s="23">
        <v>0.766</v>
      </c>
      <c r="H101" s="23">
        <v>0.431</v>
      </c>
      <c r="I101" s="1">
        <v>318.9</v>
      </c>
      <c r="J101" s="61">
        <v>1104.9</v>
      </c>
      <c r="K101" s="1">
        <v>31915.0</v>
      </c>
      <c r="L101" s="1">
        <v>100.0</v>
      </c>
      <c r="M101" s="23">
        <v>15.199</v>
      </c>
      <c r="N101" s="23">
        <f t="shared" si="6"/>
        <v>0.431</v>
      </c>
    </row>
    <row r="102">
      <c r="A102" s="1">
        <v>186.0</v>
      </c>
      <c r="B102" s="1">
        <v>20272.0</v>
      </c>
      <c r="C102" s="23">
        <v>17.936</v>
      </c>
      <c r="D102" s="23">
        <v>16.531</v>
      </c>
      <c r="E102" s="23">
        <v>3.637</v>
      </c>
      <c r="F102" s="1">
        <v>888.9</v>
      </c>
      <c r="G102" s="23">
        <v>0.766</v>
      </c>
      <c r="H102" s="23">
        <v>0.431</v>
      </c>
      <c r="I102" s="1">
        <v>318.9</v>
      </c>
      <c r="J102" s="61">
        <v>1104.9</v>
      </c>
      <c r="K102" s="1">
        <v>31915.0</v>
      </c>
      <c r="L102" s="1">
        <v>100.0</v>
      </c>
      <c r="M102" s="23">
        <v>15.242</v>
      </c>
      <c r="N102" s="23">
        <f t="shared" si="6"/>
        <v>0.431</v>
      </c>
    </row>
    <row r="103">
      <c r="A103" s="1">
        <v>188.0</v>
      </c>
      <c r="B103" s="1">
        <v>20272.0</v>
      </c>
      <c r="C103" s="23">
        <v>17.709</v>
      </c>
      <c r="D103" s="23">
        <v>16.854</v>
      </c>
      <c r="E103" s="23">
        <v>3.91</v>
      </c>
      <c r="F103" s="1">
        <v>888.9</v>
      </c>
      <c r="G103" s="23">
        <v>0.766</v>
      </c>
      <c r="H103" s="23">
        <v>0.431</v>
      </c>
      <c r="I103" s="1">
        <v>318.9</v>
      </c>
      <c r="J103" s="61">
        <v>1104.9</v>
      </c>
      <c r="K103" s="1">
        <v>31915.0</v>
      </c>
      <c r="L103" s="1">
        <v>100.0</v>
      </c>
      <c r="M103" s="23">
        <v>15.242</v>
      </c>
      <c r="N103" s="23">
        <f t="shared" si="6"/>
        <v>0.431</v>
      </c>
    </row>
    <row r="104">
      <c r="A104" s="1">
        <v>190.0</v>
      </c>
      <c r="B104" s="1">
        <v>20272.0</v>
      </c>
      <c r="C104" s="23">
        <v>16.953</v>
      </c>
      <c r="D104" s="23">
        <v>16.216</v>
      </c>
      <c r="E104" s="23">
        <v>3.91</v>
      </c>
      <c r="F104" s="1">
        <v>888.9</v>
      </c>
      <c r="G104" s="23">
        <v>0.766</v>
      </c>
      <c r="H104" s="23">
        <v>0.431</v>
      </c>
      <c r="I104" s="1">
        <v>318.9</v>
      </c>
      <c r="J104" s="61">
        <v>1104.9</v>
      </c>
      <c r="K104" s="1">
        <v>31915.0</v>
      </c>
      <c r="L104" s="1">
        <v>100.0</v>
      </c>
      <c r="M104" s="23">
        <v>15.203</v>
      </c>
      <c r="N104" s="23">
        <f t="shared" si="6"/>
        <v>0.431</v>
      </c>
    </row>
    <row r="105">
      <c r="A105" s="1">
        <v>192.0</v>
      </c>
      <c r="B105" s="1">
        <v>20272.0</v>
      </c>
      <c r="C105" s="23">
        <v>17.344</v>
      </c>
      <c r="D105" s="23">
        <v>16.558</v>
      </c>
      <c r="E105" s="23">
        <v>4.368</v>
      </c>
      <c r="F105" s="1">
        <v>888.9</v>
      </c>
      <c r="G105" s="23">
        <v>0.766</v>
      </c>
      <c r="H105" s="23">
        <v>1.432</v>
      </c>
      <c r="I105" s="1">
        <v>318.9</v>
      </c>
      <c r="J105" s="61">
        <v>1104.9</v>
      </c>
      <c r="K105" s="1">
        <v>31915.0</v>
      </c>
      <c r="L105" s="1">
        <v>100.0</v>
      </c>
      <c r="M105" s="23">
        <v>15.203</v>
      </c>
      <c r="N105" s="23">
        <f t="shared" si="6"/>
        <v>1</v>
      </c>
    </row>
    <row r="106">
      <c r="A106" s="1">
        <v>195.0</v>
      </c>
      <c r="B106" s="1">
        <v>20272.0</v>
      </c>
      <c r="C106" s="23">
        <v>17.722</v>
      </c>
      <c r="D106" s="23">
        <v>16.348</v>
      </c>
      <c r="E106" s="23">
        <v>4.368</v>
      </c>
      <c r="F106" s="1">
        <v>888.9</v>
      </c>
      <c r="G106" s="23">
        <v>0.766</v>
      </c>
      <c r="H106" s="23">
        <v>1.439</v>
      </c>
      <c r="I106" s="1">
        <v>318.9</v>
      </c>
      <c r="J106" s="61">
        <v>1104.9</v>
      </c>
      <c r="K106" s="1">
        <v>31915.0</v>
      </c>
      <c r="L106" s="1">
        <v>100.0</v>
      </c>
      <c r="M106" s="23">
        <v>15.203</v>
      </c>
      <c r="N106" s="23">
        <f t="shared" si="6"/>
        <v>1</v>
      </c>
    </row>
    <row r="107">
      <c r="A107" s="1">
        <v>197.0</v>
      </c>
      <c r="B107" s="1">
        <v>18546.0</v>
      </c>
      <c r="C107" s="23">
        <v>17.008</v>
      </c>
      <c r="D107" s="23">
        <v>16.392</v>
      </c>
      <c r="E107" s="23">
        <v>4.28</v>
      </c>
      <c r="F107" s="1">
        <v>873.9</v>
      </c>
      <c r="G107" s="23">
        <v>0.782</v>
      </c>
      <c r="H107" s="23">
        <v>0.439</v>
      </c>
      <c r="I107" s="1">
        <v>318.9</v>
      </c>
      <c r="J107" s="61">
        <v>1186.9</v>
      </c>
      <c r="K107" s="1">
        <v>29199.0</v>
      </c>
      <c r="L107" s="1">
        <v>100.0</v>
      </c>
      <c r="M107" s="23">
        <v>15.14</v>
      </c>
      <c r="N107" s="23">
        <f t="shared" si="6"/>
        <v>0.439</v>
      </c>
    </row>
    <row r="108">
      <c r="A108" s="1">
        <v>199.0</v>
      </c>
      <c r="B108" s="1">
        <v>18546.0</v>
      </c>
      <c r="C108" s="23">
        <v>17.046</v>
      </c>
      <c r="D108" s="23">
        <v>16.392</v>
      </c>
      <c r="E108" s="23">
        <v>4.28</v>
      </c>
      <c r="F108" s="1">
        <v>873.9</v>
      </c>
      <c r="G108" s="23">
        <v>0.782</v>
      </c>
      <c r="H108" s="23">
        <v>0.429</v>
      </c>
      <c r="I108" s="1">
        <v>318.9</v>
      </c>
      <c r="J108" s="61">
        <v>1186.9</v>
      </c>
      <c r="K108" s="1">
        <v>29199.0</v>
      </c>
      <c r="L108" s="1">
        <v>100.0</v>
      </c>
      <c r="M108" s="23">
        <v>15.14</v>
      </c>
      <c r="N108" s="23">
        <f t="shared" si="6"/>
        <v>0.429</v>
      </c>
    </row>
    <row r="109">
      <c r="A109" s="1">
        <v>201.0</v>
      </c>
      <c r="B109" s="1">
        <v>18546.0</v>
      </c>
      <c r="C109" s="23">
        <v>17.071</v>
      </c>
      <c r="D109" s="23">
        <v>16.412</v>
      </c>
      <c r="E109" s="23">
        <v>4.28</v>
      </c>
      <c r="F109" s="1">
        <v>873.9</v>
      </c>
      <c r="G109" s="23">
        <v>0.782</v>
      </c>
      <c r="H109" s="23">
        <v>0.429</v>
      </c>
      <c r="I109" s="1">
        <v>318.9</v>
      </c>
      <c r="J109" s="61">
        <v>1186.9</v>
      </c>
      <c r="K109" s="1">
        <v>29199.0</v>
      </c>
      <c r="L109" s="1">
        <v>100.0</v>
      </c>
      <c r="M109" s="23">
        <v>15.23</v>
      </c>
      <c r="N109" s="23">
        <f t="shared" si="6"/>
        <v>0.429</v>
      </c>
    </row>
    <row r="110">
      <c r="A110" s="1">
        <v>203.0</v>
      </c>
      <c r="B110" s="1">
        <v>18546.0</v>
      </c>
      <c r="C110" s="23">
        <v>17.096</v>
      </c>
      <c r="D110" s="23">
        <v>16.385</v>
      </c>
      <c r="E110" s="23">
        <v>3.823</v>
      </c>
      <c r="F110" s="1">
        <v>888.9</v>
      </c>
      <c r="G110" s="23">
        <v>0.782</v>
      </c>
      <c r="H110" s="23">
        <v>1.429</v>
      </c>
      <c r="I110" s="1">
        <v>318.9</v>
      </c>
      <c r="J110" s="61">
        <v>1186.9</v>
      </c>
      <c r="K110" s="1">
        <v>29199.0</v>
      </c>
      <c r="L110" s="1">
        <v>100.0</v>
      </c>
      <c r="M110" s="23">
        <v>15.23</v>
      </c>
      <c r="N110" s="23">
        <f t="shared" si="6"/>
        <v>1</v>
      </c>
    </row>
    <row r="111">
      <c r="A111" s="1">
        <v>205.0</v>
      </c>
      <c r="B111" s="1">
        <v>18546.0</v>
      </c>
      <c r="C111" s="23">
        <v>16.933</v>
      </c>
      <c r="D111" s="23">
        <v>16.372</v>
      </c>
      <c r="E111" s="23">
        <v>3.107</v>
      </c>
      <c r="F111" s="1">
        <v>888.9</v>
      </c>
      <c r="G111" s="23">
        <v>0.782</v>
      </c>
      <c r="H111" s="23">
        <v>1.429</v>
      </c>
      <c r="I111" s="1">
        <v>318.9</v>
      </c>
      <c r="J111" s="61">
        <v>1186.9</v>
      </c>
      <c r="K111" s="1">
        <v>29199.0</v>
      </c>
      <c r="L111" s="1">
        <v>100.0</v>
      </c>
      <c r="M111" s="23">
        <v>15.271</v>
      </c>
      <c r="N111" s="23">
        <f t="shared" si="6"/>
        <v>1</v>
      </c>
    </row>
    <row r="112">
      <c r="A112" s="1">
        <v>207.0</v>
      </c>
      <c r="B112" s="1">
        <v>18546.0</v>
      </c>
      <c r="C112" s="23">
        <v>16.958</v>
      </c>
      <c r="D112" s="23">
        <v>16.403</v>
      </c>
      <c r="E112" s="23">
        <v>3.647</v>
      </c>
      <c r="F112" s="1">
        <v>888.9</v>
      </c>
      <c r="G112" s="23">
        <v>0.782</v>
      </c>
      <c r="H112" s="23">
        <v>1.432</v>
      </c>
      <c r="I112" s="1">
        <v>318.9</v>
      </c>
      <c r="J112" s="61">
        <v>1186.9</v>
      </c>
      <c r="K112" s="1">
        <v>29199.0</v>
      </c>
      <c r="L112" s="1">
        <v>100.0</v>
      </c>
      <c r="M112" s="23">
        <v>15.271</v>
      </c>
      <c r="N112" s="23">
        <f t="shared" si="6"/>
        <v>1</v>
      </c>
    </row>
    <row r="113">
      <c r="A113" s="1">
        <v>209.0</v>
      </c>
      <c r="B113" s="1">
        <v>18546.0</v>
      </c>
      <c r="C113" s="23">
        <v>16.958</v>
      </c>
      <c r="D113" s="23">
        <v>16.391</v>
      </c>
      <c r="E113" s="23">
        <v>3.647</v>
      </c>
      <c r="F113" s="1">
        <v>888.9</v>
      </c>
      <c r="G113" s="23">
        <v>0.782</v>
      </c>
      <c r="H113" s="23">
        <v>0.439</v>
      </c>
      <c r="I113" s="1">
        <v>318.9</v>
      </c>
      <c r="J113" s="61">
        <v>1186.9</v>
      </c>
      <c r="K113" s="1">
        <v>29199.0</v>
      </c>
      <c r="L113" s="1">
        <v>100.0</v>
      </c>
      <c r="M113" s="23">
        <v>15.219</v>
      </c>
      <c r="N113" s="23">
        <f t="shared" si="6"/>
        <v>0.439</v>
      </c>
    </row>
    <row r="114">
      <c r="A114" s="1">
        <v>211.0</v>
      </c>
      <c r="B114" s="1">
        <v>18546.0</v>
      </c>
      <c r="C114" s="23">
        <v>16.353</v>
      </c>
      <c r="D114" s="23">
        <v>16.391</v>
      </c>
      <c r="E114" s="23">
        <v>3.647</v>
      </c>
      <c r="F114" s="1">
        <v>888.9</v>
      </c>
      <c r="G114" s="23">
        <v>0.782</v>
      </c>
      <c r="H114" s="23">
        <v>0.439</v>
      </c>
      <c r="I114" s="1">
        <v>318.9</v>
      </c>
      <c r="J114" s="61">
        <v>1186.9</v>
      </c>
      <c r="K114" s="1">
        <v>29199.0</v>
      </c>
      <c r="L114" s="1">
        <v>100.0</v>
      </c>
      <c r="M114" s="23">
        <v>15.219</v>
      </c>
      <c r="N114" s="23">
        <f t="shared" si="6"/>
        <v>0.439</v>
      </c>
    </row>
    <row r="115">
      <c r="A115" s="1">
        <v>213.0</v>
      </c>
      <c r="B115" s="1">
        <v>18546.0</v>
      </c>
      <c r="C115" s="23">
        <v>15.92</v>
      </c>
      <c r="D115" s="23">
        <v>16.049</v>
      </c>
      <c r="E115" s="23">
        <v>3.647</v>
      </c>
      <c r="F115" s="1">
        <v>888.9</v>
      </c>
      <c r="G115" s="23">
        <v>0.766</v>
      </c>
      <c r="H115" s="23">
        <v>0.439</v>
      </c>
      <c r="I115" s="1">
        <v>318.9</v>
      </c>
      <c r="J115" s="61">
        <v>1104.9</v>
      </c>
      <c r="K115" s="1">
        <v>29199.0</v>
      </c>
      <c r="L115" s="1">
        <v>100.0</v>
      </c>
      <c r="M115" s="23">
        <v>15.161</v>
      </c>
      <c r="N115" s="23">
        <f t="shared" si="6"/>
        <v>0.439</v>
      </c>
    </row>
    <row r="116">
      <c r="A116" s="1">
        <v>215.0</v>
      </c>
      <c r="B116" s="1">
        <v>18546.0</v>
      </c>
      <c r="C116" s="23">
        <v>16.273</v>
      </c>
      <c r="D116" s="23">
        <v>16.379</v>
      </c>
      <c r="E116" s="23">
        <v>3.647</v>
      </c>
      <c r="F116" s="1">
        <v>888.9</v>
      </c>
      <c r="G116" s="23">
        <v>0.766</v>
      </c>
      <c r="H116" s="23">
        <v>0.439</v>
      </c>
      <c r="I116" s="1">
        <v>318.9</v>
      </c>
      <c r="J116" s="61">
        <v>1104.9</v>
      </c>
      <c r="K116" s="1">
        <v>29199.0</v>
      </c>
      <c r="L116" s="1">
        <v>100.0</v>
      </c>
      <c r="M116" s="23">
        <v>15.161</v>
      </c>
      <c r="N116" s="23">
        <f t="shared" si="6"/>
        <v>0.439</v>
      </c>
    </row>
    <row r="117">
      <c r="A117" s="1">
        <v>217.0</v>
      </c>
      <c r="B117" s="1">
        <v>17684.0</v>
      </c>
      <c r="C117" s="23">
        <v>17.709</v>
      </c>
      <c r="D117" s="23">
        <v>17.663</v>
      </c>
      <c r="E117" s="26">
        <v>3.727</v>
      </c>
      <c r="F117" s="1">
        <v>888.9</v>
      </c>
      <c r="G117" s="23">
        <v>0.766</v>
      </c>
      <c r="H117" s="23">
        <v>0.439</v>
      </c>
      <c r="I117" s="1">
        <v>318.9</v>
      </c>
      <c r="J117" s="61">
        <v>1104.9</v>
      </c>
      <c r="K117" s="1">
        <v>27841.0</v>
      </c>
      <c r="L117" s="1">
        <v>100.0</v>
      </c>
      <c r="M117" s="26">
        <v>15.278</v>
      </c>
      <c r="N117" s="23">
        <f t="shared" si="6"/>
        <v>0.439</v>
      </c>
    </row>
    <row r="118">
      <c r="A118" s="1">
        <v>219.0</v>
      </c>
      <c r="B118" s="1">
        <v>21134.0</v>
      </c>
      <c r="C118" s="23">
        <v>18.113</v>
      </c>
      <c r="D118" s="23">
        <v>17.853</v>
      </c>
      <c r="E118" s="26">
        <v>3.767</v>
      </c>
      <c r="F118" s="1">
        <v>888.9</v>
      </c>
      <c r="G118" s="23">
        <v>0.766</v>
      </c>
      <c r="H118" s="23">
        <v>0.429</v>
      </c>
      <c r="I118" s="1">
        <v>318.9</v>
      </c>
      <c r="J118" s="61">
        <v>1104.9</v>
      </c>
      <c r="K118" s="1">
        <v>33273.0</v>
      </c>
      <c r="L118" s="1">
        <v>100.0</v>
      </c>
      <c r="M118" s="26">
        <v>15.278</v>
      </c>
      <c r="N118" s="23">
        <f t="shared" si="6"/>
        <v>0.429</v>
      </c>
    </row>
    <row r="119">
      <c r="A119" s="1">
        <v>221.0</v>
      </c>
      <c r="B119" s="1">
        <v>22859.0</v>
      </c>
      <c r="C119" s="23">
        <v>18.264</v>
      </c>
      <c r="D119" s="23">
        <v>18.04</v>
      </c>
      <c r="E119" s="26">
        <v>3.847</v>
      </c>
      <c r="F119" s="1">
        <v>888.9</v>
      </c>
      <c r="G119" s="23">
        <v>0.766</v>
      </c>
      <c r="H119" s="23">
        <v>0.429</v>
      </c>
      <c r="I119" s="1">
        <v>318.9</v>
      </c>
      <c r="J119" s="61">
        <v>1104.9</v>
      </c>
      <c r="K119" s="1">
        <v>35990.0</v>
      </c>
      <c r="L119" s="1">
        <v>100.0</v>
      </c>
      <c r="M119" s="23">
        <v>15.455</v>
      </c>
      <c r="N119" s="23">
        <f t="shared" si="6"/>
        <v>0.429</v>
      </c>
    </row>
    <row r="120">
      <c r="A120" s="1">
        <v>223.0</v>
      </c>
      <c r="B120" s="1">
        <v>22859.0</v>
      </c>
      <c r="C120" s="23">
        <v>17.835</v>
      </c>
      <c r="D120" s="26">
        <v>17.673</v>
      </c>
      <c r="E120" s="23">
        <v>3.727</v>
      </c>
      <c r="F120" s="1">
        <v>873.9</v>
      </c>
      <c r="G120" s="23">
        <v>0.766</v>
      </c>
      <c r="H120" s="23">
        <v>0.429</v>
      </c>
      <c r="I120" s="1">
        <v>318.9</v>
      </c>
      <c r="J120" s="61">
        <v>1104.9</v>
      </c>
      <c r="K120" s="1">
        <v>35990.0</v>
      </c>
      <c r="L120" s="1">
        <v>100.0</v>
      </c>
      <c r="M120" s="23">
        <v>15.455</v>
      </c>
      <c r="N120" s="23">
        <f t="shared" si="6"/>
        <v>0.429</v>
      </c>
    </row>
    <row r="121">
      <c r="A121" s="1">
        <v>225.0</v>
      </c>
      <c r="B121" s="1">
        <v>22859.0</v>
      </c>
      <c r="C121" s="23">
        <v>18.226</v>
      </c>
      <c r="D121" s="26">
        <v>18.036</v>
      </c>
      <c r="E121" s="23">
        <v>3.727</v>
      </c>
      <c r="F121" s="1">
        <v>873.9</v>
      </c>
      <c r="G121" s="23">
        <v>0.766</v>
      </c>
      <c r="H121" s="23">
        <v>0.429</v>
      </c>
      <c r="I121" s="1">
        <v>318.9</v>
      </c>
      <c r="J121" s="61">
        <v>1104.9</v>
      </c>
      <c r="K121" s="1">
        <v>35990.0</v>
      </c>
      <c r="L121" s="1">
        <v>100.0</v>
      </c>
      <c r="M121" s="23">
        <v>15.455</v>
      </c>
      <c r="N121" s="23">
        <f t="shared" si="6"/>
        <v>0.429</v>
      </c>
    </row>
    <row r="122">
      <c r="A122" s="1">
        <v>227.0</v>
      </c>
      <c r="B122" s="1">
        <v>22859.0</v>
      </c>
      <c r="C122" s="23">
        <v>18.806</v>
      </c>
      <c r="D122" s="26">
        <v>18.029</v>
      </c>
      <c r="E122" s="23">
        <v>3.477</v>
      </c>
      <c r="F122" s="1">
        <v>873.9</v>
      </c>
      <c r="G122" s="23">
        <v>0.766</v>
      </c>
      <c r="H122" s="23">
        <v>0.439</v>
      </c>
      <c r="I122" s="1">
        <v>318.9</v>
      </c>
      <c r="J122" s="61">
        <v>1104.9</v>
      </c>
      <c r="K122" s="1">
        <v>35990.0</v>
      </c>
      <c r="L122" s="1">
        <v>100.0</v>
      </c>
      <c r="M122" s="23">
        <v>15.456</v>
      </c>
      <c r="N122" s="23">
        <f t="shared" si="6"/>
        <v>0.439</v>
      </c>
    </row>
    <row r="123">
      <c r="A123" s="1">
        <v>229.0</v>
      </c>
      <c r="B123" s="1">
        <v>22859.0</v>
      </c>
      <c r="C123" s="23">
        <v>18.835</v>
      </c>
      <c r="D123" s="23">
        <v>18.029</v>
      </c>
      <c r="E123" s="23">
        <v>3.477</v>
      </c>
      <c r="F123" s="1">
        <v>873.9</v>
      </c>
      <c r="G123" s="23">
        <v>0.782</v>
      </c>
      <c r="H123" s="23">
        <v>0.439</v>
      </c>
      <c r="I123" s="1">
        <v>318.9</v>
      </c>
      <c r="J123" s="61">
        <v>1186.9</v>
      </c>
      <c r="K123" s="1">
        <v>35990.0</v>
      </c>
      <c r="L123" s="1">
        <v>100.0</v>
      </c>
      <c r="M123" s="23">
        <v>15.456</v>
      </c>
      <c r="N123" s="23">
        <f t="shared" si="6"/>
        <v>0.439</v>
      </c>
    </row>
    <row r="124">
      <c r="A124" s="1">
        <v>231.0</v>
      </c>
      <c r="B124" s="1">
        <v>23722.0</v>
      </c>
      <c r="C124" s="23">
        <v>17.172</v>
      </c>
      <c r="D124" s="23">
        <v>16.583</v>
      </c>
      <c r="E124" s="23">
        <v>3.477</v>
      </c>
      <c r="F124" s="1">
        <v>873.9</v>
      </c>
      <c r="G124" s="23">
        <v>0.882</v>
      </c>
      <c r="H124" s="23">
        <v>0.461</v>
      </c>
      <c r="I124" s="1">
        <v>318.9</v>
      </c>
      <c r="J124" s="61">
        <v>1186.9</v>
      </c>
      <c r="K124" s="1">
        <v>37348.0</v>
      </c>
      <c r="L124" s="1">
        <v>100.0</v>
      </c>
      <c r="M124" s="23">
        <v>15.387</v>
      </c>
      <c r="N124" s="23">
        <f t="shared" si="6"/>
        <v>0.461</v>
      </c>
    </row>
    <row r="125">
      <c r="A125" s="1">
        <v>233.0</v>
      </c>
      <c r="B125" s="1">
        <v>20272.0</v>
      </c>
      <c r="C125" s="23">
        <v>17.563</v>
      </c>
      <c r="D125" s="23">
        <v>16.944</v>
      </c>
      <c r="E125" s="23">
        <v>3.437</v>
      </c>
      <c r="F125" s="1">
        <v>873.9</v>
      </c>
      <c r="G125" s="23">
        <v>0.882</v>
      </c>
      <c r="H125" s="23">
        <v>0.461</v>
      </c>
      <c r="I125" s="1">
        <v>318.9</v>
      </c>
      <c r="J125" s="61">
        <v>1186.9</v>
      </c>
      <c r="K125" s="1">
        <v>31915.0</v>
      </c>
      <c r="L125" s="1">
        <v>100.0</v>
      </c>
      <c r="M125" s="23">
        <v>15.387</v>
      </c>
      <c r="N125" s="23">
        <f t="shared" si="6"/>
        <v>0.461</v>
      </c>
    </row>
    <row r="126">
      <c r="A126" s="1">
        <v>235.0</v>
      </c>
      <c r="B126" s="1">
        <v>18546.0</v>
      </c>
      <c r="C126" s="23">
        <v>16.366</v>
      </c>
      <c r="D126" s="23">
        <v>15.87</v>
      </c>
      <c r="E126" s="23">
        <v>3.357</v>
      </c>
      <c r="F126" s="1">
        <v>873.9</v>
      </c>
      <c r="G126" s="23">
        <v>0.882</v>
      </c>
      <c r="H126" s="23">
        <v>0.461</v>
      </c>
      <c r="I126" s="1">
        <v>318.9</v>
      </c>
      <c r="J126" s="61">
        <v>1186.9</v>
      </c>
      <c r="K126" s="1">
        <v>29199.0</v>
      </c>
      <c r="L126" s="1">
        <v>100.0</v>
      </c>
      <c r="M126" s="23">
        <v>15.184</v>
      </c>
      <c r="N126" s="23">
        <f t="shared" si="6"/>
        <v>0.461</v>
      </c>
    </row>
    <row r="127">
      <c r="A127" s="1">
        <v>237.0</v>
      </c>
      <c r="B127" s="1">
        <v>18546.0</v>
      </c>
      <c r="C127" s="23">
        <v>16.177</v>
      </c>
      <c r="D127" s="23">
        <v>15.006</v>
      </c>
      <c r="E127" s="23">
        <v>3.277</v>
      </c>
      <c r="F127" s="1">
        <v>873.9</v>
      </c>
      <c r="G127" s="23">
        <v>0.882</v>
      </c>
      <c r="H127" s="23">
        <v>0.461</v>
      </c>
      <c r="I127" s="1">
        <v>318.9</v>
      </c>
      <c r="J127" s="61">
        <v>1186.9</v>
      </c>
      <c r="K127" s="1">
        <v>29199.0</v>
      </c>
      <c r="L127" s="1">
        <v>100.0</v>
      </c>
      <c r="M127" s="23">
        <v>15.184</v>
      </c>
      <c r="N127" s="23">
        <f t="shared" si="6"/>
        <v>0.461</v>
      </c>
    </row>
    <row r="128">
      <c r="A128" s="1">
        <v>239.0</v>
      </c>
      <c r="B128" s="1">
        <v>18546.0</v>
      </c>
      <c r="C128" s="23">
        <v>16.933</v>
      </c>
      <c r="D128" s="23">
        <v>15.625</v>
      </c>
      <c r="E128" s="23">
        <v>3.277</v>
      </c>
      <c r="F128" s="1">
        <v>873.9</v>
      </c>
      <c r="G128" s="23">
        <v>0.882</v>
      </c>
      <c r="H128" s="23">
        <v>0.469</v>
      </c>
      <c r="I128" s="1">
        <v>318.9</v>
      </c>
      <c r="J128" s="61">
        <v>1186.9</v>
      </c>
      <c r="K128" s="1">
        <v>29199.0</v>
      </c>
      <c r="L128" s="1">
        <v>100.0</v>
      </c>
      <c r="M128" s="23">
        <v>15.132</v>
      </c>
      <c r="N128" s="23">
        <f t="shared" si="6"/>
        <v>0.469</v>
      </c>
    </row>
    <row r="129">
      <c r="A129" s="1">
        <v>241.0</v>
      </c>
      <c r="B129" s="1">
        <v>18546.0</v>
      </c>
      <c r="C129" s="23">
        <v>16.919</v>
      </c>
      <c r="D129" s="23">
        <v>15.625</v>
      </c>
      <c r="E129" s="23">
        <v>3.277</v>
      </c>
      <c r="F129" s="1">
        <v>873.9</v>
      </c>
      <c r="G129" s="23">
        <v>0.779</v>
      </c>
      <c r="H129" s="23">
        <v>0.439</v>
      </c>
      <c r="I129" s="1">
        <v>318.9</v>
      </c>
      <c r="J129" s="61">
        <v>1167.1</v>
      </c>
      <c r="K129" s="1">
        <v>29199.0</v>
      </c>
      <c r="L129" s="1">
        <v>100.0</v>
      </c>
      <c r="M129" s="23">
        <v>15.132</v>
      </c>
      <c r="N129" s="23">
        <f t="shared" si="6"/>
        <v>0.439</v>
      </c>
    </row>
    <row r="130">
      <c r="A130" s="1">
        <v>243.0</v>
      </c>
      <c r="B130" s="1">
        <v>18546.0</v>
      </c>
      <c r="C130" s="23">
        <v>16.933</v>
      </c>
      <c r="D130" s="23">
        <v>15.6</v>
      </c>
      <c r="E130" s="23">
        <v>2.857</v>
      </c>
      <c r="F130" s="1">
        <v>873.9</v>
      </c>
      <c r="G130" s="23">
        <v>0.782</v>
      </c>
      <c r="H130" s="23">
        <v>0.439</v>
      </c>
      <c r="I130" s="1">
        <v>318.9</v>
      </c>
      <c r="J130" s="61">
        <v>1186.9</v>
      </c>
      <c r="K130" s="1">
        <v>29199.0</v>
      </c>
      <c r="L130" s="1">
        <v>100.0</v>
      </c>
      <c r="M130" s="23">
        <v>15.143</v>
      </c>
      <c r="N130" s="23">
        <f t="shared" si="6"/>
        <v>0.439</v>
      </c>
    </row>
    <row r="131">
      <c r="A131" s="1">
        <v>245.0</v>
      </c>
      <c r="B131" s="1">
        <v>18546.0</v>
      </c>
      <c r="C131" s="23">
        <v>16.878</v>
      </c>
      <c r="D131" s="23">
        <v>15.6</v>
      </c>
      <c r="E131" s="23">
        <v>2.857</v>
      </c>
      <c r="F131" s="1">
        <v>873.9</v>
      </c>
      <c r="G131" s="23">
        <v>0.766</v>
      </c>
      <c r="H131" s="23">
        <v>0.439</v>
      </c>
      <c r="I131" s="1">
        <v>318.9</v>
      </c>
      <c r="J131" s="61">
        <v>1104.9</v>
      </c>
      <c r="K131" s="1">
        <v>29199.0</v>
      </c>
      <c r="L131" s="1">
        <v>100.0</v>
      </c>
      <c r="M131" s="23">
        <v>15.143</v>
      </c>
      <c r="N131" s="23">
        <f t="shared" si="6"/>
        <v>0.439</v>
      </c>
    </row>
    <row r="132">
      <c r="A132" s="1">
        <v>247.0</v>
      </c>
      <c r="B132" s="1">
        <v>18546.0</v>
      </c>
      <c r="C132" s="23">
        <v>16.878</v>
      </c>
      <c r="D132" s="23">
        <v>15.599</v>
      </c>
      <c r="E132" s="23">
        <v>2.857</v>
      </c>
      <c r="F132" s="1">
        <v>873.9</v>
      </c>
      <c r="G132" s="23">
        <v>0.766</v>
      </c>
      <c r="H132" s="23">
        <v>0.439</v>
      </c>
      <c r="I132" s="1">
        <v>318.9</v>
      </c>
      <c r="J132" s="61">
        <v>1104.9</v>
      </c>
      <c r="K132" s="1">
        <v>29199.0</v>
      </c>
      <c r="L132" s="1">
        <v>100.0</v>
      </c>
      <c r="M132" s="23">
        <v>15.138</v>
      </c>
      <c r="N132" s="23">
        <f t="shared" si="6"/>
        <v>0.439</v>
      </c>
    </row>
    <row r="133">
      <c r="A133" s="1">
        <v>249.0</v>
      </c>
      <c r="B133" s="1">
        <v>18546.0</v>
      </c>
      <c r="C133" s="23">
        <v>15.485</v>
      </c>
      <c r="D133" s="23">
        <v>14.997</v>
      </c>
      <c r="E133" s="23">
        <v>3.277</v>
      </c>
      <c r="F133" s="1">
        <v>849.6</v>
      </c>
      <c r="G133" s="23">
        <v>0.759</v>
      </c>
      <c r="H133" s="23">
        <v>0.439</v>
      </c>
      <c r="I133" s="1">
        <v>318.9</v>
      </c>
      <c r="J133" s="61">
        <v>1065.7</v>
      </c>
      <c r="K133" s="1">
        <v>29199.0</v>
      </c>
      <c r="L133" s="1">
        <v>100.0</v>
      </c>
      <c r="M133" s="23">
        <v>15.138</v>
      </c>
      <c r="N133" s="23">
        <f t="shared" si="6"/>
        <v>0.439</v>
      </c>
    </row>
    <row r="134">
      <c r="A134" s="1">
        <v>251.0</v>
      </c>
      <c r="B134" s="1">
        <v>18546.0</v>
      </c>
      <c r="C134" s="23">
        <v>15.895</v>
      </c>
      <c r="D134" s="23">
        <v>15.308</v>
      </c>
      <c r="E134" s="23">
        <v>3.277</v>
      </c>
      <c r="F134" s="1">
        <v>888.9</v>
      </c>
      <c r="G134" s="23">
        <v>0.766</v>
      </c>
      <c r="H134" s="23">
        <v>0.439</v>
      </c>
      <c r="I134" s="1">
        <v>318.9</v>
      </c>
      <c r="J134" s="61">
        <v>1104.9</v>
      </c>
      <c r="K134" s="1">
        <v>29199.0</v>
      </c>
      <c r="L134" s="1">
        <v>100.0</v>
      </c>
      <c r="M134" s="23">
        <v>15.121</v>
      </c>
      <c r="N134" s="23">
        <f t="shared" si="6"/>
        <v>0.439</v>
      </c>
    </row>
    <row r="135">
      <c r="A135" s="1">
        <v>254.0</v>
      </c>
      <c r="B135" s="1">
        <v>18546.0</v>
      </c>
      <c r="C135" s="23">
        <v>17.168</v>
      </c>
      <c r="D135" s="23">
        <v>16.358</v>
      </c>
      <c r="E135" s="23">
        <v>3.277</v>
      </c>
      <c r="F135" s="1">
        <v>888.9</v>
      </c>
      <c r="G135" s="23">
        <v>0.766</v>
      </c>
      <c r="H135" s="23">
        <v>0.439</v>
      </c>
      <c r="I135" s="1">
        <v>318.9</v>
      </c>
      <c r="J135" s="61">
        <v>1104.9</v>
      </c>
      <c r="K135" s="1">
        <v>29199.0</v>
      </c>
      <c r="L135" s="1">
        <v>100.0</v>
      </c>
      <c r="M135" s="23">
        <v>15.121</v>
      </c>
      <c r="N135" s="23">
        <f t="shared" si="6"/>
        <v>0.439</v>
      </c>
    </row>
    <row r="136">
      <c r="A136" s="1">
        <v>256.0</v>
      </c>
      <c r="B136" s="1">
        <v>20272.0</v>
      </c>
      <c r="C136" s="23">
        <v>17.76</v>
      </c>
      <c r="D136" s="23">
        <v>16.826</v>
      </c>
      <c r="E136" s="23">
        <v>3.357</v>
      </c>
      <c r="F136" s="1">
        <v>888.9</v>
      </c>
      <c r="G136" s="23">
        <v>0.766</v>
      </c>
      <c r="H136" s="23">
        <v>0.439</v>
      </c>
      <c r="I136" s="1">
        <v>318.9</v>
      </c>
      <c r="J136" s="61">
        <v>1104.9</v>
      </c>
      <c r="K136" s="1">
        <v>31915.0</v>
      </c>
      <c r="L136" s="1">
        <v>100.0</v>
      </c>
      <c r="M136" s="23">
        <v>15.121</v>
      </c>
      <c r="N136" s="23">
        <f t="shared" si="6"/>
        <v>0.439</v>
      </c>
    </row>
    <row r="137">
      <c r="A137" s="1">
        <v>258.0</v>
      </c>
      <c r="B137" s="1">
        <v>20272.0</v>
      </c>
      <c r="C137" s="26">
        <v>18.39</v>
      </c>
      <c r="D137" s="23">
        <v>17.987</v>
      </c>
      <c r="E137" s="23">
        <v>3.357</v>
      </c>
      <c r="F137" s="1">
        <v>888.9</v>
      </c>
      <c r="G137" s="23">
        <v>0.766</v>
      </c>
      <c r="H137" s="23">
        <v>0.439</v>
      </c>
      <c r="I137" s="1">
        <v>318.9</v>
      </c>
      <c r="J137" s="61">
        <v>1104.9</v>
      </c>
      <c r="K137" s="1">
        <v>31915.0</v>
      </c>
      <c r="L137" s="1">
        <v>100.0</v>
      </c>
      <c r="M137" s="23">
        <v>15.251</v>
      </c>
      <c r="N137" s="23">
        <f t="shared" si="6"/>
        <v>0.439</v>
      </c>
    </row>
    <row r="138">
      <c r="A138" s="1">
        <v>260.0</v>
      </c>
      <c r="B138" s="1">
        <v>20272.0</v>
      </c>
      <c r="C138" s="26">
        <v>18.415</v>
      </c>
      <c r="D138" s="23">
        <v>17.987</v>
      </c>
      <c r="E138" s="23">
        <v>3.357</v>
      </c>
      <c r="F138" s="1">
        <v>888.9</v>
      </c>
      <c r="G138" s="23">
        <v>0.766</v>
      </c>
      <c r="H138" s="23">
        <v>0.439</v>
      </c>
      <c r="I138" s="1">
        <v>318.9</v>
      </c>
      <c r="J138" s="61">
        <v>1104.9</v>
      </c>
      <c r="K138" s="1">
        <v>31915.0</v>
      </c>
      <c r="L138" s="1">
        <v>100.0</v>
      </c>
      <c r="M138" s="23">
        <v>15.251</v>
      </c>
      <c r="N138" s="23">
        <f t="shared" si="6"/>
        <v>0.439</v>
      </c>
    </row>
    <row r="139">
      <c r="A139" s="1">
        <v>262.0</v>
      </c>
      <c r="B139" s="1">
        <v>20272.0</v>
      </c>
      <c r="C139" s="26">
        <v>18.44</v>
      </c>
      <c r="D139" s="23">
        <v>18.003</v>
      </c>
      <c r="E139" s="23">
        <v>3.357</v>
      </c>
      <c r="F139" s="1">
        <v>873.9</v>
      </c>
      <c r="G139" s="23">
        <v>0.766</v>
      </c>
      <c r="H139" s="23">
        <v>0.439</v>
      </c>
      <c r="I139" s="1">
        <v>318.9</v>
      </c>
      <c r="J139" s="61">
        <v>1104.9</v>
      </c>
      <c r="K139" s="1">
        <v>31915.0</v>
      </c>
      <c r="L139" s="1">
        <v>100.0</v>
      </c>
      <c r="M139" s="23">
        <v>15.326</v>
      </c>
      <c r="N139" s="23">
        <f t="shared" si="6"/>
        <v>0.439</v>
      </c>
    </row>
    <row r="140">
      <c r="A140" s="1">
        <v>264.0</v>
      </c>
      <c r="B140" s="1">
        <v>20272.0</v>
      </c>
      <c r="C140" s="26">
        <v>18.508</v>
      </c>
      <c r="D140" s="23">
        <v>18.85</v>
      </c>
      <c r="E140" s="23">
        <v>3.357</v>
      </c>
      <c r="F140" s="1">
        <v>873.9</v>
      </c>
      <c r="G140" s="23">
        <v>0.782</v>
      </c>
      <c r="H140" s="23">
        <v>0.439</v>
      </c>
      <c r="I140" s="1">
        <v>318.9</v>
      </c>
      <c r="J140" s="61">
        <v>1186.9</v>
      </c>
      <c r="K140" s="1">
        <v>31915.0</v>
      </c>
      <c r="L140" s="1">
        <v>100.0</v>
      </c>
      <c r="M140" s="23">
        <v>15.326</v>
      </c>
      <c r="N140" s="23">
        <f t="shared" si="6"/>
        <v>0.439</v>
      </c>
    </row>
    <row r="141">
      <c r="A141" s="1">
        <v>266.0</v>
      </c>
      <c r="B141" s="1">
        <v>20272.0</v>
      </c>
      <c r="C141" s="26">
        <v>18.545</v>
      </c>
      <c r="D141" s="23">
        <v>17.684</v>
      </c>
      <c r="E141" s="23">
        <v>3.986</v>
      </c>
      <c r="F141" s="1">
        <v>873.9</v>
      </c>
      <c r="G141" s="23">
        <v>0.782</v>
      </c>
      <c r="H141" s="23">
        <v>1.432</v>
      </c>
      <c r="I141" s="1">
        <v>318.9</v>
      </c>
      <c r="J141" s="61">
        <v>1186.9</v>
      </c>
      <c r="K141" s="1">
        <v>31915.0</v>
      </c>
      <c r="L141" s="1">
        <v>100.0</v>
      </c>
      <c r="M141" s="23">
        <v>15.339</v>
      </c>
      <c r="N141" s="23">
        <f t="shared" si="6"/>
        <v>1</v>
      </c>
    </row>
    <row r="142">
      <c r="A142" s="1">
        <v>268.0</v>
      </c>
      <c r="B142" s="1">
        <v>20272.0</v>
      </c>
      <c r="C142" s="23">
        <v>18.167</v>
      </c>
      <c r="D142" s="23">
        <v>18.546</v>
      </c>
      <c r="E142" s="23">
        <v>4.117</v>
      </c>
      <c r="F142" s="1">
        <v>873.9</v>
      </c>
      <c r="G142" s="23">
        <v>0.782</v>
      </c>
      <c r="H142" s="23">
        <v>1.432</v>
      </c>
      <c r="I142" s="1">
        <v>318.9</v>
      </c>
      <c r="J142" s="61">
        <v>1186.9</v>
      </c>
      <c r="K142" s="1">
        <v>31915.0</v>
      </c>
      <c r="L142" s="1">
        <v>100.0</v>
      </c>
      <c r="M142" s="23">
        <v>15.339</v>
      </c>
      <c r="N142" s="23">
        <f t="shared" si="6"/>
        <v>1</v>
      </c>
    </row>
    <row r="143">
      <c r="A143" s="1">
        <v>270.0</v>
      </c>
      <c r="B143" s="1">
        <v>19933.0</v>
      </c>
      <c r="C143" s="23">
        <v>16.882</v>
      </c>
      <c r="D143" s="23">
        <v>17.412</v>
      </c>
      <c r="E143" s="23">
        <v>4.117</v>
      </c>
      <c r="F143" s="1">
        <v>873.9</v>
      </c>
      <c r="G143" s="23">
        <v>0.782</v>
      </c>
      <c r="H143" s="23">
        <v>0.421</v>
      </c>
      <c r="I143" s="1">
        <v>318.9</v>
      </c>
      <c r="J143" s="61">
        <v>1186.9</v>
      </c>
      <c r="K143" s="1">
        <v>31915.0</v>
      </c>
      <c r="L143" s="1">
        <v>100.0</v>
      </c>
      <c r="M143" s="23">
        <v>15.335</v>
      </c>
      <c r="N143" s="23">
        <f t="shared" si="6"/>
        <v>0.421</v>
      </c>
    </row>
    <row r="144">
      <c r="A144" s="1">
        <v>272.0</v>
      </c>
      <c r="B144" s="1">
        <v>18546.0</v>
      </c>
      <c r="C144" s="23">
        <v>16.718</v>
      </c>
      <c r="D144" s="23">
        <v>17.187</v>
      </c>
      <c r="E144" s="23">
        <v>4.03</v>
      </c>
      <c r="F144" s="1">
        <v>873.9</v>
      </c>
      <c r="G144" s="23">
        <v>0.782</v>
      </c>
      <c r="H144" s="23">
        <v>0.421</v>
      </c>
      <c r="I144" s="1">
        <v>318.9</v>
      </c>
      <c r="J144" s="61">
        <v>1186.9</v>
      </c>
      <c r="K144" s="1">
        <v>29199.0</v>
      </c>
      <c r="L144" s="1">
        <v>100.0</v>
      </c>
      <c r="M144" s="23">
        <v>15.335</v>
      </c>
      <c r="N144" s="23">
        <f t="shared" si="6"/>
        <v>0.421</v>
      </c>
    </row>
    <row r="145">
      <c r="A145" s="1">
        <v>274.0</v>
      </c>
      <c r="B145" s="1">
        <v>18546.0</v>
      </c>
      <c r="C145" s="23">
        <v>16.353</v>
      </c>
      <c r="D145" s="23">
        <v>16.848</v>
      </c>
      <c r="E145" s="23">
        <v>4.03</v>
      </c>
      <c r="F145" s="1">
        <v>873.9</v>
      </c>
      <c r="G145" s="23">
        <v>0.782</v>
      </c>
      <c r="H145" s="23">
        <v>0.431</v>
      </c>
      <c r="I145" s="1">
        <v>318.9</v>
      </c>
      <c r="J145" s="61">
        <v>1186.9</v>
      </c>
      <c r="K145" s="1">
        <v>29199.0</v>
      </c>
      <c r="L145" s="1">
        <v>100.0</v>
      </c>
      <c r="M145" s="23">
        <v>15.291</v>
      </c>
      <c r="N145" s="23">
        <f t="shared" si="6"/>
        <v>0.431</v>
      </c>
    </row>
    <row r="146">
      <c r="A146" s="1">
        <v>276.0</v>
      </c>
      <c r="B146" s="1">
        <v>18546.0</v>
      </c>
      <c r="C146" s="26">
        <v>16.744</v>
      </c>
      <c r="D146" s="23">
        <v>18.058</v>
      </c>
      <c r="E146" s="23">
        <v>4.03</v>
      </c>
      <c r="F146" s="1">
        <v>888.9</v>
      </c>
      <c r="G146" s="23">
        <v>0.782</v>
      </c>
      <c r="H146" s="23">
        <v>0.431</v>
      </c>
      <c r="I146" s="1">
        <v>318.9</v>
      </c>
      <c r="J146" s="61">
        <v>1186.9</v>
      </c>
      <c r="K146" s="1">
        <v>29199.0</v>
      </c>
      <c r="L146" s="1">
        <v>100.0</v>
      </c>
      <c r="M146" s="23">
        <v>15.291</v>
      </c>
      <c r="N146" s="23">
        <f t="shared" si="6"/>
        <v>0.431</v>
      </c>
    </row>
    <row r="147">
      <c r="A147" s="1">
        <v>278.0</v>
      </c>
      <c r="B147" s="1">
        <v>18546.0</v>
      </c>
      <c r="C147" s="23">
        <v>16.769</v>
      </c>
      <c r="D147" s="23">
        <v>18.061</v>
      </c>
      <c r="E147" s="23">
        <v>4.139</v>
      </c>
      <c r="F147" s="1">
        <v>888.9</v>
      </c>
      <c r="G147" s="23">
        <v>0.782</v>
      </c>
      <c r="H147" s="23">
        <v>0.439</v>
      </c>
      <c r="I147" s="1">
        <v>318.9</v>
      </c>
      <c r="J147" s="61">
        <v>1186.9</v>
      </c>
      <c r="K147" s="1">
        <v>29199.0</v>
      </c>
      <c r="L147" s="1">
        <v>100.0</v>
      </c>
      <c r="M147" s="23">
        <v>15.294</v>
      </c>
      <c r="N147" s="23">
        <f t="shared" si="6"/>
        <v>0.439</v>
      </c>
    </row>
    <row r="148">
      <c r="A148" s="1">
        <v>280.0</v>
      </c>
      <c r="B148" s="1">
        <v>18546.0</v>
      </c>
      <c r="C148" s="23">
        <v>16.714</v>
      </c>
      <c r="D148" s="26">
        <v>18.069</v>
      </c>
      <c r="E148" s="23">
        <v>4.411</v>
      </c>
      <c r="F148" s="1">
        <v>888.9</v>
      </c>
      <c r="G148" s="23">
        <v>0.766</v>
      </c>
      <c r="H148" s="23">
        <v>0.439</v>
      </c>
      <c r="I148" s="1">
        <v>318.9</v>
      </c>
      <c r="J148" s="61">
        <v>1104.9</v>
      </c>
      <c r="K148" s="1">
        <v>29199.0</v>
      </c>
      <c r="L148" s="1">
        <v>100.0</v>
      </c>
      <c r="M148" s="23">
        <v>15.294</v>
      </c>
      <c r="N148" s="23">
        <f t="shared" si="6"/>
        <v>0.439</v>
      </c>
    </row>
    <row r="149">
      <c r="A149" s="1">
        <v>282.0</v>
      </c>
      <c r="B149" s="1">
        <v>18546.0</v>
      </c>
      <c r="C149" s="23">
        <v>16.714</v>
      </c>
      <c r="D149" s="23">
        <v>16.961</v>
      </c>
      <c r="E149" s="23">
        <v>4.28</v>
      </c>
      <c r="F149" s="1">
        <v>888.9</v>
      </c>
      <c r="G149" s="23">
        <v>0.766</v>
      </c>
      <c r="H149" s="23">
        <v>0.439</v>
      </c>
      <c r="I149" s="1">
        <v>318.9</v>
      </c>
      <c r="J149" s="61">
        <v>1104.9</v>
      </c>
      <c r="K149" s="1">
        <v>29199.0</v>
      </c>
      <c r="L149" s="1">
        <v>100.0</v>
      </c>
      <c r="M149" s="23">
        <v>15.224</v>
      </c>
      <c r="N149" s="23">
        <f t="shared" si="6"/>
        <v>0.439</v>
      </c>
    </row>
    <row r="150">
      <c r="A150" s="1">
        <v>284.0</v>
      </c>
      <c r="B150" s="1">
        <v>18546.0</v>
      </c>
      <c r="C150" s="23">
        <v>16.752</v>
      </c>
      <c r="D150" s="23">
        <v>16.961</v>
      </c>
      <c r="E150" s="23">
        <v>4.28</v>
      </c>
      <c r="F150" s="1">
        <v>888.9</v>
      </c>
      <c r="G150" s="23">
        <v>0.766</v>
      </c>
      <c r="H150" s="23">
        <v>0.429</v>
      </c>
      <c r="I150" s="1">
        <v>318.9</v>
      </c>
      <c r="J150" s="61">
        <v>1104.9</v>
      </c>
      <c r="K150" s="1">
        <v>29199.0</v>
      </c>
      <c r="L150" s="1">
        <v>100.0</v>
      </c>
      <c r="M150" s="23">
        <v>15.224</v>
      </c>
      <c r="N150" s="23">
        <f t="shared" si="6"/>
        <v>0.429</v>
      </c>
    </row>
    <row r="151">
      <c r="A151" s="1">
        <v>286.0</v>
      </c>
      <c r="B151" s="1">
        <v>18546.0</v>
      </c>
      <c r="C151" s="23">
        <v>19.007</v>
      </c>
      <c r="D151" s="23">
        <v>18.921</v>
      </c>
      <c r="E151" s="23">
        <v>3.627</v>
      </c>
      <c r="F151" s="1">
        <v>888.9</v>
      </c>
      <c r="G151" s="23">
        <v>0.766</v>
      </c>
      <c r="H151" s="23">
        <v>0.429</v>
      </c>
      <c r="I151" s="1">
        <v>318.9</v>
      </c>
      <c r="J151" s="61">
        <v>1104.9</v>
      </c>
      <c r="K151" s="1">
        <v>29199.0</v>
      </c>
      <c r="L151" s="1">
        <v>100.0</v>
      </c>
      <c r="M151" s="23">
        <v>15.224</v>
      </c>
      <c r="N151" s="23">
        <f t="shared" si="6"/>
        <v>0.429</v>
      </c>
    </row>
    <row r="152">
      <c r="A152" s="1">
        <v>288.0</v>
      </c>
      <c r="B152" s="1">
        <v>22859.0</v>
      </c>
      <c r="C152" s="23">
        <v>20.053</v>
      </c>
      <c r="D152" s="26">
        <v>19.022</v>
      </c>
      <c r="E152" s="23">
        <v>3.827</v>
      </c>
      <c r="F152" s="1">
        <v>888.9</v>
      </c>
      <c r="G152" s="23">
        <v>0.766</v>
      </c>
      <c r="H152" s="23">
        <v>0.429</v>
      </c>
      <c r="I152" s="1">
        <v>318.9</v>
      </c>
      <c r="J152" s="61">
        <v>1104.9</v>
      </c>
      <c r="K152" s="1">
        <v>35990.0</v>
      </c>
      <c r="L152" s="1">
        <v>100.0</v>
      </c>
      <c r="M152" s="23">
        <v>15.421</v>
      </c>
      <c r="N152" s="23">
        <f t="shared" si="6"/>
        <v>0.429</v>
      </c>
    </row>
    <row r="153">
      <c r="A153" s="1">
        <v>290.0</v>
      </c>
      <c r="B153" s="1">
        <v>22859.0</v>
      </c>
      <c r="C153" s="23">
        <v>19.247</v>
      </c>
      <c r="D153" s="23">
        <v>18.362</v>
      </c>
      <c r="E153" s="23">
        <v>3.827</v>
      </c>
      <c r="F153" s="1">
        <v>888.9</v>
      </c>
      <c r="G153" s="23">
        <v>0.766</v>
      </c>
      <c r="H153" s="23">
        <v>0.429</v>
      </c>
      <c r="I153" s="1">
        <v>318.9</v>
      </c>
      <c r="J153" s="61">
        <v>1104.9</v>
      </c>
      <c r="K153" s="1">
        <v>35990.0</v>
      </c>
      <c r="L153" s="1">
        <v>100.0</v>
      </c>
      <c r="M153" s="23">
        <v>15.421</v>
      </c>
      <c r="N153" s="23">
        <f t="shared" si="6"/>
        <v>0.429</v>
      </c>
    </row>
    <row r="154">
      <c r="A154" s="1">
        <v>292.0</v>
      </c>
      <c r="B154" s="1">
        <v>22859.0</v>
      </c>
      <c r="C154" s="23">
        <v>18.831</v>
      </c>
      <c r="D154" s="23">
        <v>18.032</v>
      </c>
      <c r="E154" s="23">
        <v>3.827</v>
      </c>
      <c r="F154" s="1">
        <v>888.9</v>
      </c>
      <c r="G154" s="23">
        <v>0.766</v>
      </c>
      <c r="H154" s="23">
        <v>0.429</v>
      </c>
      <c r="I154" s="1">
        <v>318.9</v>
      </c>
      <c r="J154" s="61">
        <v>1104.9</v>
      </c>
      <c r="K154" s="1">
        <v>35990.0</v>
      </c>
      <c r="L154" s="1">
        <v>100.0</v>
      </c>
      <c r="M154" s="23">
        <v>15.424</v>
      </c>
      <c r="N154" s="23">
        <f t="shared" si="6"/>
        <v>0.429</v>
      </c>
    </row>
    <row r="155">
      <c r="A155" s="1">
        <v>294.0</v>
      </c>
      <c r="B155" s="1">
        <v>22859.0</v>
      </c>
      <c r="C155" s="23">
        <v>18.86</v>
      </c>
      <c r="D155" s="23">
        <v>18.032</v>
      </c>
      <c r="E155" s="23">
        <v>3.827</v>
      </c>
      <c r="F155" s="1">
        <v>873.9</v>
      </c>
      <c r="G155" s="23">
        <v>0.782</v>
      </c>
      <c r="H155" s="23">
        <v>0.429</v>
      </c>
      <c r="I155" s="1">
        <v>318.9</v>
      </c>
      <c r="J155" s="61">
        <v>1186.9</v>
      </c>
      <c r="K155" s="1">
        <v>35990.0</v>
      </c>
      <c r="L155" s="1">
        <v>99.0</v>
      </c>
      <c r="M155" s="26">
        <v>15.424</v>
      </c>
      <c r="N155" s="23">
        <f t="shared" si="6"/>
        <v>0.429</v>
      </c>
    </row>
    <row r="156">
      <c r="A156" s="1">
        <v>296.0</v>
      </c>
      <c r="B156" s="1">
        <v>22859.0</v>
      </c>
      <c r="C156" s="26">
        <v>17.84</v>
      </c>
      <c r="D156" s="23">
        <v>17.707</v>
      </c>
      <c r="E156" s="23">
        <v>3.727</v>
      </c>
      <c r="F156" s="1">
        <v>873.9</v>
      </c>
      <c r="G156" s="23">
        <v>0.782</v>
      </c>
      <c r="H156" s="23">
        <v>0.429</v>
      </c>
      <c r="I156" s="1">
        <v>318.9</v>
      </c>
      <c r="J156" s="61">
        <v>1186.9</v>
      </c>
      <c r="K156" s="1">
        <v>35990.0</v>
      </c>
      <c r="L156" s="1">
        <v>100.0</v>
      </c>
      <c r="M156" s="26">
        <v>15.456</v>
      </c>
      <c r="N156" s="23">
        <f t="shared" si="6"/>
        <v>0.429</v>
      </c>
    </row>
    <row r="157">
      <c r="A157" s="1">
        <v>298.0</v>
      </c>
      <c r="B157" s="1">
        <v>22859.0</v>
      </c>
      <c r="C157" s="23">
        <v>18.785</v>
      </c>
      <c r="D157" s="23">
        <v>18.037</v>
      </c>
      <c r="E157" s="23">
        <v>3.727</v>
      </c>
      <c r="F157" s="1">
        <v>873.9</v>
      </c>
      <c r="G157" s="23">
        <v>0.882</v>
      </c>
      <c r="H157" s="23">
        <v>0.469</v>
      </c>
      <c r="I157" s="1">
        <v>318.9</v>
      </c>
      <c r="J157" s="61">
        <v>1186.9</v>
      </c>
      <c r="K157" s="1">
        <v>35990.0</v>
      </c>
      <c r="L157" s="1">
        <v>100.0</v>
      </c>
      <c r="M157" s="23">
        <v>15.456</v>
      </c>
      <c r="N157" s="23">
        <f t="shared" si="6"/>
        <v>0.469</v>
      </c>
    </row>
    <row r="158">
      <c r="A158" s="1">
        <v>300.0</v>
      </c>
      <c r="B158" s="1">
        <v>22859.0</v>
      </c>
      <c r="C158" s="23">
        <v>17.766</v>
      </c>
      <c r="D158" s="23">
        <v>17.777</v>
      </c>
      <c r="E158" s="23">
        <v>3.307</v>
      </c>
      <c r="F158" s="1">
        <v>834.6</v>
      </c>
      <c r="G158" s="23">
        <v>0.875</v>
      </c>
      <c r="H158" s="23">
        <v>0.469</v>
      </c>
      <c r="I158" s="1">
        <v>318.9</v>
      </c>
      <c r="J158" s="61">
        <v>1147.6</v>
      </c>
      <c r="K158" s="1">
        <v>35990.0</v>
      </c>
      <c r="L158" s="1">
        <v>100.0</v>
      </c>
      <c r="M158" s="23">
        <v>15.404</v>
      </c>
      <c r="N158" s="23">
        <f t="shared" si="6"/>
        <v>0.469</v>
      </c>
    </row>
    <row r="159">
      <c r="A159" s="1">
        <v>302.0</v>
      </c>
      <c r="B159" s="1">
        <v>20272.0</v>
      </c>
      <c r="C159" s="23">
        <v>17.5</v>
      </c>
      <c r="D159" s="23">
        <v>16.917</v>
      </c>
      <c r="E159" s="23">
        <v>3.437</v>
      </c>
      <c r="F159" s="1">
        <v>873.9</v>
      </c>
      <c r="G159" s="23">
        <v>0.882</v>
      </c>
      <c r="H159" s="23">
        <v>0.469</v>
      </c>
      <c r="I159" s="1">
        <v>318.9</v>
      </c>
      <c r="J159" s="61">
        <v>1186.9</v>
      </c>
      <c r="K159" s="1">
        <v>31915.0</v>
      </c>
      <c r="L159" s="1">
        <v>100.0</v>
      </c>
      <c r="M159" s="23">
        <v>15.404</v>
      </c>
      <c r="N159" s="23">
        <f t="shared" si="6"/>
        <v>0.469</v>
      </c>
    </row>
    <row r="160">
      <c r="A160" s="1">
        <v>304.0</v>
      </c>
      <c r="B160" s="1">
        <v>18546.0</v>
      </c>
      <c r="C160" s="23">
        <v>16.933</v>
      </c>
      <c r="D160" s="23">
        <v>15.651</v>
      </c>
      <c r="E160" s="23">
        <v>3.527</v>
      </c>
      <c r="F160" s="1">
        <v>873.9</v>
      </c>
      <c r="G160" s="23">
        <v>0.882</v>
      </c>
      <c r="H160" s="23">
        <v>0.461</v>
      </c>
      <c r="I160" s="1">
        <v>318.9</v>
      </c>
      <c r="J160" s="61">
        <v>1186.9</v>
      </c>
      <c r="K160" s="1">
        <v>29199.0</v>
      </c>
      <c r="L160" s="1">
        <v>100.0</v>
      </c>
      <c r="M160" s="23">
        <v>15.217</v>
      </c>
      <c r="N160" s="23">
        <f t="shared" si="6"/>
        <v>0.461</v>
      </c>
    </row>
    <row r="161">
      <c r="A161" s="1">
        <v>306.0</v>
      </c>
      <c r="B161" s="1">
        <v>18546.0</v>
      </c>
      <c r="C161" s="23">
        <v>16.933</v>
      </c>
      <c r="D161" s="23">
        <v>15.651</v>
      </c>
      <c r="E161" s="23">
        <v>3.527</v>
      </c>
      <c r="F161" s="1">
        <v>873.9</v>
      </c>
      <c r="G161" s="23">
        <v>0.882</v>
      </c>
      <c r="H161" s="23">
        <v>0.461</v>
      </c>
      <c r="I161" s="1">
        <v>318.9</v>
      </c>
      <c r="J161" s="61">
        <v>1186.9</v>
      </c>
      <c r="K161" s="1">
        <v>29199.0</v>
      </c>
      <c r="L161" s="1">
        <v>100.0</v>
      </c>
      <c r="M161" s="23">
        <v>15.217</v>
      </c>
      <c r="N161" s="23">
        <f t="shared" si="6"/>
        <v>0.461</v>
      </c>
    </row>
    <row r="162">
      <c r="A162" s="1">
        <v>308.0</v>
      </c>
      <c r="B162" s="1">
        <v>18546.0</v>
      </c>
      <c r="C162" s="23">
        <v>16.933</v>
      </c>
      <c r="D162" s="26">
        <v>15.638</v>
      </c>
      <c r="E162" s="23">
        <v>3.527</v>
      </c>
      <c r="F162" s="1">
        <v>873.9</v>
      </c>
      <c r="G162" s="23">
        <v>0.782</v>
      </c>
      <c r="H162" s="23">
        <v>0.431</v>
      </c>
      <c r="I162" s="1">
        <v>318.9</v>
      </c>
      <c r="J162" s="61">
        <v>1186.9</v>
      </c>
      <c r="K162" s="1">
        <v>29199.0</v>
      </c>
      <c r="L162" s="1">
        <v>100.0</v>
      </c>
      <c r="M162" s="23">
        <v>15.152</v>
      </c>
      <c r="N162" s="23">
        <f t="shared" si="6"/>
        <v>0.431</v>
      </c>
    </row>
    <row r="163">
      <c r="A163" s="1">
        <v>310.0</v>
      </c>
      <c r="B163" s="1">
        <v>18546.0</v>
      </c>
      <c r="C163" s="23">
        <v>16.5</v>
      </c>
      <c r="D163" s="23">
        <v>15.323</v>
      </c>
      <c r="E163" s="23">
        <v>3.527</v>
      </c>
      <c r="F163" s="1">
        <v>873.9</v>
      </c>
      <c r="G163" s="23">
        <v>0.766</v>
      </c>
      <c r="H163" s="23">
        <v>0.431</v>
      </c>
      <c r="I163" s="1">
        <v>318.9</v>
      </c>
      <c r="J163" s="61">
        <v>1104.9</v>
      </c>
      <c r="K163" s="1">
        <v>29199.0</v>
      </c>
      <c r="L163" s="1">
        <v>100.0</v>
      </c>
      <c r="M163" s="23">
        <v>15.152</v>
      </c>
      <c r="N163" s="23">
        <f t="shared" si="6"/>
        <v>0.431</v>
      </c>
    </row>
    <row r="164">
      <c r="A164" s="1">
        <v>312.0</v>
      </c>
      <c r="B164" s="1">
        <v>18546.0</v>
      </c>
      <c r="C164" s="23">
        <v>16.878</v>
      </c>
      <c r="D164" s="23">
        <v>15.635</v>
      </c>
      <c r="E164" s="23">
        <v>3.527</v>
      </c>
      <c r="F164" s="1">
        <v>873.9</v>
      </c>
      <c r="G164" s="23">
        <v>0.766</v>
      </c>
      <c r="H164" s="23">
        <v>0.431</v>
      </c>
      <c r="I164" s="1">
        <v>318.9</v>
      </c>
      <c r="J164" s="61">
        <v>1104.9</v>
      </c>
      <c r="K164" s="1">
        <v>29199.0</v>
      </c>
      <c r="L164" s="1">
        <v>100.0</v>
      </c>
      <c r="M164" s="23">
        <v>15.137</v>
      </c>
      <c r="N164" s="23">
        <f t="shared" si="6"/>
        <v>0.431</v>
      </c>
    </row>
    <row r="165">
      <c r="A165" s="1">
        <v>315.0</v>
      </c>
      <c r="B165" s="1">
        <v>18546.0</v>
      </c>
      <c r="C165" s="23">
        <v>16.878</v>
      </c>
      <c r="D165" s="23">
        <v>15.635</v>
      </c>
      <c r="E165" s="23">
        <v>3.527</v>
      </c>
      <c r="F165" s="1">
        <v>888.9</v>
      </c>
      <c r="G165" s="23">
        <v>0.766</v>
      </c>
      <c r="H165" s="23">
        <v>0.431</v>
      </c>
      <c r="I165" s="1">
        <v>318.9</v>
      </c>
      <c r="J165" s="61">
        <v>1104.9</v>
      </c>
      <c r="K165" s="1">
        <v>29199.0</v>
      </c>
      <c r="L165" s="1">
        <v>100.0</v>
      </c>
      <c r="M165" s="23">
        <v>15.137</v>
      </c>
      <c r="N165" s="23">
        <f t="shared" si="6"/>
        <v>0.431</v>
      </c>
    </row>
    <row r="166">
      <c r="A166" s="1">
        <v>317.0</v>
      </c>
      <c r="B166" s="1">
        <v>18546.0</v>
      </c>
      <c r="C166" s="23">
        <v>16.235</v>
      </c>
      <c r="D166" s="23">
        <v>15.603</v>
      </c>
      <c r="E166" s="23">
        <v>3.527</v>
      </c>
      <c r="F166" s="1">
        <v>888.9</v>
      </c>
      <c r="G166" s="23">
        <v>0.766</v>
      </c>
      <c r="H166" s="23">
        <v>0.431</v>
      </c>
      <c r="I166" s="1">
        <v>318.9</v>
      </c>
      <c r="J166" s="61">
        <v>1104.9</v>
      </c>
      <c r="K166" s="1">
        <v>29199.0</v>
      </c>
      <c r="L166" s="1">
        <v>100.0</v>
      </c>
      <c r="M166" s="23">
        <v>15.137</v>
      </c>
      <c r="N166" s="23">
        <f t="shared" si="6"/>
        <v>0.431</v>
      </c>
    </row>
    <row r="167">
      <c r="A167" s="1">
        <v>319.0</v>
      </c>
      <c r="B167" s="1">
        <v>18546.0</v>
      </c>
      <c r="C167" s="23">
        <v>15.92</v>
      </c>
      <c r="D167" s="26">
        <v>16.155</v>
      </c>
      <c r="E167" s="23">
        <v>3.527</v>
      </c>
      <c r="F167" s="1">
        <v>888.9</v>
      </c>
      <c r="G167" s="23">
        <v>0.763</v>
      </c>
      <c r="H167" s="23">
        <v>0.429</v>
      </c>
      <c r="I167" s="1">
        <v>318.9</v>
      </c>
      <c r="J167" s="61">
        <v>1085.1</v>
      </c>
      <c r="K167" s="1">
        <v>29199.0</v>
      </c>
      <c r="L167" s="1">
        <v>100.0</v>
      </c>
      <c r="M167" s="23">
        <v>15.118</v>
      </c>
      <c r="N167" s="23">
        <f t="shared" si="6"/>
        <v>0.429</v>
      </c>
    </row>
    <row r="168">
      <c r="A168" s="1">
        <v>321.0</v>
      </c>
      <c r="B168" s="1">
        <v>18546.0</v>
      </c>
      <c r="C168" s="23">
        <v>16.941</v>
      </c>
      <c r="D168" s="23">
        <v>16.991</v>
      </c>
      <c r="E168" s="23">
        <v>3.397</v>
      </c>
      <c r="F168" s="1">
        <v>888.9</v>
      </c>
      <c r="G168" s="23">
        <v>0.766</v>
      </c>
      <c r="H168" s="23">
        <v>0.429</v>
      </c>
      <c r="I168" s="1">
        <v>318.9</v>
      </c>
      <c r="J168" s="61">
        <v>1104.9</v>
      </c>
      <c r="K168" s="1">
        <v>29199.0</v>
      </c>
      <c r="L168" s="1">
        <v>100.0</v>
      </c>
      <c r="M168" s="23">
        <v>15.118</v>
      </c>
    </row>
    <row r="169">
      <c r="A169" s="1">
        <v>323.0</v>
      </c>
      <c r="B169" s="1">
        <v>18546.0</v>
      </c>
      <c r="C169" s="23">
        <v>17.861</v>
      </c>
      <c r="D169" s="23">
        <v>17.231</v>
      </c>
      <c r="E169" s="23">
        <v>3.397</v>
      </c>
      <c r="F169" s="1">
        <v>888.9</v>
      </c>
      <c r="G169" s="23">
        <v>0.766</v>
      </c>
      <c r="H169" s="23">
        <v>0.429</v>
      </c>
      <c r="I169" s="1">
        <v>318.9</v>
      </c>
      <c r="J169" s="61">
        <v>1104.9</v>
      </c>
      <c r="K169" s="1">
        <v>29199.0</v>
      </c>
      <c r="L169" s="1">
        <v>100.0</v>
      </c>
      <c r="M169" s="23">
        <v>15.259</v>
      </c>
    </row>
    <row r="170">
      <c r="A170" s="1">
        <v>325.0</v>
      </c>
      <c r="B170" s="1">
        <v>18546.0</v>
      </c>
      <c r="C170" s="23">
        <v>18.264</v>
      </c>
      <c r="D170" s="23">
        <v>17.546</v>
      </c>
      <c r="E170" s="23">
        <v>3.397</v>
      </c>
      <c r="F170" s="1">
        <v>873.9</v>
      </c>
      <c r="G170" s="23">
        <v>0.766</v>
      </c>
      <c r="H170" s="23">
        <v>0.429</v>
      </c>
      <c r="I170" s="1">
        <v>318.9</v>
      </c>
      <c r="J170" s="61">
        <v>1104.9</v>
      </c>
      <c r="K170" s="1">
        <v>29199.0</v>
      </c>
      <c r="L170" s="1">
        <v>100.0</v>
      </c>
      <c r="M170" s="23">
        <v>15.259</v>
      </c>
    </row>
    <row r="171">
      <c r="A171" s="1">
        <v>327.0</v>
      </c>
      <c r="B171" s="1">
        <v>20272.0</v>
      </c>
      <c r="C171" s="23">
        <v>18.13</v>
      </c>
      <c r="D171" s="23">
        <v>18.197</v>
      </c>
      <c r="E171" s="23">
        <v>3.477</v>
      </c>
      <c r="F171" s="1">
        <v>873.9</v>
      </c>
      <c r="G171" s="23">
        <v>0.782</v>
      </c>
      <c r="H171" s="23">
        <v>1.429</v>
      </c>
      <c r="I171" s="1">
        <v>318.9</v>
      </c>
      <c r="J171" s="61">
        <v>1186.9</v>
      </c>
      <c r="K171" s="1">
        <v>31915.0</v>
      </c>
      <c r="L171" s="1">
        <v>100.0</v>
      </c>
      <c r="M171" s="23">
        <v>15.242</v>
      </c>
    </row>
    <row r="172">
      <c r="A172" s="1">
        <v>329.0</v>
      </c>
      <c r="B172" s="1">
        <v>20272.0</v>
      </c>
      <c r="C172" s="26">
        <v>18.155</v>
      </c>
      <c r="D172" s="23">
        <v>18.17</v>
      </c>
      <c r="E172" s="23">
        <v>3.057</v>
      </c>
      <c r="F172" s="1">
        <v>873.9</v>
      </c>
      <c r="G172" s="23">
        <v>0.782</v>
      </c>
      <c r="H172" s="23">
        <v>1.422</v>
      </c>
      <c r="I172" s="1">
        <v>318.9</v>
      </c>
      <c r="J172" s="61">
        <v>1186.9</v>
      </c>
      <c r="K172" s="1">
        <v>31915.0</v>
      </c>
      <c r="L172" s="1">
        <v>100.0</v>
      </c>
      <c r="M172" s="23">
        <v>15.242</v>
      </c>
    </row>
    <row r="173">
      <c r="A173" s="1">
        <v>331.0</v>
      </c>
      <c r="B173" s="1">
        <v>20272.0</v>
      </c>
      <c r="C173" s="26">
        <v>17.815</v>
      </c>
      <c r="D173" s="23">
        <v>16.983</v>
      </c>
      <c r="E173" s="23">
        <v>3.057</v>
      </c>
      <c r="F173" s="1">
        <v>873.9</v>
      </c>
      <c r="G173" s="23">
        <v>0.782</v>
      </c>
      <c r="H173" s="23">
        <v>0.431</v>
      </c>
      <c r="I173" s="1">
        <v>318.9</v>
      </c>
      <c r="J173" s="61">
        <v>1186.9</v>
      </c>
      <c r="K173" s="1">
        <v>31915.0</v>
      </c>
      <c r="L173" s="1">
        <v>100.0</v>
      </c>
      <c r="M173" s="23">
        <v>15.349</v>
      </c>
    </row>
    <row r="174">
      <c r="A174" s="1">
        <v>333.0</v>
      </c>
      <c r="B174" s="1">
        <v>20272.0</v>
      </c>
      <c r="C174" s="23">
        <v>17.626</v>
      </c>
      <c r="D174" s="23">
        <v>17.313</v>
      </c>
      <c r="E174" s="23">
        <v>3.057</v>
      </c>
      <c r="F174" s="1">
        <v>873.9</v>
      </c>
      <c r="G174" s="23">
        <v>0.782</v>
      </c>
      <c r="H174" s="23">
        <v>0.431</v>
      </c>
      <c r="I174" s="1">
        <v>318.9</v>
      </c>
      <c r="J174" s="61">
        <v>1186.9</v>
      </c>
      <c r="K174" s="1">
        <v>31915.0</v>
      </c>
      <c r="L174" s="1">
        <v>100.0</v>
      </c>
      <c r="M174" s="23">
        <v>15.349</v>
      </c>
    </row>
    <row r="175">
      <c r="A175" s="1">
        <v>335.0</v>
      </c>
      <c r="B175" s="1">
        <v>20272.0</v>
      </c>
      <c r="C175" s="23">
        <v>16.97</v>
      </c>
      <c r="D175" s="26">
        <v>16.754</v>
      </c>
      <c r="E175" s="23">
        <v>2.937</v>
      </c>
      <c r="F175" s="1">
        <v>888.9</v>
      </c>
      <c r="G175" s="23">
        <v>0.782</v>
      </c>
      <c r="H175" s="23">
        <v>0.431</v>
      </c>
      <c r="I175" s="1">
        <v>318.9</v>
      </c>
      <c r="J175" s="61">
        <v>1186.9</v>
      </c>
      <c r="K175" s="1">
        <v>31915.0</v>
      </c>
      <c r="L175" s="1">
        <v>100.0</v>
      </c>
      <c r="M175" s="23">
        <v>15.322</v>
      </c>
    </row>
    <row r="176">
      <c r="A176" s="1">
        <v>337.0</v>
      </c>
      <c r="B176" s="1">
        <v>20272.0</v>
      </c>
      <c r="C176" s="23">
        <v>16.353</v>
      </c>
      <c r="D176" s="26">
        <v>16.231</v>
      </c>
      <c r="E176" s="23">
        <v>3.357</v>
      </c>
      <c r="F176" s="1">
        <v>888.9</v>
      </c>
      <c r="G176" s="23">
        <v>0.782</v>
      </c>
      <c r="H176" s="23">
        <v>0.439</v>
      </c>
      <c r="I176" s="1">
        <v>318.9</v>
      </c>
      <c r="J176" s="61">
        <v>1186.9</v>
      </c>
      <c r="K176" s="1">
        <v>31915.0</v>
      </c>
      <c r="L176" s="1">
        <v>100.0</v>
      </c>
      <c r="M176" s="23">
        <v>15.322</v>
      </c>
    </row>
    <row r="177">
      <c r="A177" s="1">
        <v>339.0</v>
      </c>
      <c r="B177" s="1">
        <v>20272.0</v>
      </c>
      <c r="C177" s="23">
        <v>17.285</v>
      </c>
      <c r="D177" s="26">
        <v>16.54</v>
      </c>
      <c r="E177" s="23">
        <v>3.357</v>
      </c>
      <c r="F177" s="1">
        <v>888.9</v>
      </c>
      <c r="G177" s="23">
        <v>0.782</v>
      </c>
      <c r="H177" s="23">
        <v>0.439</v>
      </c>
      <c r="I177" s="1">
        <v>318.9</v>
      </c>
      <c r="J177" s="61">
        <v>1186.9</v>
      </c>
      <c r="K177" s="1">
        <v>31915.0</v>
      </c>
      <c r="L177" s="1">
        <v>100.0</v>
      </c>
      <c r="M177" s="23">
        <v>15.227</v>
      </c>
    </row>
    <row r="178">
      <c r="A178" s="1">
        <v>341.0</v>
      </c>
      <c r="B178" s="1">
        <v>20272.0</v>
      </c>
      <c r="C178" s="23">
        <v>17.311</v>
      </c>
      <c r="D178" s="26">
        <v>16.54</v>
      </c>
      <c r="E178" s="23">
        <v>3.357</v>
      </c>
      <c r="F178" s="1">
        <v>888.9</v>
      </c>
      <c r="G178" s="23">
        <v>0.782</v>
      </c>
      <c r="H178" s="23">
        <v>0.429</v>
      </c>
      <c r="I178" s="1">
        <v>318.9</v>
      </c>
      <c r="J178" s="61">
        <v>1186.9</v>
      </c>
      <c r="K178" s="1">
        <v>31915.0</v>
      </c>
      <c r="L178" s="1">
        <v>100.0</v>
      </c>
      <c r="M178" s="23">
        <v>15.227</v>
      </c>
    </row>
    <row r="179">
      <c r="A179" s="1">
        <v>343.0</v>
      </c>
      <c r="B179" s="1">
        <v>18546.0</v>
      </c>
      <c r="C179" s="23">
        <v>16.727</v>
      </c>
      <c r="D179" s="26">
        <v>16.039</v>
      </c>
      <c r="E179" s="23">
        <v>3.277</v>
      </c>
      <c r="F179" s="1">
        <v>888.9</v>
      </c>
      <c r="G179" s="23">
        <v>0.766</v>
      </c>
      <c r="H179" s="23">
        <v>0.429</v>
      </c>
      <c r="I179" s="1">
        <v>318.9</v>
      </c>
      <c r="J179" s="61">
        <v>1104.9</v>
      </c>
      <c r="K179" s="1">
        <v>29199.0</v>
      </c>
      <c r="L179" s="1">
        <v>100.0</v>
      </c>
      <c r="M179" s="23">
        <v>15.172</v>
      </c>
    </row>
    <row r="180">
      <c r="A180" s="1">
        <v>345.0</v>
      </c>
      <c r="B180" s="1">
        <v>18546.0</v>
      </c>
      <c r="C180" s="23">
        <v>16.701</v>
      </c>
      <c r="D180" s="26">
        <v>16.039</v>
      </c>
      <c r="E180" s="23">
        <v>3.277</v>
      </c>
      <c r="F180" s="1">
        <v>888.9</v>
      </c>
      <c r="G180" s="23">
        <v>0.766</v>
      </c>
      <c r="H180" s="23">
        <v>0.429</v>
      </c>
      <c r="I180" s="1">
        <v>318.9</v>
      </c>
      <c r="J180" s="61">
        <v>1104.9</v>
      </c>
      <c r="K180" s="1">
        <v>29199.0</v>
      </c>
      <c r="L180" s="1">
        <v>100.0</v>
      </c>
      <c r="M180" s="23">
        <v>15.172</v>
      </c>
    </row>
    <row r="181">
      <c r="A181" s="1">
        <v>347.0</v>
      </c>
      <c r="B181" s="1">
        <v>18546.0</v>
      </c>
      <c r="C181" s="23">
        <v>16.676</v>
      </c>
      <c r="D181" s="26">
        <v>16.039</v>
      </c>
      <c r="E181" s="23">
        <v>3.277</v>
      </c>
      <c r="F181" s="1">
        <v>873.9</v>
      </c>
      <c r="G181" s="23">
        <v>0.766</v>
      </c>
      <c r="H181" s="23">
        <v>0.429</v>
      </c>
      <c r="I181" s="1">
        <v>318.9</v>
      </c>
      <c r="J181" s="61">
        <v>1104.9</v>
      </c>
      <c r="K181" s="1">
        <v>29199.0</v>
      </c>
      <c r="L181" s="1">
        <v>100.0</v>
      </c>
      <c r="M181" s="23">
        <v>15.172</v>
      </c>
    </row>
    <row r="182">
      <c r="A182" s="1">
        <v>349.0</v>
      </c>
      <c r="B182" s="1">
        <v>18546.0</v>
      </c>
      <c r="C182" s="23">
        <v>16.059</v>
      </c>
      <c r="D182" s="23">
        <v>16.067</v>
      </c>
      <c r="E182" s="23">
        <v>3.899</v>
      </c>
      <c r="F182" s="1">
        <v>873.9</v>
      </c>
      <c r="G182" s="23">
        <v>0.766</v>
      </c>
      <c r="H182" s="23">
        <v>0.429</v>
      </c>
      <c r="I182" s="1">
        <v>318.9</v>
      </c>
      <c r="J182" s="61">
        <v>1104.9</v>
      </c>
      <c r="K182" s="1">
        <v>29199.0</v>
      </c>
      <c r="L182" s="1">
        <v>100.0</v>
      </c>
      <c r="M182" s="23">
        <v>15.215</v>
      </c>
    </row>
    <row r="183">
      <c r="A183" s="1">
        <v>351.0</v>
      </c>
      <c r="B183" s="1">
        <v>18546.0</v>
      </c>
      <c r="C183" s="23">
        <v>17.924</v>
      </c>
      <c r="D183" s="23">
        <v>17.717</v>
      </c>
      <c r="E183" s="23">
        <v>3.899</v>
      </c>
      <c r="F183" s="1">
        <v>873.9</v>
      </c>
      <c r="G183" s="23">
        <v>0.766</v>
      </c>
      <c r="H183" s="23">
        <v>0.429</v>
      </c>
      <c r="I183" s="1">
        <v>318.9</v>
      </c>
      <c r="J183" s="61">
        <v>1104.9</v>
      </c>
      <c r="K183" s="1">
        <v>29199.0</v>
      </c>
      <c r="L183" s="1">
        <v>100.0</v>
      </c>
      <c r="M183" s="23">
        <v>15.215</v>
      </c>
    </row>
    <row r="184">
      <c r="A184" s="1">
        <v>353.0</v>
      </c>
      <c r="B184" s="1">
        <v>22859.0</v>
      </c>
      <c r="C184" s="23">
        <v>19.347</v>
      </c>
      <c r="D184" s="23">
        <v>19.006</v>
      </c>
      <c r="E184" s="23">
        <v>4.117</v>
      </c>
      <c r="F184" s="1">
        <v>873.9</v>
      </c>
      <c r="G184" s="23">
        <v>0.766</v>
      </c>
      <c r="H184" s="23">
        <v>0.429</v>
      </c>
      <c r="I184" s="1">
        <v>318.9</v>
      </c>
      <c r="J184" s="61">
        <v>1104.9</v>
      </c>
      <c r="K184" s="1">
        <v>35990.0</v>
      </c>
      <c r="L184" s="1">
        <v>100.0</v>
      </c>
      <c r="M184" s="23">
        <v>15.313</v>
      </c>
    </row>
    <row r="185">
      <c r="A185" s="1">
        <v>355.0</v>
      </c>
      <c r="B185" s="1">
        <v>22859.0</v>
      </c>
      <c r="C185" s="23">
        <v>18.591</v>
      </c>
      <c r="D185" s="23">
        <v>18.346</v>
      </c>
      <c r="E185" s="23">
        <v>4.117</v>
      </c>
      <c r="F185" s="1">
        <v>873.9</v>
      </c>
      <c r="G185" s="23">
        <v>0.766</v>
      </c>
      <c r="H185" s="23">
        <v>0.429</v>
      </c>
      <c r="I185" s="1">
        <v>318.9</v>
      </c>
      <c r="J185" s="61">
        <v>1104.9</v>
      </c>
      <c r="K185" s="1">
        <v>35990.0</v>
      </c>
      <c r="L185" s="1">
        <v>100.0</v>
      </c>
      <c r="M185" s="23">
        <v>15.313</v>
      </c>
    </row>
    <row r="186">
      <c r="A186" s="1">
        <v>357.0</v>
      </c>
      <c r="B186" s="1">
        <v>22859.0</v>
      </c>
      <c r="C186" s="23">
        <v>18.541</v>
      </c>
      <c r="D186" s="23">
        <v>18.381</v>
      </c>
      <c r="E186" s="23">
        <v>4.117</v>
      </c>
      <c r="F186" s="1">
        <v>873.9</v>
      </c>
      <c r="G186" s="23">
        <v>0.766</v>
      </c>
      <c r="H186" s="23">
        <v>0.429</v>
      </c>
      <c r="I186" s="1">
        <v>318.9</v>
      </c>
      <c r="J186" s="61">
        <v>1104.9</v>
      </c>
      <c r="K186" s="1">
        <v>35990.0</v>
      </c>
      <c r="L186" s="1">
        <v>100.0</v>
      </c>
      <c r="M186" s="23">
        <v>15.474</v>
      </c>
    </row>
    <row r="187">
      <c r="A187" s="1">
        <v>359.0</v>
      </c>
      <c r="B187" s="1">
        <v>22859.0</v>
      </c>
      <c r="C187" s="23">
        <v>18.571</v>
      </c>
      <c r="D187" s="23">
        <v>18.354</v>
      </c>
      <c r="E187" s="23">
        <v>3.659</v>
      </c>
      <c r="F187" s="1">
        <v>873.9</v>
      </c>
      <c r="G187" s="23">
        <v>0.882</v>
      </c>
      <c r="H187" s="23">
        <v>0.469</v>
      </c>
      <c r="I187" s="1">
        <v>318.9</v>
      </c>
      <c r="J187" s="61">
        <v>1186.9</v>
      </c>
      <c r="K187" s="1">
        <v>35990.0</v>
      </c>
      <c r="L187" s="1">
        <v>100.0</v>
      </c>
      <c r="M187" s="23">
        <v>15.474</v>
      </c>
    </row>
    <row r="188">
      <c r="A188" s="1">
        <v>361.0</v>
      </c>
      <c r="B188" s="1">
        <v>22859.0</v>
      </c>
      <c r="C188" s="23">
        <v>18.545</v>
      </c>
      <c r="D188" s="23">
        <v>19.264</v>
      </c>
      <c r="E188" s="23">
        <v>4.117</v>
      </c>
      <c r="F188" s="1">
        <v>888.9</v>
      </c>
      <c r="G188" s="23">
        <v>0.882</v>
      </c>
      <c r="H188" s="23">
        <v>0.469</v>
      </c>
      <c r="I188" s="1">
        <v>318.9</v>
      </c>
      <c r="J188" s="61">
        <v>1186.9</v>
      </c>
      <c r="K188" s="1">
        <v>35990.0</v>
      </c>
      <c r="L188" s="1">
        <v>100.0</v>
      </c>
      <c r="M188" s="23">
        <v>15.483</v>
      </c>
    </row>
    <row r="189">
      <c r="A189" s="1">
        <v>363.0</v>
      </c>
      <c r="B189" s="1">
        <v>22478.0</v>
      </c>
      <c r="C189" s="26">
        <v>18.495</v>
      </c>
      <c r="D189" s="23">
        <v>19.231</v>
      </c>
      <c r="E189" s="23">
        <v>4.117</v>
      </c>
      <c r="F189" s="1">
        <v>888.9</v>
      </c>
      <c r="G189" s="23">
        <v>0.882</v>
      </c>
      <c r="H189" s="23">
        <v>0.469</v>
      </c>
      <c r="I189" s="1">
        <v>318.9</v>
      </c>
      <c r="J189" s="61">
        <v>1186.9</v>
      </c>
      <c r="K189" s="1">
        <v>35990.0</v>
      </c>
      <c r="L189" s="1">
        <v>100.0</v>
      </c>
      <c r="M189" s="23">
        <v>15.483</v>
      </c>
    </row>
    <row r="190">
      <c r="A190" s="1">
        <v>365.0</v>
      </c>
      <c r="B190" s="1">
        <v>22859.0</v>
      </c>
      <c r="C190" s="26">
        <v>18.482</v>
      </c>
      <c r="D190" s="23">
        <v>19.213</v>
      </c>
      <c r="E190" s="23">
        <v>4.117</v>
      </c>
      <c r="F190" s="1">
        <v>888.9</v>
      </c>
      <c r="G190" s="23">
        <v>0.882</v>
      </c>
      <c r="H190" s="23">
        <v>0.469</v>
      </c>
      <c r="I190" s="1">
        <v>318.9</v>
      </c>
      <c r="J190" s="61">
        <v>1186.9</v>
      </c>
      <c r="K190" s="1">
        <v>35990.0</v>
      </c>
      <c r="L190" s="1">
        <v>100.0</v>
      </c>
      <c r="M190" s="23">
        <v>15.405</v>
      </c>
    </row>
    <row r="191">
      <c r="A191" s="1">
        <v>367.0</v>
      </c>
      <c r="B191" s="1">
        <v>21997.0</v>
      </c>
      <c r="C191" s="26">
        <v>16.34</v>
      </c>
      <c r="D191" s="23">
        <v>16.576</v>
      </c>
      <c r="E191" s="23">
        <v>4.411</v>
      </c>
      <c r="F191" s="1">
        <v>888.9</v>
      </c>
      <c r="G191" s="23">
        <v>0.882</v>
      </c>
      <c r="H191" s="23">
        <v>0.461</v>
      </c>
      <c r="I191" s="1">
        <v>318.9</v>
      </c>
      <c r="J191" s="61">
        <v>1186.9</v>
      </c>
      <c r="K191" s="1">
        <v>34632.0</v>
      </c>
      <c r="L191" s="1">
        <v>100.0</v>
      </c>
      <c r="M191" s="23">
        <v>15.405</v>
      </c>
    </row>
    <row r="192">
      <c r="A192" s="1">
        <v>369.0</v>
      </c>
      <c r="B192" s="1">
        <v>18546.0</v>
      </c>
      <c r="C192" s="23">
        <v>16.328</v>
      </c>
      <c r="D192" s="23">
        <v>16.49</v>
      </c>
      <c r="E192" s="23">
        <v>3.497</v>
      </c>
      <c r="F192" s="1">
        <v>888.9</v>
      </c>
      <c r="G192" s="23">
        <v>0.782</v>
      </c>
      <c r="H192" s="23">
        <v>0.439</v>
      </c>
      <c r="I192" s="1">
        <v>318.9</v>
      </c>
      <c r="J192" s="61">
        <v>1186.9</v>
      </c>
      <c r="K192" s="1">
        <v>29199.0</v>
      </c>
      <c r="L192" s="1">
        <v>100.0</v>
      </c>
      <c r="M192" s="23">
        <v>15.216</v>
      </c>
    </row>
    <row r="193">
      <c r="A193" s="1">
        <v>371.0</v>
      </c>
      <c r="B193" s="1">
        <v>18546.0</v>
      </c>
      <c r="C193" s="23">
        <v>16.328</v>
      </c>
      <c r="D193" s="23">
        <v>16.499</v>
      </c>
      <c r="E193" s="23">
        <v>3.747</v>
      </c>
      <c r="F193" s="1">
        <v>888.9</v>
      </c>
      <c r="G193" s="23">
        <v>0.782</v>
      </c>
      <c r="H193" s="23">
        <v>0.439</v>
      </c>
      <c r="I193" s="1">
        <v>318.9</v>
      </c>
      <c r="J193" s="61">
        <v>1186.9</v>
      </c>
      <c r="K193" s="1">
        <v>29199.0</v>
      </c>
      <c r="L193" s="1">
        <v>100.0</v>
      </c>
      <c r="M193" s="23">
        <v>15.216</v>
      </c>
    </row>
    <row r="194">
      <c r="A194" s="1">
        <v>373.0</v>
      </c>
      <c r="B194" s="1">
        <v>18546.0</v>
      </c>
      <c r="C194" s="23">
        <v>16.555</v>
      </c>
      <c r="D194" s="23">
        <v>15.328</v>
      </c>
      <c r="E194" s="23">
        <v>3.747</v>
      </c>
      <c r="F194" s="1">
        <v>873.9</v>
      </c>
      <c r="G194" s="23">
        <v>0.782</v>
      </c>
      <c r="H194" s="23">
        <v>0.439</v>
      </c>
      <c r="I194" s="1">
        <v>318.9</v>
      </c>
      <c r="J194" s="61">
        <v>1186.9</v>
      </c>
      <c r="K194" s="1">
        <v>29199.0</v>
      </c>
      <c r="L194" s="1">
        <v>100.0</v>
      </c>
      <c r="M194" s="23">
        <v>15.143</v>
      </c>
    </row>
    <row r="195">
      <c r="A195" s="1">
        <v>375.0</v>
      </c>
      <c r="B195" s="1">
        <v>18546.0</v>
      </c>
      <c r="C195" s="23">
        <v>16.933</v>
      </c>
      <c r="D195" s="23">
        <v>15.643</v>
      </c>
      <c r="E195" s="23">
        <v>3.747</v>
      </c>
      <c r="F195" s="1">
        <v>873.9</v>
      </c>
      <c r="G195" s="23">
        <v>0.782</v>
      </c>
      <c r="H195" s="23">
        <v>0.439</v>
      </c>
      <c r="I195" s="1">
        <v>318.9</v>
      </c>
      <c r="J195" s="61">
        <v>1186.9</v>
      </c>
      <c r="K195" s="1">
        <v>29199.0</v>
      </c>
      <c r="L195" s="1">
        <v>100.0</v>
      </c>
      <c r="M195" s="23">
        <v>15.143</v>
      </c>
    </row>
    <row r="196">
      <c r="A196" s="1">
        <v>377.0</v>
      </c>
      <c r="B196" s="1">
        <v>18546.0</v>
      </c>
      <c r="C196" s="26">
        <v>16.878</v>
      </c>
      <c r="D196" s="23">
        <v>15.643</v>
      </c>
      <c r="E196" s="23">
        <v>3.747</v>
      </c>
      <c r="F196" s="1">
        <v>873.9</v>
      </c>
      <c r="G196" s="23">
        <v>0.766</v>
      </c>
      <c r="H196" s="23">
        <v>0.439</v>
      </c>
      <c r="I196" s="1">
        <v>318.9</v>
      </c>
      <c r="J196" s="61">
        <v>1104.9</v>
      </c>
      <c r="K196" s="1">
        <v>29199.0</v>
      </c>
      <c r="L196" s="1">
        <v>100.0</v>
      </c>
      <c r="M196" s="23">
        <v>15.143</v>
      </c>
    </row>
    <row r="197">
      <c r="A197" s="1">
        <v>379.0</v>
      </c>
      <c r="B197" s="1">
        <v>18546.0</v>
      </c>
      <c r="C197" s="26">
        <v>16.5</v>
      </c>
      <c r="D197" s="23">
        <v>15.327</v>
      </c>
      <c r="E197" s="23">
        <v>3.747</v>
      </c>
      <c r="F197" s="1">
        <v>888.9</v>
      </c>
      <c r="G197" s="23">
        <v>0.866</v>
      </c>
      <c r="H197" s="23">
        <v>0.459</v>
      </c>
      <c r="I197" s="1">
        <v>318.9</v>
      </c>
      <c r="J197" s="61">
        <v>1104.9</v>
      </c>
      <c r="K197" s="1">
        <v>29199.0</v>
      </c>
      <c r="L197" s="1">
        <v>100.0</v>
      </c>
      <c r="M197" s="23">
        <v>15.139</v>
      </c>
    </row>
    <row r="198">
      <c r="A198" s="1">
        <v>381.0</v>
      </c>
      <c r="B198" s="1">
        <v>18546.0</v>
      </c>
      <c r="C198" s="26">
        <v>16.878</v>
      </c>
      <c r="D198" s="23">
        <v>15.638</v>
      </c>
      <c r="E198" s="23">
        <v>3.627</v>
      </c>
      <c r="F198" s="1">
        <v>888.9</v>
      </c>
      <c r="G198" s="23">
        <v>0.866</v>
      </c>
      <c r="H198" s="23">
        <v>0.459</v>
      </c>
      <c r="I198" s="1">
        <v>318.9</v>
      </c>
      <c r="J198" s="61">
        <v>1104.9</v>
      </c>
      <c r="K198" s="1">
        <v>29199.0</v>
      </c>
      <c r="L198" s="1">
        <v>100.0</v>
      </c>
      <c r="M198" s="23">
        <v>15.139</v>
      </c>
    </row>
    <row r="199">
      <c r="A199" s="1">
        <v>383.0</v>
      </c>
      <c r="B199" s="1">
        <v>18546.0</v>
      </c>
      <c r="C199" s="26">
        <v>16.916</v>
      </c>
      <c r="D199" s="23">
        <v>16.693</v>
      </c>
      <c r="E199" s="23">
        <v>3.627</v>
      </c>
      <c r="F199" s="1">
        <v>888.9</v>
      </c>
      <c r="G199" s="23">
        <v>0.866</v>
      </c>
      <c r="H199" s="23">
        <v>0.459</v>
      </c>
      <c r="I199" s="1">
        <v>318.9</v>
      </c>
      <c r="J199" s="61">
        <v>1104.9</v>
      </c>
      <c r="K199" s="1">
        <v>29199.0</v>
      </c>
      <c r="L199" s="1">
        <v>100.0</v>
      </c>
      <c r="M199" s="23">
        <v>15.211</v>
      </c>
    </row>
    <row r="200">
      <c r="A200" s="1">
        <v>385.0</v>
      </c>
      <c r="B200" s="1">
        <v>18546.0</v>
      </c>
      <c r="C200" s="26">
        <v>16.928</v>
      </c>
      <c r="D200" s="23">
        <v>16.693</v>
      </c>
      <c r="E200" s="23">
        <v>3.627</v>
      </c>
      <c r="F200" s="1">
        <v>888.9</v>
      </c>
      <c r="G200" s="23">
        <v>0.866</v>
      </c>
      <c r="H200" s="23">
        <v>0.459</v>
      </c>
      <c r="I200" s="1">
        <v>318.9</v>
      </c>
      <c r="J200" s="61">
        <v>1104.9</v>
      </c>
      <c r="K200" s="1">
        <v>29199.0</v>
      </c>
      <c r="L200" s="1">
        <v>100.0</v>
      </c>
      <c r="M200" s="23">
        <v>15.211</v>
      </c>
    </row>
    <row r="201">
      <c r="A201" s="1">
        <v>387.0</v>
      </c>
      <c r="B201" s="1">
        <v>18546.0</v>
      </c>
      <c r="C201" s="26">
        <v>16.979</v>
      </c>
      <c r="D201" s="23">
        <v>16.69</v>
      </c>
      <c r="E201" s="23">
        <v>3.527</v>
      </c>
      <c r="F201" s="1">
        <v>888.9</v>
      </c>
      <c r="G201" s="23">
        <v>0.866</v>
      </c>
      <c r="H201" s="23">
        <v>1.469</v>
      </c>
      <c r="I201" s="1">
        <v>318.9</v>
      </c>
      <c r="J201" s="61">
        <v>1104.9</v>
      </c>
      <c r="K201" s="1">
        <v>29199.0</v>
      </c>
      <c r="L201" s="1">
        <v>100.0</v>
      </c>
      <c r="M201" s="23">
        <v>15.211</v>
      </c>
    </row>
    <row r="202">
      <c r="A202" s="1">
        <v>390.0</v>
      </c>
      <c r="B202" s="1">
        <v>20272.0</v>
      </c>
      <c r="C202" s="23">
        <v>18.251</v>
      </c>
      <c r="D202" s="23">
        <v>18.679</v>
      </c>
      <c r="E202" s="23">
        <v>3.607</v>
      </c>
      <c r="F202" s="1">
        <v>888.9</v>
      </c>
      <c r="G202" s="23">
        <v>0.766</v>
      </c>
      <c r="H202" s="23">
        <v>1.439</v>
      </c>
      <c r="I202" s="1">
        <v>318.9</v>
      </c>
      <c r="J202" s="61">
        <v>1104.9</v>
      </c>
      <c r="K202" s="1">
        <v>31915.0</v>
      </c>
      <c r="L202" s="1">
        <v>100.0</v>
      </c>
      <c r="M202" s="23">
        <v>15.211</v>
      </c>
    </row>
    <row r="203">
      <c r="A203" s="1">
        <v>392.0</v>
      </c>
      <c r="B203" s="1">
        <v>20272.0</v>
      </c>
      <c r="C203" s="26">
        <v>18.52</v>
      </c>
      <c r="D203" s="26">
        <v>18.87</v>
      </c>
      <c r="E203" s="23">
        <v>3.607</v>
      </c>
      <c r="F203" s="1">
        <v>873.9</v>
      </c>
      <c r="G203" s="23">
        <v>0.782</v>
      </c>
      <c r="H203" s="23">
        <v>0.439</v>
      </c>
      <c r="I203" s="1">
        <v>318.9</v>
      </c>
      <c r="J203" s="61">
        <v>1186.9</v>
      </c>
      <c r="K203" s="1">
        <v>31915.0</v>
      </c>
      <c r="L203" s="1">
        <v>100.0</v>
      </c>
      <c r="M203" s="23">
        <v>15.382</v>
      </c>
    </row>
    <row r="204">
      <c r="A204" s="1">
        <v>394.0</v>
      </c>
      <c r="B204" s="1">
        <v>20272.0</v>
      </c>
      <c r="C204" s="26">
        <v>18.533</v>
      </c>
      <c r="D204" s="23">
        <v>18.87</v>
      </c>
      <c r="E204" s="23">
        <v>3.607</v>
      </c>
      <c r="F204" s="1">
        <v>873.9</v>
      </c>
      <c r="G204" s="23">
        <v>0.782</v>
      </c>
      <c r="H204" s="23">
        <v>0.439</v>
      </c>
      <c r="I204" s="1">
        <v>318.9</v>
      </c>
      <c r="J204" s="61">
        <v>1186.9</v>
      </c>
      <c r="K204" s="1">
        <v>31915.0</v>
      </c>
      <c r="L204" s="1">
        <v>100.0</v>
      </c>
      <c r="M204" s="23">
        <v>15.382</v>
      </c>
    </row>
    <row r="205">
      <c r="A205" s="1">
        <v>396.0</v>
      </c>
      <c r="B205" s="1">
        <v>20272.0</v>
      </c>
      <c r="C205" s="23">
        <v>17.803</v>
      </c>
      <c r="D205" s="23">
        <v>19.76</v>
      </c>
      <c r="E205" s="23">
        <v>3.607</v>
      </c>
      <c r="F205" s="1">
        <v>834.6</v>
      </c>
      <c r="G205" s="23">
        <v>0.775</v>
      </c>
      <c r="H205" s="23">
        <v>0.439</v>
      </c>
      <c r="I205" s="1">
        <v>318.9</v>
      </c>
      <c r="J205" s="61">
        <v>1147.6</v>
      </c>
      <c r="K205" s="1">
        <v>31915.0</v>
      </c>
      <c r="L205" s="1">
        <v>100.0</v>
      </c>
      <c r="M205" s="23">
        <v>15.427</v>
      </c>
    </row>
    <row r="206">
      <c r="A206" s="1">
        <v>398.0</v>
      </c>
      <c r="B206" s="1">
        <v>20272.0</v>
      </c>
      <c r="C206" s="23">
        <v>17.233</v>
      </c>
      <c r="D206" s="23">
        <v>19.76</v>
      </c>
      <c r="E206" s="23">
        <v>3.607</v>
      </c>
      <c r="F206" s="1">
        <v>849.6</v>
      </c>
      <c r="G206" s="23">
        <v>0.771</v>
      </c>
      <c r="H206" s="23">
        <v>0.429</v>
      </c>
      <c r="I206" s="1">
        <v>318.9</v>
      </c>
      <c r="J206" s="61">
        <v>1127.8</v>
      </c>
      <c r="K206" s="1">
        <v>31915.0</v>
      </c>
      <c r="L206" s="1">
        <v>99.0</v>
      </c>
      <c r="M206" s="23">
        <v>15.427</v>
      </c>
    </row>
    <row r="207">
      <c r="A207" s="1">
        <v>400.0</v>
      </c>
      <c r="B207" s="1">
        <v>20272.0</v>
      </c>
      <c r="C207" s="23">
        <v>16.871</v>
      </c>
      <c r="D207" s="23">
        <v>19.455</v>
      </c>
      <c r="E207" s="23">
        <v>3.607</v>
      </c>
      <c r="F207" s="1">
        <v>849.6</v>
      </c>
      <c r="G207" s="23">
        <v>0.775</v>
      </c>
      <c r="H207" s="23">
        <v>1.429</v>
      </c>
      <c r="I207" s="1">
        <v>318.9</v>
      </c>
      <c r="J207" s="61">
        <v>1147.6</v>
      </c>
      <c r="K207" s="1">
        <v>31915.0</v>
      </c>
      <c r="L207" s="1">
        <v>100.0</v>
      </c>
      <c r="M207" s="23">
        <v>15.537</v>
      </c>
    </row>
    <row r="208">
      <c r="A208" s="1">
        <v>402.0</v>
      </c>
      <c r="B208" s="1">
        <v>20272.0</v>
      </c>
      <c r="C208" s="26">
        <v>18.193</v>
      </c>
      <c r="D208" s="23">
        <v>19.455</v>
      </c>
      <c r="E208" s="23">
        <v>3.607</v>
      </c>
      <c r="F208" s="1">
        <v>888.9</v>
      </c>
      <c r="G208" s="23">
        <v>0.782</v>
      </c>
      <c r="H208" s="23">
        <v>1.429</v>
      </c>
      <c r="I208" s="1">
        <v>318.9</v>
      </c>
      <c r="J208" s="61">
        <v>1186.9</v>
      </c>
      <c r="K208" s="1">
        <v>31915.0</v>
      </c>
      <c r="L208" s="1">
        <v>100.0</v>
      </c>
      <c r="M208" s="23">
        <v>15.537</v>
      </c>
    </row>
    <row r="209">
      <c r="A209" s="1">
        <v>404.0</v>
      </c>
      <c r="B209" s="1">
        <v>20272.0</v>
      </c>
      <c r="C209" s="26">
        <v>16.895</v>
      </c>
      <c r="D209" s="23">
        <v>18.313</v>
      </c>
      <c r="E209" s="23">
        <v>3.607</v>
      </c>
      <c r="F209" s="1">
        <v>888.9</v>
      </c>
      <c r="G209" s="23">
        <v>0.882</v>
      </c>
      <c r="H209" s="23">
        <v>0.469</v>
      </c>
      <c r="I209" s="1">
        <v>318.9</v>
      </c>
      <c r="J209" s="61">
        <v>1186.9</v>
      </c>
      <c r="K209" s="1">
        <v>31915.0</v>
      </c>
      <c r="L209" s="1">
        <v>100.0</v>
      </c>
      <c r="M209" s="23">
        <v>15.347</v>
      </c>
    </row>
    <row r="210">
      <c r="A210" s="1">
        <v>406.0</v>
      </c>
      <c r="B210" s="1">
        <v>18546.0</v>
      </c>
      <c r="C210" s="23">
        <v>16.744</v>
      </c>
      <c r="D210" s="23">
        <v>16.966</v>
      </c>
      <c r="E210" s="23">
        <v>3.527</v>
      </c>
      <c r="F210" s="1">
        <v>888.9</v>
      </c>
      <c r="G210" s="23">
        <v>0.882</v>
      </c>
      <c r="H210" s="23">
        <v>0.469</v>
      </c>
      <c r="I210" s="1">
        <v>318.9</v>
      </c>
      <c r="J210" s="61">
        <v>1186.9</v>
      </c>
      <c r="K210" s="1">
        <v>29199.0</v>
      </c>
      <c r="L210" s="1">
        <v>100.0</v>
      </c>
      <c r="M210" s="23">
        <v>15.347</v>
      </c>
    </row>
    <row r="211">
      <c r="A211" s="1">
        <v>408.0</v>
      </c>
      <c r="B211" s="1">
        <v>18546.0</v>
      </c>
      <c r="C211" s="23">
        <v>16.353</v>
      </c>
      <c r="D211" s="23">
        <v>15.756</v>
      </c>
      <c r="E211" s="23">
        <v>3.527</v>
      </c>
      <c r="F211" s="1">
        <v>888.9</v>
      </c>
      <c r="G211" s="23">
        <v>0.882</v>
      </c>
      <c r="H211" s="23">
        <v>0.469</v>
      </c>
      <c r="I211" s="1">
        <v>318.9</v>
      </c>
      <c r="J211" s="61">
        <v>1186.9</v>
      </c>
      <c r="K211" s="1">
        <v>29199.0</v>
      </c>
      <c r="L211" s="1">
        <v>100.0</v>
      </c>
      <c r="M211" s="23">
        <v>15.347</v>
      </c>
    </row>
    <row r="212">
      <c r="A212" s="1">
        <v>410.0</v>
      </c>
      <c r="B212" s="1">
        <v>18546.0</v>
      </c>
      <c r="C212" s="23">
        <v>16.475</v>
      </c>
      <c r="D212" s="23">
        <v>16.04</v>
      </c>
      <c r="E212" s="23">
        <v>3.527</v>
      </c>
      <c r="F212" s="1">
        <v>888.9</v>
      </c>
      <c r="G212" s="23">
        <v>0.866</v>
      </c>
      <c r="H212" s="23">
        <v>0.469</v>
      </c>
      <c r="I212" s="1">
        <v>318.9</v>
      </c>
      <c r="J212" s="61">
        <v>1104.9</v>
      </c>
      <c r="K212" s="1">
        <v>29199.0</v>
      </c>
      <c r="L212" s="1">
        <v>100.0</v>
      </c>
      <c r="M212" s="23">
        <v>15.145</v>
      </c>
    </row>
    <row r="213">
      <c r="A213" s="1">
        <v>412.0</v>
      </c>
      <c r="B213" s="1">
        <v>18237.0</v>
      </c>
      <c r="C213" s="23">
        <v>16.223</v>
      </c>
      <c r="D213" s="23">
        <v>16.329</v>
      </c>
      <c r="E213" s="23">
        <v>3.277</v>
      </c>
      <c r="F213" s="1">
        <v>888.9</v>
      </c>
      <c r="G213" s="23">
        <v>0.866</v>
      </c>
      <c r="H213" s="23">
        <v>0.469</v>
      </c>
      <c r="I213" s="1">
        <v>318.9</v>
      </c>
      <c r="J213" s="61">
        <v>1104.9</v>
      </c>
      <c r="K213" s="1">
        <v>29199.0</v>
      </c>
      <c r="L213" s="1">
        <v>100.0</v>
      </c>
      <c r="M213" s="23">
        <v>15.145</v>
      </c>
    </row>
    <row r="214">
      <c r="A214" s="1">
        <v>414.0</v>
      </c>
      <c r="B214" s="1">
        <v>18546.0</v>
      </c>
      <c r="C214" s="26">
        <v>16.437</v>
      </c>
      <c r="D214" s="23">
        <v>16.371</v>
      </c>
      <c r="E214" s="23">
        <v>3.277</v>
      </c>
      <c r="F214" s="1">
        <v>888.9</v>
      </c>
      <c r="G214" s="23">
        <v>0.766</v>
      </c>
      <c r="H214" s="23">
        <v>0.429</v>
      </c>
      <c r="I214" s="1">
        <v>318.9</v>
      </c>
      <c r="J214" s="61">
        <v>1104.9</v>
      </c>
      <c r="K214" s="1">
        <v>29199.0</v>
      </c>
      <c r="L214" s="1">
        <v>100.0</v>
      </c>
      <c r="M214" s="23">
        <v>15.183</v>
      </c>
    </row>
    <row r="215">
      <c r="A215" s="1">
        <v>416.0</v>
      </c>
      <c r="B215" s="1">
        <v>18546.0</v>
      </c>
      <c r="C215" s="26">
        <v>16.021</v>
      </c>
      <c r="D215" s="23">
        <v>16.041</v>
      </c>
      <c r="E215" s="23">
        <v>3.277</v>
      </c>
      <c r="F215" s="1">
        <v>873.9</v>
      </c>
      <c r="G215" s="23">
        <v>0.766</v>
      </c>
      <c r="H215" s="23">
        <v>0.429</v>
      </c>
      <c r="I215" s="1">
        <v>318.9</v>
      </c>
      <c r="J215" s="61">
        <v>1104.9</v>
      </c>
      <c r="K215" s="1">
        <v>29199.0</v>
      </c>
      <c r="L215" s="1">
        <v>100.0</v>
      </c>
      <c r="M215" s="23">
        <v>15.183</v>
      </c>
    </row>
    <row r="216">
      <c r="A216" s="1">
        <v>418.0</v>
      </c>
      <c r="B216" s="1">
        <v>18546.0</v>
      </c>
      <c r="C216" s="23">
        <v>16.588</v>
      </c>
      <c r="D216" s="23">
        <v>16.037</v>
      </c>
      <c r="E216" s="23">
        <v>3.277</v>
      </c>
      <c r="F216" s="1">
        <v>873.9</v>
      </c>
      <c r="G216" s="23">
        <v>0.766</v>
      </c>
      <c r="H216" s="23">
        <v>0.439</v>
      </c>
      <c r="I216" s="1">
        <v>318.9</v>
      </c>
      <c r="J216" s="61">
        <v>1104.9</v>
      </c>
      <c r="K216" s="1">
        <v>29199.0</v>
      </c>
      <c r="L216" s="1">
        <v>99.0</v>
      </c>
      <c r="M216" s="23">
        <v>15.164</v>
      </c>
    </row>
    <row r="217">
      <c r="A217" s="1">
        <v>420.0</v>
      </c>
      <c r="B217" s="1">
        <v>18546.0</v>
      </c>
      <c r="C217" s="26">
        <v>16.197</v>
      </c>
      <c r="D217" s="23">
        <v>15.707</v>
      </c>
      <c r="E217" s="23">
        <v>3.277</v>
      </c>
      <c r="F217" s="1">
        <v>888.9</v>
      </c>
      <c r="G217" s="23">
        <v>0.766</v>
      </c>
      <c r="H217" s="23">
        <v>0.439</v>
      </c>
      <c r="I217" s="1">
        <v>318.9</v>
      </c>
      <c r="J217" s="61">
        <v>1104.9</v>
      </c>
      <c r="K217" s="1">
        <v>29199.0</v>
      </c>
      <c r="L217" s="1">
        <v>100.0</v>
      </c>
      <c r="M217" s="23">
        <v>15.164</v>
      </c>
    </row>
    <row r="218">
      <c r="A218" s="1">
        <v>422.0</v>
      </c>
      <c r="B218" s="1">
        <v>18546.0</v>
      </c>
      <c r="C218" s="26">
        <v>16.172</v>
      </c>
      <c r="D218" s="23">
        <v>15.702</v>
      </c>
      <c r="E218" s="23">
        <v>3.277</v>
      </c>
      <c r="F218" s="1">
        <v>888.9</v>
      </c>
      <c r="G218" s="23">
        <v>0.766</v>
      </c>
      <c r="H218" s="23">
        <v>0.439</v>
      </c>
      <c r="I218" s="1">
        <v>318.9</v>
      </c>
      <c r="J218" s="61">
        <v>1104.9</v>
      </c>
      <c r="K218" s="1">
        <v>29199.0</v>
      </c>
      <c r="L218" s="1">
        <v>100.0</v>
      </c>
      <c r="M218" s="23">
        <v>15.144</v>
      </c>
    </row>
    <row r="219">
      <c r="A219" s="1">
        <v>424.0</v>
      </c>
      <c r="B219" s="1">
        <v>18546.0</v>
      </c>
      <c r="C219" s="23">
        <v>16.58</v>
      </c>
      <c r="D219" s="26">
        <v>16.032</v>
      </c>
      <c r="E219" s="23">
        <v>3.277</v>
      </c>
      <c r="F219" s="1">
        <v>888.9</v>
      </c>
      <c r="G219" s="23">
        <v>0.782</v>
      </c>
      <c r="H219" s="23">
        <v>0.439</v>
      </c>
      <c r="I219" s="1">
        <v>318.9</v>
      </c>
      <c r="J219" s="61">
        <v>1186.9</v>
      </c>
      <c r="K219" s="1">
        <v>29199.0</v>
      </c>
      <c r="L219" s="1">
        <v>100.0</v>
      </c>
      <c r="M219" s="23">
        <v>15.144</v>
      </c>
    </row>
    <row r="220">
      <c r="A220" s="1">
        <v>426.0</v>
      </c>
      <c r="B220" s="1">
        <v>17684.0</v>
      </c>
      <c r="C220" s="23">
        <v>17.739</v>
      </c>
      <c r="D220" s="23">
        <v>17.057</v>
      </c>
      <c r="E220" s="23">
        <v>3.237</v>
      </c>
      <c r="F220" s="1">
        <v>888.9</v>
      </c>
      <c r="G220" s="23">
        <v>0.782</v>
      </c>
      <c r="H220" s="23">
        <v>0.439</v>
      </c>
      <c r="I220" s="1">
        <v>318.9</v>
      </c>
      <c r="J220" s="61">
        <v>1186.9</v>
      </c>
      <c r="K220" s="1">
        <v>27841.0</v>
      </c>
      <c r="L220" s="1">
        <v>100.0</v>
      </c>
      <c r="M220" s="23">
        <v>15.165</v>
      </c>
    </row>
    <row r="221">
      <c r="A221" s="1">
        <v>428.0</v>
      </c>
      <c r="B221" s="1">
        <v>21134.0</v>
      </c>
      <c r="C221" s="23">
        <v>18.407</v>
      </c>
      <c r="D221" s="23">
        <v>18.542</v>
      </c>
      <c r="E221" s="23">
        <v>3.397</v>
      </c>
      <c r="F221" s="1">
        <v>888.9</v>
      </c>
      <c r="G221" s="23">
        <v>0.782</v>
      </c>
      <c r="H221" s="23">
        <v>0.431</v>
      </c>
      <c r="I221" s="1">
        <v>318.9</v>
      </c>
      <c r="J221" s="61">
        <v>1186.9</v>
      </c>
      <c r="K221" s="1">
        <v>33273.0</v>
      </c>
      <c r="L221" s="1">
        <v>100.0</v>
      </c>
      <c r="M221" s="23">
        <v>15.165</v>
      </c>
    </row>
    <row r="222">
      <c r="A222" s="1">
        <v>430.0</v>
      </c>
      <c r="B222" s="1">
        <v>22859.0</v>
      </c>
      <c r="C222" s="23">
        <v>18.747</v>
      </c>
      <c r="D222" s="23">
        <v>18.049</v>
      </c>
      <c r="E222" s="23">
        <v>3.597</v>
      </c>
      <c r="F222" s="1">
        <v>888.9</v>
      </c>
      <c r="G222" s="23">
        <v>0.782</v>
      </c>
      <c r="H222" s="23">
        <v>0.421</v>
      </c>
      <c r="I222" s="1">
        <v>318.9</v>
      </c>
      <c r="J222" s="61">
        <v>1186.9</v>
      </c>
      <c r="K222" s="1">
        <v>35990.0</v>
      </c>
      <c r="L222" s="1">
        <v>100.0</v>
      </c>
      <c r="M222" s="23">
        <v>15.394</v>
      </c>
    </row>
    <row r="223">
      <c r="A223" s="1">
        <v>432.0</v>
      </c>
      <c r="B223" s="1">
        <v>22859.0</v>
      </c>
      <c r="C223" s="23">
        <v>18.369</v>
      </c>
      <c r="D223" s="23">
        <v>17.726</v>
      </c>
      <c r="E223" s="23">
        <v>3.79</v>
      </c>
      <c r="F223" s="1">
        <v>873.9</v>
      </c>
      <c r="G223" s="23">
        <v>0.782</v>
      </c>
      <c r="H223" s="23">
        <v>0.421</v>
      </c>
      <c r="I223" s="1">
        <v>318.9</v>
      </c>
      <c r="J223" s="61">
        <v>1186.9</v>
      </c>
      <c r="K223" s="1">
        <v>35990.0</v>
      </c>
      <c r="L223" s="1">
        <v>100.0</v>
      </c>
      <c r="M223" s="23">
        <v>15.394</v>
      </c>
    </row>
    <row r="224">
      <c r="A224" s="1">
        <v>434.0</v>
      </c>
      <c r="B224" s="1">
        <v>22859.0</v>
      </c>
      <c r="C224" s="23">
        <v>18.369</v>
      </c>
      <c r="D224" s="23">
        <v>17.726</v>
      </c>
      <c r="E224" s="26">
        <v>3.79</v>
      </c>
      <c r="F224" s="1">
        <v>873.9</v>
      </c>
      <c r="G224" s="23">
        <v>0.782</v>
      </c>
      <c r="H224" s="23">
        <v>0.421</v>
      </c>
      <c r="I224" s="1">
        <v>318.9</v>
      </c>
      <c r="J224" s="61">
        <v>1186.9</v>
      </c>
      <c r="K224" s="1">
        <v>35990.0</v>
      </c>
      <c r="L224" s="1">
        <v>100.0</v>
      </c>
      <c r="M224" s="23">
        <v>15.394</v>
      </c>
    </row>
    <row r="225">
      <c r="A225" s="1">
        <v>436.0</v>
      </c>
      <c r="B225" s="1">
        <v>22859.0</v>
      </c>
      <c r="C225" s="23">
        <v>18.369</v>
      </c>
      <c r="D225" s="23">
        <v>17.736</v>
      </c>
      <c r="E225" s="23">
        <v>3.79</v>
      </c>
      <c r="F225" s="1">
        <v>873.9</v>
      </c>
      <c r="G225" s="23">
        <v>0.782</v>
      </c>
      <c r="H225" s="23">
        <v>0.439</v>
      </c>
      <c r="I225" s="1">
        <v>318.9</v>
      </c>
      <c r="J225" s="61">
        <v>1186.9</v>
      </c>
      <c r="K225" s="1">
        <v>35990.0</v>
      </c>
      <c r="L225" s="1">
        <v>100.0</v>
      </c>
      <c r="M225" s="23">
        <v>15.437</v>
      </c>
    </row>
    <row r="226">
      <c r="A226" s="1">
        <v>438.0</v>
      </c>
      <c r="B226" s="1">
        <v>22859.0</v>
      </c>
      <c r="C226" s="23">
        <v>18.747</v>
      </c>
      <c r="D226" s="23">
        <v>18.051</v>
      </c>
      <c r="E226" s="23">
        <v>3.79</v>
      </c>
      <c r="F226" s="1">
        <v>873.9</v>
      </c>
      <c r="G226" s="23">
        <v>0.782</v>
      </c>
      <c r="H226" s="23">
        <v>0.439</v>
      </c>
      <c r="I226" s="1">
        <v>318.9</v>
      </c>
      <c r="J226" s="61">
        <v>1186.9</v>
      </c>
      <c r="K226" s="1">
        <v>35990.0</v>
      </c>
      <c r="L226" s="1">
        <v>100.0</v>
      </c>
      <c r="M226" s="23">
        <v>15.437</v>
      </c>
    </row>
    <row r="227">
      <c r="A227" s="1">
        <v>440.0</v>
      </c>
      <c r="B227" s="1">
        <v>22859.0</v>
      </c>
      <c r="C227" s="26">
        <v>18.747</v>
      </c>
      <c r="D227" s="23">
        <v>17.23</v>
      </c>
      <c r="E227" s="23">
        <v>4.248</v>
      </c>
      <c r="F227" s="1">
        <v>873.9</v>
      </c>
      <c r="G227" s="23">
        <v>0.782</v>
      </c>
      <c r="H227" s="23">
        <v>0.439</v>
      </c>
      <c r="I227" s="1">
        <v>318.9</v>
      </c>
      <c r="J227" s="61">
        <v>1186.9</v>
      </c>
      <c r="K227" s="1">
        <v>35990.0</v>
      </c>
      <c r="L227" s="1">
        <v>100.0</v>
      </c>
      <c r="M227" s="26">
        <v>15.4</v>
      </c>
    </row>
    <row r="228">
      <c r="A228" s="1">
        <v>442.0</v>
      </c>
      <c r="B228" s="1">
        <v>21997.0</v>
      </c>
      <c r="C228" s="23">
        <v>17.016</v>
      </c>
      <c r="D228" s="23">
        <v>15.836</v>
      </c>
      <c r="E228" s="23">
        <v>4.302</v>
      </c>
      <c r="F228" s="1">
        <v>888.9</v>
      </c>
      <c r="G228" s="23">
        <v>0.766</v>
      </c>
      <c r="H228" s="23">
        <v>0.439</v>
      </c>
      <c r="I228" s="1">
        <v>318.9</v>
      </c>
      <c r="J228" s="61">
        <v>1104.9</v>
      </c>
      <c r="K228" s="1">
        <v>34632.0</v>
      </c>
      <c r="L228" s="1">
        <v>100.0</v>
      </c>
      <c r="M228" s="26">
        <v>15.4</v>
      </c>
    </row>
    <row r="229">
      <c r="A229" s="1">
        <v>444.0</v>
      </c>
      <c r="B229" s="1">
        <v>18546.0</v>
      </c>
      <c r="C229" s="23">
        <v>16.5</v>
      </c>
      <c r="D229" s="23">
        <v>15.336</v>
      </c>
      <c r="E229" s="23">
        <v>3.899</v>
      </c>
      <c r="F229" s="1">
        <v>888.9</v>
      </c>
      <c r="G229" s="23">
        <v>0.766</v>
      </c>
      <c r="H229" s="23">
        <v>0.439</v>
      </c>
      <c r="I229" s="1">
        <v>318.9</v>
      </c>
      <c r="J229" s="61">
        <v>1104.9</v>
      </c>
      <c r="K229" s="1">
        <v>29199.0</v>
      </c>
      <c r="L229" s="1">
        <v>100.0</v>
      </c>
      <c r="M229" s="23">
        <v>15.164</v>
      </c>
    </row>
    <row r="230">
      <c r="A230" s="1">
        <v>446.0</v>
      </c>
      <c r="B230" s="1">
        <v>18546.0</v>
      </c>
      <c r="C230" s="23">
        <v>16.538</v>
      </c>
      <c r="D230" s="23">
        <v>15.336</v>
      </c>
      <c r="E230" s="23">
        <v>3.899</v>
      </c>
      <c r="F230" s="1">
        <v>888.9</v>
      </c>
      <c r="G230" s="23">
        <v>0.766</v>
      </c>
      <c r="H230" s="23">
        <v>0.429</v>
      </c>
      <c r="I230" s="1">
        <v>318.9</v>
      </c>
      <c r="J230" s="61">
        <v>1104.9</v>
      </c>
      <c r="K230" s="1">
        <v>29199.0</v>
      </c>
      <c r="L230" s="1">
        <v>100.0</v>
      </c>
      <c r="M230" s="23">
        <v>15.164</v>
      </c>
    </row>
    <row r="231">
      <c r="A231" s="1">
        <v>448.0</v>
      </c>
      <c r="B231" s="1">
        <v>18546.0</v>
      </c>
      <c r="C231" s="23">
        <v>16.538</v>
      </c>
      <c r="D231" s="23">
        <v>15.329</v>
      </c>
      <c r="E231" s="23">
        <v>3.899</v>
      </c>
      <c r="F231" s="1">
        <v>888.9</v>
      </c>
      <c r="G231" s="23">
        <v>0.766</v>
      </c>
      <c r="H231" s="23">
        <v>0.429</v>
      </c>
      <c r="I231" s="1">
        <v>318.9</v>
      </c>
      <c r="J231" s="61">
        <v>1104.9</v>
      </c>
      <c r="K231" s="1">
        <v>29199.0</v>
      </c>
      <c r="L231" s="1">
        <v>100.0</v>
      </c>
      <c r="M231" s="23">
        <v>15.127</v>
      </c>
    </row>
    <row r="232">
      <c r="A232" s="1">
        <v>450.0</v>
      </c>
      <c r="B232" s="1">
        <v>18546.0</v>
      </c>
      <c r="C232" s="23">
        <v>16.575</v>
      </c>
      <c r="D232" s="26">
        <v>15.329</v>
      </c>
      <c r="E232" s="23">
        <v>3.899</v>
      </c>
      <c r="F232" s="1">
        <v>888.9</v>
      </c>
      <c r="G232" s="23">
        <v>0.766</v>
      </c>
      <c r="H232" s="23">
        <v>0.429</v>
      </c>
      <c r="I232" s="1">
        <v>318.9</v>
      </c>
      <c r="J232" s="61">
        <v>1104.9</v>
      </c>
      <c r="K232" s="1">
        <v>29199.0</v>
      </c>
      <c r="L232" s="1">
        <v>100.0</v>
      </c>
      <c r="M232" s="23">
        <v>15.127</v>
      </c>
    </row>
    <row r="233">
      <c r="A233" s="1">
        <v>452.0</v>
      </c>
      <c r="B233" s="1">
        <v>18546.0</v>
      </c>
      <c r="C233" s="23">
        <v>16.588</v>
      </c>
      <c r="D233" s="23">
        <v>15.308</v>
      </c>
      <c r="E233" s="23">
        <v>3.277</v>
      </c>
      <c r="F233" s="1">
        <v>888.9</v>
      </c>
      <c r="G233" s="23">
        <v>0.766</v>
      </c>
      <c r="H233" s="23">
        <v>0.439</v>
      </c>
      <c r="I233" s="1">
        <v>318.9</v>
      </c>
      <c r="J233" s="61">
        <v>1104.9</v>
      </c>
      <c r="K233" s="1">
        <v>29199.0</v>
      </c>
      <c r="L233" s="1">
        <v>100.0</v>
      </c>
      <c r="M233" s="23">
        <v>15.121</v>
      </c>
    </row>
    <row r="234">
      <c r="A234" s="1">
        <v>454.0</v>
      </c>
      <c r="B234" s="1">
        <v>18546.0</v>
      </c>
      <c r="C234" s="23">
        <v>17.004</v>
      </c>
      <c r="D234" s="23">
        <v>15.623</v>
      </c>
      <c r="E234" s="23">
        <v>3.277</v>
      </c>
      <c r="F234" s="1">
        <v>873.9</v>
      </c>
      <c r="G234" s="23">
        <v>0.766</v>
      </c>
      <c r="H234" s="23">
        <v>0.439</v>
      </c>
      <c r="I234" s="1">
        <v>318.9</v>
      </c>
      <c r="J234" s="61">
        <v>1104.9</v>
      </c>
      <c r="K234" s="1">
        <v>29199.0</v>
      </c>
      <c r="L234" s="1">
        <v>100.0</v>
      </c>
      <c r="M234" s="23">
        <v>15.121</v>
      </c>
    </row>
    <row r="235">
      <c r="A235" s="1">
        <v>456.0</v>
      </c>
      <c r="B235" s="1">
        <v>18546.0</v>
      </c>
      <c r="C235" s="23">
        <v>17.016</v>
      </c>
      <c r="D235" s="23">
        <v>15.599</v>
      </c>
      <c r="E235" s="23">
        <v>2.857</v>
      </c>
      <c r="F235" s="1">
        <v>873.9</v>
      </c>
      <c r="G235" s="23">
        <v>0.766</v>
      </c>
      <c r="H235" s="23">
        <v>0.439</v>
      </c>
      <c r="I235" s="1">
        <v>318.9</v>
      </c>
      <c r="J235" s="61">
        <v>1104.9</v>
      </c>
      <c r="K235" s="1">
        <v>29199.0</v>
      </c>
      <c r="L235" s="1">
        <v>100.0</v>
      </c>
      <c r="M235" s="26">
        <v>15.14</v>
      </c>
    </row>
    <row r="236">
      <c r="A236" s="1">
        <v>458.0</v>
      </c>
      <c r="B236" s="1">
        <v>18237.0</v>
      </c>
      <c r="C236" s="23">
        <v>17.663</v>
      </c>
      <c r="D236" s="23">
        <v>16.093</v>
      </c>
      <c r="E236" s="23">
        <v>2.857</v>
      </c>
      <c r="F236" s="1">
        <v>888.9</v>
      </c>
      <c r="G236" s="23">
        <v>0.782</v>
      </c>
      <c r="H236" s="23">
        <v>0.439</v>
      </c>
      <c r="I236" s="1">
        <v>318.9</v>
      </c>
      <c r="J236" s="61">
        <v>1186.9</v>
      </c>
      <c r="K236" s="1">
        <v>29199.0</v>
      </c>
      <c r="L236" s="1">
        <v>100.0</v>
      </c>
      <c r="M236" s="26">
        <v>15.14</v>
      </c>
    </row>
    <row r="237">
      <c r="A237" s="1">
        <v>460.0</v>
      </c>
      <c r="B237" s="1">
        <v>18546.0</v>
      </c>
      <c r="C237" s="23">
        <v>17.726</v>
      </c>
      <c r="D237" s="23">
        <v>17.463</v>
      </c>
      <c r="E237" s="23">
        <v>3.377</v>
      </c>
      <c r="F237" s="1">
        <v>888.9</v>
      </c>
      <c r="G237" s="23">
        <v>0.782</v>
      </c>
      <c r="H237" s="23">
        <v>1.439</v>
      </c>
      <c r="I237" s="1">
        <v>318.9</v>
      </c>
      <c r="J237" s="61">
        <v>1186.9</v>
      </c>
      <c r="K237" s="1">
        <v>29199.0</v>
      </c>
      <c r="L237" s="1">
        <v>100.0</v>
      </c>
      <c r="M237" s="23">
        <v>15.283</v>
      </c>
    </row>
    <row r="238">
      <c r="A238" s="1">
        <v>462.0</v>
      </c>
      <c r="B238" s="1">
        <v>20272.0</v>
      </c>
      <c r="C238" s="23">
        <v>17.726</v>
      </c>
      <c r="D238" s="23">
        <v>17.502</v>
      </c>
      <c r="E238" s="23">
        <v>3.457</v>
      </c>
      <c r="F238" s="1">
        <v>888.9</v>
      </c>
      <c r="G238" s="23">
        <v>0.782</v>
      </c>
      <c r="H238" s="23">
        <v>1.439</v>
      </c>
      <c r="I238" s="1">
        <v>318.9</v>
      </c>
      <c r="J238" s="61">
        <v>1186.9</v>
      </c>
      <c r="K238" s="1">
        <v>31915.0</v>
      </c>
      <c r="L238" s="1">
        <v>100.0</v>
      </c>
      <c r="M238" s="23">
        <v>15.283</v>
      </c>
    </row>
    <row r="239">
      <c r="A239" s="1">
        <v>464.0</v>
      </c>
      <c r="B239" s="1">
        <v>20272.0</v>
      </c>
      <c r="C239" s="23">
        <v>17.928</v>
      </c>
      <c r="D239" s="23">
        <v>17.656</v>
      </c>
      <c r="E239" s="23">
        <v>3.457</v>
      </c>
      <c r="F239" s="1">
        <v>888.9</v>
      </c>
      <c r="G239" s="23">
        <v>0.782</v>
      </c>
      <c r="H239" s="23">
        <v>1.439</v>
      </c>
      <c r="I239" s="1">
        <v>318.9</v>
      </c>
      <c r="J239" s="61">
        <v>1186.9</v>
      </c>
      <c r="K239" s="1">
        <v>31915.0</v>
      </c>
      <c r="L239" s="1">
        <v>100.0</v>
      </c>
      <c r="M239" s="23">
        <v>15.283</v>
      </c>
    </row>
    <row r="240">
      <c r="A240" s="1">
        <v>467.0</v>
      </c>
      <c r="B240" s="1">
        <v>20272.0</v>
      </c>
      <c r="C240" s="23">
        <v>17.915</v>
      </c>
      <c r="D240" s="23">
        <v>17.684</v>
      </c>
      <c r="E240" s="23">
        <v>3.707</v>
      </c>
      <c r="F240" s="1">
        <v>888.9</v>
      </c>
      <c r="G240" s="23">
        <v>0.782</v>
      </c>
      <c r="H240" s="23">
        <v>0.429</v>
      </c>
      <c r="I240" s="1">
        <v>318.9</v>
      </c>
      <c r="J240" s="61">
        <v>1186.9</v>
      </c>
      <c r="K240" s="1">
        <v>31915.0</v>
      </c>
      <c r="L240" s="1">
        <v>100.0</v>
      </c>
      <c r="M240" s="23">
        <v>15.375</v>
      </c>
    </row>
    <row r="241">
      <c r="A241" s="1">
        <v>469.0</v>
      </c>
      <c r="B241" s="1">
        <v>20272.0</v>
      </c>
      <c r="C241" s="23">
        <v>18.508</v>
      </c>
      <c r="D241" s="23">
        <v>17.684</v>
      </c>
      <c r="E241" s="23">
        <v>3.707</v>
      </c>
      <c r="F241" s="1">
        <v>888.9</v>
      </c>
      <c r="G241" s="23">
        <v>0.782</v>
      </c>
      <c r="H241" s="23">
        <v>0.429</v>
      </c>
      <c r="I241" s="1">
        <v>318.9</v>
      </c>
      <c r="J241" s="61">
        <v>1186.9</v>
      </c>
      <c r="K241" s="1">
        <v>31915.0</v>
      </c>
      <c r="L241" s="1">
        <v>100.0</v>
      </c>
      <c r="M241" s="23">
        <v>15.375</v>
      </c>
    </row>
    <row r="242">
      <c r="A242" s="1">
        <v>471.0</v>
      </c>
      <c r="B242" s="1">
        <v>20272.0</v>
      </c>
      <c r="C242" s="23">
        <v>18.13</v>
      </c>
      <c r="D242" s="23">
        <v>17.355</v>
      </c>
      <c r="E242" s="23">
        <v>3.707</v>
      </c>
      <c r="F242" s="1">
        <v>888.9</v>
      </c>
      <c r="G242" s="23">
        <v>0.782</v>
      </c>
      <c r="H242" s="23">
        <v>0.429</v>
      </c>
      <c r="I242" s="1">
        <v>318.9</v>
      </c>
      <c r="J242" s="61">
        <v>1186.9</v>
      </c>
      <c r="K242" s="1">
        <v>31915.0</v>
      </c>
      <c r="L242" s="1">
        <v>100.0</v>
      </c>
      <c r="M242" s="26">
        <v>15.38</v>
      </c>
    </row>
    <row r="243">
      <c r="A243" s="1">
        <v>473.0</v>
      </c>
      <c r="B243" s="1">
        <v>20272.0</v>
      </c>
      <c r="C243" s="23">
        <v>17.525</v>
      </c>
      <c r="D243" s="23">
        <v>16.805</v>
      </c>
      <c r="E243" s="23">
        <v>3.707</v>
      </c>
      <c r="F243" s="1">
        <v>888.9</v>
      </c>
      <c r="G243" s="23">
        <v>0.782</v>
      </c>
      <c r="H243" s="23">
        <v>0.429</v>
      </c>
      <c r="I243" s="1">
        <v>318.9</v>
      </c>
      <c r="J243" s="61">
        <v>1186.9</v>
      </c>
      <c r="K243" s="1">
        <v>31915.0</v>
      </c>
      <c r="L243" s="1">
        <v>100.0</v>
      </c>
      <c r="M243" s="26">
        <v>15.38</v>
      </c>
    </row>
    <row r="244">
      <c r="A244" s="1">
        <v>475.0</v>
      </c>
      <c r="B244" s="1">
        <v>20272.0</v>
      </c>
      <c r="C244" s="23">
        <v>17.86</v>
      </c>
      <c r="D244" s="23">
        <v>17.11</v>
      </c>
      <c r="E244" s="23">
        <v>3.707</v>
      </c>
      <c r="F244" s="1">
        <v>888.9</v>
      </c>
      <c r="G244" s="23">
        <v>0.763</v>
      </c>
      <c r="H244" s="23">
        <v>0.429</v>
      </c>
      <c r="I244" s="1">
        <v>318.9</v>
      </c>
      <c r="J244" s="61">
        <v>1085.1</v>
      </c>
      <c r="K244" s="1">
        <v>31915.0</v>
      </c>
      <c r="L244" s="1">
        <v>100.0</v>
      </c>
      <c r="M244" s="23">
        <v>15.266</v>
      </c>
    </row>
    <row r="245">
      <c r="A245" s="1">
        <v>477.0</v>
      </c>
      <c r="B245" s="1">
        <v>20272.0</v>
      </c>
      <c r="C245" s="23">
        <v>16.827</v>
      </c>
      <c r="D245" s="23">
        <v>16.234</v>
      </c>
      <c r="E245" s="23">
        <v>3.827</v>
      </c>
      <c r="F245" s="1">
        <v>888.9</v>
      </c>
      <c r="G245" s="23">
        <v>0.763</v>
      </c>
      <c r="H245" s="23">
        <v>0.439</v>
      </c>
      <c r="I245" s="1">
        <v>318.9</v>
      </c>
      <c r="J245" s="61">
        <v>1085.1</v>
      </c>
      <c r="K245" s="1">
        <v>31915.0</v>
      </c>
      <c r="L245" s="1">
        <v>100.0</v>
      </c>
      <c r="M245" s="23">
        <v>15.266</v>
      </c>
    </row>
    <row r="246">
      <c r="A246" s="1">
        <v>479.0</v>
      </c>
      <c r="B246" s="1">
        <v>18546.0</v>
      </c>
      <c r="C246" s="26">
        <v>16.651</v>
      </c>
      <c r="D246" s="23">
        <v>16.05</v>
      </c>
      <c r="E246" s="23">
        <v>3.647</v>
      </c>
      <c r="F246" s="1">
        <v>888.9</v>
      </c>
      <c r="G246" s="23">
        <v>0.766</v>
      </c>
      <c r="H246" s="23">
        <v>0.439</v>
      </c>
      <c r="I246" s="1">
        <v>318.9</v>
      </c>
      <c r="J246" s="61">
        <v>1104.9</v>
      </c>
      <c r="K246" s="1">
        <v>29199.0</v>
      </c>
      <c r="L246" s="1">
        <v>100.0</v>
      </c>
      <c r="M246" s="23">
        <v>15.167</v>
      </c>
    </row>
    <row r="247">
      <c r="A247" s="1">
        <v>481.0</v>
      </c>
      <c r="B247" s="1">
        <v>18546.0</v>
      </c>
      <c r="C247" s="26">
        <v>16.626</v>
      </c>
      <c r="D247" s="23">
        <v>16.05</v>
      </c>
      <c r="E247" s="23">
        <v>3.647</v>
      </c>
      <c r="F247" s="1">
        <v>888.9</v>
      </c>
      <c r="G247" s="23">
        <v>0.766</v>
      </c>
      <c r="H247" s="23">
        <v>0.439</v>
      </c>
      <c r="I247" s="1">
        <v>318.9</v>
      </c>
      <c r="J247" s="61">
        <v>1104.9</v>
      </c>
      <c r="K247" s="1">
        <v>29199.0</v>
      </c>
      <c r="L247" s="1">
        <v>100.0</v>
      </c>
      <c r="M247" s="23">
        <v>15.167</v>
      </c>
    </row>
    <row r="248">
      <c r="A248" s="1">
        <v>483.0</v>
      </c>
      <c r="B248" s="1">
        <v>18546.0</v>
      </c>
      <c r="C248" s="26">
        <v>15.63</v>
      </c>
      <c r="D248" s="23">
        <v>15.694</v>
      </c>
      <c r="E248" s="23">
        <v>3.227</v>
      </c>
      <c r="F248" s="1">
        <v>873.9</v>
      </c>
      <c r="G248" s="23">
        <v>0.766</v>
      </c>
      <c r="H248" s="23">
        <v>0.439</v>
      </c>
      <c r="I248" s="1">
        <v>318.9</v>
      </c>
      <c r="J248" s="61">
        <v>1104.9</v>
      </c>
      <c r="K248" s="1">
        <v>29199.0</v>
      </c>
      <c r="L248" s="1">
        <v>100.0</v>
      </c>
      <c r="M248" s="23">
        <v>15.171</v>
      </c>
    </row>
    <row r="249">
      <c r="A249" s="1">
        <v>485.0</v>
      </c>
      <c r="B249" s="1">
        <v>18546.0</v>
      </c>
      <c r="C249" s="26">
        <v>15.618</v>
      </c>
      <c r="D249" s="23">
        <v>15.694</v>
      </c>
      <c r="E249" s="23">
        <v>3.227</v>
      </c>
      <c r="F249" s="1">
        <v>873.9</v>
      </c>
      <c r="G249" s="23">
        <v>0.766</v>
      </c>
      <c r="H249" s="23">
        <v>0.439</v>
      </c>
      <c r="I249" s="1">
        <v>318.9</v>
      </c>
      <c r="J249" s="61">
        <v>1104.9</v>
      </c>
      <c r="K249" s="1">
        <v>29199.0</v>
      </c>
      <c r="L249" s="1">
        <v>100.0</v>
      </c>
      <c r="M249" s="23">
        <v>15.171</v>
      </c>
    </row>
    <row r="250">
      <c r="A250" s="1">
        <v>487.0</v>
      </c>
      <c r="B250" s="1">
        <v>18546.0</v>
      </c>
      <c r="C250" s="26">
        <v>16.575</v>
      </c>
      <c r="D250" s="23">
        <v>16.024</v>
      </c>
      <c r="E250" s="23">
        <v>3.227</v>
      </c>
      <c r="F250" s="1">
        <v>873.9</v>
      </c>
      <c r="G250" s="23">
        <v>0.766</v>
      </c>
      <c r="H250" s="23">
        <v>0.429</v>
      </c>
      <c r="I250" s="1">
        <v>318.9</v>
      </c>
      <c r="J250" s="61">
        <v>1104.9</v>
      </c>
      <c r="K250" s="1">
        <v>29199.0</v>
      </c>
      <c r="L250" s="1">
        <v>100.0</v>
      </c>
      <c r="M250" s="23">
        <v>15.172</v>
      </c>
    </row>
    <row r="251">
      <c r="A251" s="1">
        <v>489.0</v>
      </c>
      <c r="B251" s="1">
        <v>18546.0</v>
      </c>
      <c r="C251" s="26">
        <v>16.903</v>
      </c>
      <c r="D251" s="23">
        <v>16.354</v>
      </c>
      <c r="E251" s="23">
        <v>3.227</v>
      </c>
      <c r="F251" s="1">
        <v>873.9</v>
      </c>
      <c r="G251" s="23">
        <v>0.766</v>
      </c>
      <c r="H251" s="23">
        <v>0.439</v>
      </c>
      <c r="I251" s="1">
        <v>318.9</v>
      </c>
      <c r="J251" s="61">
        <v>1104.9</v>
      </c>
      <c r="K251" s="1">
        <v>29199.0</v>
      </c>
      <c r="L251" s="1">
        <v>100.0</v>
      </c>
      <c r="M251" s="23">
        <v>15.172</v>
      </c>
    </row>
    <row r="252">
      <c r="A252" s="1">
        <v>491.0</v>
      </c>
      <c r="B252" s="1">
        <v>18546.0</v>
      </c>
      <c r="C252" s="26">
        <v>18.768</v>
      </c>
      <c r="D252" s="23">
        <v>18.032</v>
      </c>
      <c r="E252" s="23">
        <v>3.227</v>
      </c>
      <c r="F252" s="1">
        <v>873.9</v>
      </c>
      <c r="G252" s="23">
        <v>0.766</v>
      </c>
      <c r="H252" s="23">
        <v>0.439</v>
      </c>
      <c r="I252" s="1">
        <v>318.9</v>
      </c>
      <c r="J252" s="61">
        <v>1104.9</v>
      </c>
      <c r="K252" s="1">
        <v>29199.0</v>
      </c>
      <c r="L252" s="1">
        <v>100.0</v>
      </c>
      <c r="M252" s="23">
        <v>15.305</v>
      </c>
    </row>
    <row r="253">
      <c r="A253" s="1">
        <v>493.0</v>
      </c>
      <c r="B253" s="1">
        <v>21134.0</v>
      </c>
      <c r="C253" s="26">
        <v>18.961</v>
      </c>
      <c r="D253" s="23">
        <v>18.157</v>
      </c>
      <c r="E253" s="23">
        <v>3.227</v>
      </c>
      <c r="F253" s="1">
        <v>888.9</v>
      </c>
      <c r="G253" s="23">
        <v>0.782</v>
      </c>
      <c r="H253" s="23">
        <v>0.439</v>
      </c>
      <c r="I253" s="1">
        <v>318.9</v>
      </c>
      <c r="J253" s="61">
        <v>1186.9</v>
      </c>
      <c r="K253" s="1">
        <v>33273.0</v>
      </c>
      <c r="L253" s="1">
        <v>100.0</v>
      </c>
      <c r="M253" s="23">
        <v>15.305</v>
      </c>
    </row>
    <row r="254">
      <c r="A254" s="1">
        <v>495.0</v>
      </c>
      <c r="B254" s="1">
        <v>21134.0</v>
      </c>
      <c r="C254" s="26">
        <v>18.961</v>
      </c>
      <c r="D254" s="23">
        <v>18.157</v>
      </c>
      <c r="E254" s="23">
        <v>3.227</v>
      </c>
      <c r="F254" s="1">
        <v>888.9</v>
      </c>
      <c r="G254" s="23">
        <v>0.782</v>
      </c>
      <c r="H254" s="23">
        <v>0.439</v>
      </c>
      <c r="I254" s="1">
        <v>318.9</v>
      </c>
      <c r="J254" s="61">
        <v>1186.9</v>
      </c>
      <c r="K254" s="1">
        <v>33273.0</v>
      </c>
      <c r="L254" s="1">
        <v>100.0</v>
      </c>
      <c r="M254" s="23">
        <v>15.305</v>
      </c>
    </row>
    <row r="255">
      <c r="A255" s="1">
        <v>497.0</v>
      </c>
      <c r="B255" s="1">
        <v>21134.0</v>
      </c>
      <c r="C255" s="26">
        <v>18.961</v>
      </c>
      <c r="D255" s="23">
        <v>18.18</v>
      </c>
      <c r="E255" s="23">
        <v>3.227</v>
      </c>
      <c r="F255" s="1">
        <v>888.9</v>
      </c>
      <c r="G255" s="23">
        <v>0.782</v>
      </c>
      <c r="H255" s="23">
        <v>0.439</v>
      </c>
      <c r="I255" s="1">
        <v>318.9</v>
      </c>
      <c r="J255" s="61">
        <v>1186.9</v>
      </c>
      <c r="K255" s="1">
        <v>33273.0</v>
      </c>
      <c r="L255" s="1">
        <v>100.0</v>
      </c>
      <c r="M255" s="26">
        <v>15.41</v>
      </c>
    </row>
    <row r="256">
      <c r="A256" s="1">
        <v>499.0</v>
      </c>
      <c r="B256" s="1">
        <v>22859.0</v>
      </c>
      <c r="C256" s="26">
        <v>19.125</v>
      </c>
      <c r="D256" s="23">
        <v>17.504</v>
      </c>
      <c r="E256" s="23">
        <v>3.307</v>
      </c>
      <c r="F256" s="1">
        <v>888.9</v>
      </c>
      <c r="G256" s="23">
        <v>0.782</v>
      </c>
      <c r="H256" s="23">
        <v>0.439</v>
      </c>
      <c r="I256" s="1">
        <v>318.9</v>
      </c>
      <c r="J256" s="61">
        <v>1186.9</v>
      </c>
      <c r="K256" s="1">
        <v>35990.0</v>
      </c>
      <c r="L256" s="1">
        <v>100.0</v>
      </c>
      <c r="M256" s="26">
        <v>15.41</v>
      </c>
    </row>
    <row r="257">
      <c r="A257" s="1">
        <v>501.0</v>
      </c>
      <c r="B257" s="1">
        <v>22859.0</v>
      </c>
      <c r="C257" s="26">
        <v>19.125</v>
      </c>
      <c r="D257" s="23">
        <v>17.498</v>
      </c>
      <c r="E257" s="23">
        <v>3.307</v>
      </c>
      <c r="F257" s="1">
        <v>888.9</v>
      </c>
      <c r="G257" s="23">
        <v>0.782</v>
      </c>
      <c r="H257" s="23">
        <v>0.439</v>
      </c>
      <c r="I257" s="1">
        <v>318.9</v>
      </c>
      <c r="J257" s="61">
        <v>1186.9</v>
      </c>
      <c r="K257" s="1">
        <v>35990.0</v>
      </c>
      <c r="L257" s="1">
        <v>100.0</v>
      </c>
      <c r="M257" s="23">
        <v>15.377</v>
      </c>
    </row>
    <row r="258">
      <c r="A258" s="1">
        <v>503.0</v>
      </c>
      <c r="B258" s="1">
        <v>22859.0</v>
      </c>
      <c r="C258" s="23">
        <v>18.747</v>
      </c>
      <c r="D258" s="23">
        <v>17.21</v>
      </c>
      <c r="E258" s="23">
        <v>3.727</v>
      </c>
      <c r="F258" s="1">
        <v>888.9</v>
      </c>
      <c r="G258" s="23">
        <v>0.782</v>
      </c>
      <c r="H258" s="23">
        <v>0.429</v>
      </c>
      <c r="I258" s="1">
        <v>318.9</v>
      </c>
      <c r="J258" s="61">
        <v>1186.9</v>
      </c>
      <c r="K258" s="1">
        <v>35990.0</v>
      </c>
      <c r="L258" s="1">
        <v>100.0</v>
      </c>
      <c r="M258" s="23">
        <v>15.377</v>
      </c>
    </row>
    <row r="259">
      <c r="A259" s="1">
        <v>505.0</v>
      </c>
      <c r="B259" s="1">
        <v>22859.0</v>
      </c>
      <c r="C259" s="23">
        <v>18.747</v>
      </c>
      <c r="D259" s="23">
        <v>18.463</v>
      </c>
      <c r="E259" s="23">
        <v>3.477</v>
      </c>
      <c r="F259" s="1">
        <v>888.9</v>
      </c>
      <c r="G259" s="23">
        <v>0.782</v>
      </c>
      <c r="H259" s="23">
        <v>0.429</v>
      </c>
      <c r="I259" s="1">
        <v>318.9</v>
      </c>
      <c r="J259" s="61">
        <v>1186.9</v>
      </c>
      <c r="K259" s="1">
        <v>35990.0</v>
      </c>
      <c r="L259" s="1">
        <v>100.0</v>
      </c>
      <c r="M259" s="23">
        <v>15.283</v>
      </c>
    </row>
    <row r="260">
      <c r="A260" s="1">
        <v>507.0</v>
      </c>
      <c r="B260" s="1">
        <v>21630.0</v>
      </c>
      <c r="C260" s="23">
        <v>16.907</v>
      </c>
      <c r="D260" s="23">
        <v>17.778</v>
      </c>
      <c r="E260" s="23">
        <v>3.607</v>
      </c>
      <c r="F260" s="1">
        <v>888.9</v>
      </c>
      <c r="G260" s="23">
        <v>0.782</v>
      </c>
      <c r="H260" s="23">
        <v>0.429</v>
      </c>
      <c r="I260" s="1">
        <v>318.9</v>
      </c>
      <c r="J260" s="61">
        <v>1186.9</v>
      </c>
      <c r="K260" s="1">
        <v>34632.0</v>
      </c>
      <c r="L260" s="1">
        <v>100.0</v>
      </c>
      <c r="M260" s="23">
        <v>15.283</v>
      </c>
    </row>
    <row r="261">
      <c r="A261" s="1">
        <v>509.0</v>
      </c>
      <c r="B261" s="1">
        <v>20272.0</v>
      </c>
      <c r="C261" s="23">
        <v>16.706</v>
      </c>
      <c r="D261" s="23">
        <v>17.258</v>
      </c>
      <c r="E261" s="23">
        <v>3.357</v>
      </c>
      <c r="F261" s="1">
        <v>888.9</v>
      </c>
      <c r="G261" s="23">
        <v>0.782</v>
      </c>
      <c r="H261" s="23">
        <v>0.429</v>
      </c>
      <c r="I261" s="1">
        <v>318.9</v>
      </c>
      <c r="J261" s="61">
        <v>1186.9</v>
      </c>
      <c r="K261" s="1">
        <v>31915.0</v>
      </c>
      <c r="L261" s="1">
        <v>100.0</v>
      </c>
      <c r="M261" s="23">
        <v>15.281</v>
      </c>
    </row>
    <row r="262">
      <c r="A262" s="1">
        <v>511.0</v>
      </c>
      <c r="B262" s="1">
        <v>20272.0</v>
      </c>
      <c r="C262" s="23">
        <v>16.349</v>
      </c>
      <c r="D262" s="23">
        <v>16.975</v>
      </c>
      <c r="E262" s="23">
        <v>3.357</v>
      </c>
      <c r="F262" s="1">
        <v>888.9</v>
      </c>
      <c r="G262" s="23">
        <v>0.766</v>
      </c>
      <c r="H262" s="23">
        <v>0.429</v>
      </c>
      <c r="I262" s="1">
        <v>318.9</v>
      </c>
      <c r="J262" s="61">
        <v>1104.9</v>
      </c>
      <c r="K262" s="1">
        <v>31915.0</v>
      </c>
      <c r="L262" s="1">
        <v>100.0</v>
      </c>
      <c r="M262" s="23">
        <v>15.281</v>
      </c>
    </row>
    <row r="263">
      <c r="A263" s="1">
        <v>513.0</v>
      </c>
      <c r="B263" s="1">
        <v>20272.0</v>
      </c>
      <c r="C263" s="23">
        <v>16.752</v>
      </c>
      <c r="D263" s="23">
        <v>17.324</v>
      </c>
      <c r="E263" s="23">
        <v>3.357</v>
      </c>
      <c r="F263" s="1">
        <v>888.9</v>
      </c>
      <c r="G263" s="23">
        <v>0.766</v>
      </c>
      <c r="H263" s="23">
        <v>0.429</v>
      </c>
      <c r="I263" s="1">
        <v>318.9</v>
      </c>
      <c r="J263" s="61">
        <v>1104.9</v>
      </c>
      <c r="K263" s="1">
        <v>31915.0</v>
      </c>
      <c r="L263" s="1">
        <v>100.0</v>
      </c>
      <c r="M263" s="23">
        <v>15.296</v>
      </c>
    </row>
    <row r="264">
      <c r="A264" s="1">
        <v>515.0</v>
      </c>
      <c r="B264" s="1">
        <v>18546.0</v>
      </c>
      <c r="C264" s="23">
        <v>16.601</v>
      </c>
      <c r="D264" s="23">
        <v>17.192</v>
      </c>
      <c r="E264" s="23">
        <v>3.899</v>
      </c>
      <c r="F264" s="1">
        <v>888.9</v>
      </c>
      <c r="G264" s="23">
        <v>0.766</v>
      </c>
      <c r="H264" s="23">
        <v>0.439</v>
      </c>
      <c r="I264" s="1">
        <v>318.9</v>
      </c>
      <c r="J264" s="61">
        <v>1104.9</v>
      </c>
      <c r="K264" s="1">
        <v>29199.0</v>
      </c>
      <c r="L264" s="1">
        <v>100.0</v>
      </c>
      <c r="M264" s="23">
        <v>15.296</v>
      </c>
    </row>
    <row r="265">
      <c r="A265" s="1">
        <v>518.0</v>
      </c>
      <c r="B265" s="1">
        <v>18546.0</v>
      </c>
      <c r="C265" s="23">
        <v>16.991</v>
      </c>
      <c r="D265" s="23">
        <v>17.561</v>
      </c>
      <c r="E265" s="23">
        <v>3.899</v>
      </c>
      <c r="F265" s="1">
        <v>873.9</v>
      </c>
      <c r="G265" s="23">
        <v>0.766</v>
      </c>
      <c r="H265" s="23">
        <v>0.439</v>
      </c>
      <c r="I265" s="1">
        <v>318.9</v>
      </c>
      <c r="J265" s="61">
        <v>1104.9</v>
      </c>
      <c r="K265" s="1">
        <v>29199.0</v>
      </c>
      <c r="L265" s="1">
        <v>100.0</v>
      </c>
      <c r="M265" s="23">
        <v>15.308</v>
      </c>
    </row>
    <row r="266">
      <c r="A266" s="1">
        <v>520.0</v>
      </c>
      <c r="B266" s="1">
        <v>18546.0</v>
      </c>
      <c r="C266" s="26">
        <v>17.004</v>
      </c>
      <c r="D266" s="23">
        <v>16.694</v>
      </c>
      <c r="E266" s="23">
        <v>3.441</v>
      </c>
      <c r="F266" s="1">
        <v>888.9</v>
      </c>
      <c r="G266" s="23">
        <v>0.766</v>
      </c>
      <c r="H266" s="23">
        <v>0.439</v>
      </c>
      <c r="I266" s="1">
        <v>318.9</v>
      </c>
      <c r="J266" s="61">
        <v>1104.9</v>
      </c>
      <c r="K266" s="1">
        <v>29199.0</v>
      </c>
      <c r="L266" s="1">
        <v>100.0</v>
      </c>
      <c r="M266" s="23">
        <v>15.308</v>
      </c>
    </row>
    <row r="267">
      <c r="A267" s="1">
        <v>522.0</v>
      </c>
      <c r="B267" s="1">
        <v>18546.0</v>
      </c>
      <c r="C267" s="26">
        <v>17.029</v>
      </c>
      <c r="D267" s="23">
        <v>17.469</v>
      </c>
      <c r="E267" s="23">
        <v>3.441</v>
      </c>
      <c r="F267" s="1">
        <v>888.9</v>
      </c>
      <c r="G267" s="23">
        <v>0.766</v>
      </c>
      <c r="H267" s="23">
        <v>1.439</v>
      </c>
      <c r="I267" s="1">
        <v>318.9</v>
      </c>
      <c r="J267" s="61">
        <v>1104.9</v>
      </c>
      <c r="K267" s="1">
        <v>29199.0</v>
      </c>
      <c r="L267" s="1">
        <v>100.0</v>
      </c>
      <c r="M267" s="23">
        <v>15.256</v>
      </c>
    </row>
    <row r="268">
      <c r="A268" s="1">
        <v>524.0</v>
      </c>
      <c r="B268" s="1">
        <v>18546.0</v>
      </c>
      <c r="C268" s="26">
        <v>16.676</v>
      </c>
      <c r="D268" s="23">
        <v>17.166</v>
      </c>
      <c r="E268" s="23">
        <v>3.899</v>
      </c>
      <c r="F268" s="1">
        <v>888.9</v>
      </c>
      <c r="G268" s="23">
        <v>0.766</v>
      </c>
      <c r="H268" s="23">
        <v>1.439</v>
      </c>
      <c r="I268" s="1">
        <v>318.9</v>
      </c>
      <c r="J268" s="61">
        <v>1104.9</v>
      </c>
      <c r="K268" s="1">
        <v>29199.0</v>
      </c>
      <c r="L268" s="1">
        <v>100.0</v>
      </c>
      <c r="M268" s="23">
        <v>15.256</v>
      </c>
    </row>
    <row r="269">
      <c r="A269" s="1">
        <v>526.0</v>
      </c>
      <c r="B269" s="1">
        <v>18546.0</v>
      </c>
      <c r="C269" s="26">
        <v>17.067</v>
      </c>
      <c r="D269" s="23">
        <v>17.496</v>
      </c>
      <c r="E269" s="23">
        <v>3.899</v>
      </c>
      <c r="F269" s="1">
        <v>888.9</v>
      </c>
      <c r="G269" s="23">
        <v>0.766</v>
      </c>
      <c r="H269" s="23">
        <v>1.439</v>
      </c>
      <c r="I269" s="1">
        <v>318.9</v>
      </c>
      <c r="J269" s="61">
        <v>1104.9</v>
      </c>
      <c r="K269" s="1">
        <v>29199.0</v>
      </c>
      <c r="L269" s="1">
        <v>100.0</v>
      </c>
      <c r="M269" s="23">
        <v>15.256</v>
      </c>
    </row>
    <row r="270">
      <c r="A270" s="1">
        <v>528.0</v>
      </c>
      <c r="B270" s="1">
        <v>18546.0</v>
      </c>
      <c r="C270" s="23">
        <v>17.991</v>
      </c>
      <c r="D270" s="23">
        <v>18.285</v>
      </c>
      <c r="E270" s="23">
        <v>3.899</v>
      </c>
      <c r="F270" s="1">
        <v>888.9</v>
      </c>
      <c r="G270" s="23">
        <v>0.782</v>
      </c>
      <c r="H270" s="23">
        <v>0.439</v>
      </c>
      <c r="I270" s="1">
        <v>318.9</v>
      </c>
      <c r="J270" s="61">
        <v>1186.9</v>
      </c>
      <c r="K270" s="1">
        <v>29199.0</v>
      </c>
      <c r="L270" s="1">
        <v>100.0</v>
      </c>
      <c r="M270" s="23">
        <v>15.344</v>
      </c>
    </row>
    <row r="271">
      <c r="A271" s="1">
        <v>530.0</v>
      </c>
      <c r="B271" s="1">
        <v>20272.0</v>
      </c>
      <c r="C271" s="23">
        <v>18.167</v>
      </c>
      <c r="D271" s="23">
        <v>17.355</v>
      </c>
      <c r="E271" s="23">
        <v>3.986</v>
      </c>
      <c r="F271" s="1">
        <v>888.9</v>
      </c>
      <c r="G271" s="23">
        <v>0.782</v>
      </c>
      <c r="H271" s="23">
        <v>0.439</v>
      </c>
      <c r="I271" s="1">
        <v>318.9</v>
      </c>
      <c r="J271" s="61">
        <v>1186.9</v>
      </c>
      <c r="K271" s="1">
        <v>31915.0</v>
      </c>
      <c r="L271" s="1">
        <v>100.0</v>
      </c>
      <c r="M271" s="23">
        <v>15.344</v>
      </c>
    </row>
    <row r="272">
      <c r="A272" s="1">
        <v>532.0</v>
      </c>
      <c r="B272" s="1">
        <v>20272.0</v>
      </c>
      <c r="C272" s="23">
        <v>18.142</v>
      </c>
      <c r="D272" s="23">
        <v>17.348</v>
      </c>
      <c r="E272" s="23">
        <v>3.986</v>
      </c>
      <c r="F272" s="1">
        <v>873.9</v>
      </c>
      <c r="G272" s="23">
        <v>0.782</v>
      </c>
      <c r="H272" s="23">
        <v>0.439</v>
      </c>
      <c r="I272" s="1">
        <v>318.9</v>
      </c>
      <c r="J272" s="61">
        <v>1186.9</v>
      </c>
      <c r="K272" s="1">
        <v>31915.0</v>
      </c>
      <c r="L272" s="1">
        <v>99.0</v>
      </c>
      <c r="M272" s="23">
        <v>15.315</v>
      </c>
    </row>
    <row r="273">
      <c r="A273" s="1">
        <v>534.0</v>
      </c>
      <c r="B273" s="1">
        <v>20272.0</v>
      </c>
      <c r="C273" s="23">
        <v>18.142</v>
      </c>
      <c r="D273" s="23">
        <v>17.352</v>
      </c>
      <c r="E273" s="23">
        <v>4.117</v>
      </c>
      <c r="F273" s="1">
        <v>873.9</v>
      </c>
      <c r="G273" s="23">
        <v>0.782</v>
      </c>
      <c r="H273" s="23">
        <v>0.439</v>
      </c>
      <c r="I273" s="1">
        <v>318.9</v>
      </c>
      <c r="J273" s="61">
        <v>1186.9</v>
      </c>
      <c r="K273" s="1">
        <v>31915.0</v>
      </c>
      <c r="L273" s="1">
        <v>100.0</v>
      </c>
      <c r="M273" s="23">
        <v>15.315</v>
      </c>
    </row>
    <row r="274">
      <c r="A274" s="1">
        <v>536.0</v>
      </c>
      <c r="B274" s="1">
        <v>20272.0</v>
      </c>
      <c r="C274" s="23">
        <v>17.777</v>
      </c>
      <c r="D274" s="23">
        <v>16.985</v>
      </c>
      <c r="E274" s="23">
        <v>3.477</v>
      </c>
      <c r="F274" s="1">
        <v>873.9</v>
      </c>
      <c r="G274" s="23">
        <v>0.782</v>
      </c>
      <c r="H274" s="23">
        <v>0.439</v>
      </c>
      <c r="I274" s="1">
        <v>318.9</v>
      </c>
      <c r="J274" s="61">
        <v>1186.9</v>
      </c>
      <c r="K274" s="1">
        <v>31915.0</v>
      </c>
      <c r="L274" s="1">
        <v>100.0</v>
      </c>
      <c r="M274" s="23">
        <v>15.234</v>
      </c>
    </row>
    <row r="275">
      <c r="A275" s="1">
        <v>538.0</v>
      </c>
      <c r="B275" s="1">
        <v>20272.0</v>
      </c>
      <c r="C275" s="23">
        <v>17.588</v>
      </c>
      <c r="D275" s="23">
        <v>16.985</v>
      </c>
      <c r="E275" s="23">
        <v>3.477</v>
      </c>
      <c r="F275" s="1">
        <v>873.9</v>
      </c>
      <c r="G275" s="23">
        <v>0.782</v>
      </c>
      <c r="H275" s="23">
        <v>0.439</v>
      </c>
      <c r="I275" s="1">
        <v>318.9</v>
      </c>
      <c r="J275" s="61">
        <v>1186.9</v>
      </c>
      <c r="K275" s="1">
        <v>31915.0</v>
      </c>
      <c r="L275" s="1">
        <v>100.0</v>
      </c>
      <c r="M275" s="23">
        <v>15.234</v>
      </c>
    </row>
    <row r="276">
      <c r="A276" s="1">
        <v>540.0</v>
      </c>
      <c r="B276" s="1">
        <v>20272.0</v>
      </c>
      <c r="C276" s="23">
        <v>17.739</v>
      </c>
      <c r="D276" s="23">
        <v>16.982</v>
      </c>
      <c r="E276" s="23">
        <v>3.477</v>
      </c>
      <c r="F276" s="1">
        <v>873.9</v>
      </c>
      <c r="G276" s="23">
        <v>0.782</v>
      </c>
      <c r="H276" s="23">
        <v>0.439</v>
      </c>
      <c r="I276" s="1">
        <v>318.9</v>
      </c>
      <c r="J276" s="61">
        <v>1186.9</v>
      </c>
      <c r="K276" s="1">
        <v>31915.0</v>
      </c>
      <c r="L276" s="1">
        <v>100.0</v>
      </c>
      <c r="M276" s="23">
        <v>15.217</v>
      </c>
    </row>
    <row r="277">
      <c r="A277" s="1">
        <v>542.0</v>
      </c>
      <c r="B277" s="1">
        <v>20272.0</v>
      </c>
      <c r="C277" s="23">
        <v>17.084</v>
      </c>
      <c r="D277" s="23">
        <v>16.432</v>
      </c>
      <c r="E277" s="23">
        <v>3.477</v>
      </c>
      <c r="F277" s="1">
        <v>873.9</v>
      </c>
      <c r="G277" s="23">
        <v>0.782</v>
      </c>
      <c r="H277" s="23">
        <v>0.431</v>
      </c>
      <c r="I277" s="1">
        <v>318.9</v>
      </c>
      <c r="J277" s="61">
        <v>1186.9</v>
      </c>
      <c r="K277" s="1">
        <v>31915.0</v>
      </c>
      <c r="L277" s="1">
        <v>100.0</v>
      </c>
      <c r="M277" s="23">
        <v>15.217</v>
      </c>
    </row>
    <row r="278">
      <c r="A278" s="1">
        <v>544.0</v>
      </c>
      <c r="B278" s="1">
        <v>18546.0</v>
      </c>
      <c r="C278" s="23">
        <v>16.588</v>
      </c>
      <c r="D278" s="23">
        <v>16.043</v>
      </c>
      <c r="E278" s="23">
        <v>3.397</v>
      </c>
      <c r="F278" s="1">
        <v>873.9</v>
      </c>
      <c r="G278" s="23">
        <v>0.766</v>
      </c>
      <c r="H278" s="23">
        <v>0.439</v>
      </c>
      <c r="I278" s="1">
        <v>318.9</v>
      </c>
      <c r="J278" s="61">
        <v>1104.9</v>
      </c>
      <c r="K278" s="1">
        <v>29199.0</v>
      </c>
      <c r="L278" s="1">
        <v>100.0</v>
      </c>
      <c r="M278" s="23">
        <v>15.174</v>
      </c>
    </row>
    <row r="279">
      <c r="A279" s="1">
        <v>546.0</v>
      </c>
      <c r="B279" s="1">
        <v>18546.0</v>
      </c>
      <c r="C279" s="23">
        <v>16.563</v>
      </c>
      <c r="D279" s="26">
        <v>16.043</v>
      </c>
      <c r="E279" s="23">
        <v>3.397</v>
      </c>
      <c r="F279" s="1">
        <v>888.9</v>
      </c>
      <c r="G279" s="23">
        <v>0.766</v>
      </c>
      <c r="H279" s="23">
        <v>0.439</v>
      </c>
      <c r="I279" s="1">
        <v>318.9</v>
      </c>
      <c r="J279" s="61">
        <v>1104.9</v>
      </c>
      <c r="K279" s="1">
        <v>29199.0</v>
      </c>
      <c r="L279" s="1">
        <v>100.0</v>
      </c>
      <c r="M279" s="23">
        <v>15.174</v>
      </c>
    </row>
    <row r="280">
      <c r="A280" s="1">
        <v>548.0</v>
      </c>
      <c r="B280" s="1">
        <v>18546.0</v>
      </c>
      <c r="C280" s="23">
        <v>16.55</v>
      </c>
      <c r="D280" s="23">
        <v>16.041</v>
      </c>
      <c r="E280" s="26">
        <v>3.397</v>
      </c>
      <c r="F280" s="1">
        <v>888.9</v>
      </c>
      <c r="G280" s="23">
        <v>0.766</v>
      </c>
      <c r="H280" s="23">
        <v>0.439</v>
      </c>
      <c r="I280" s="1">
        <v>318.9</v>
      </c>
      <c r="J280" s="61">
        <v>1104.9</v>
      </c>
      <c r="K280" s="1">
        <v>29199.0</v>
      </c>
      <c r="L280" s="1">
        <v>100.0</v>
      </c>
      <c r="M280" s="23">
        <v>15.165</v>
      </c>
    </row>
    <row r="281">
      <c r="A281" s="1">
        <v>550.0</v>
      </c>
      <c r="B281" s="1">
        <v>18546.0</v>
      </c>
      <c r="C281" s="23">
        <v>16.538</v>
      </c>
      <c r="D281" s="23">
        <v>16.037</v>
      </c>
      <c r="E281" s="26">
        <v>3.277</v>
      </c>
      <c r="F281" s="1">
        <v>888.9</v>
      </c>
      <c r="G281" s="23">
        <v>0.766</v>
      </c>
      <c r="H281" s="23">
        <v>0.439</v>
      </c>
      <c r="I281" s="1">
        <v>318.9</v>
      </c>
      <c r="J281" s="61">
        <v>1104.9</v>
      </c>
      <c r="K281" s="1">
        <v>29199.0</v>
      </c>
      <c r="L281" s="1">
        <v>100.0</v>
      </c>
      <c r="M281" s="23">
        <v>15.165</v>
      </c>
    </row>
    <row r="282">
      <c r="A282" s="1">
        <v>552.0</v>
      </c>
      <c r="B282" s="1">
        <v>18546.0</v>
      </c>
      <c r="C282" s="23">
        <v>16.525</v>
      </c>
      <c r="D282" s="23">
        <v>16.012</v>
      </c>
      <c r="E282" s="23">
        <v>2.957</v>
      </c>
      <c r="F282" s="1">
        <v>888.9</v>
      </c>
      <c r="G282" s="23">
        <v>0.766</v>
      </c>
      <c r="H282" s="23">
        <v>0.439</v>
      </c>
      <c r="I282" s="1">
        <v>318.9</v>
      </c>
      <c r="J282" s="61">
        <v>1104.9</v>
      </c>
      <c r="K282" s="1">
        <v>29199.0</v>
      </c>
      <c r="L282" s="1">
        <v>100.0</v>
      </c>
      <c r="M282" s="23">
        <v>15.159</v>
      </c>
    </row>
    <row r="283">
      <c r="A283" s="1">
        <v>554.0</v>
      </c>
      <c r="B283" s="1">
        <v>18546.0</v>
      </c>
      <c r="C283" s="23">
        <v>16.487</v>
      </c>
      <c r="D283" s="23">
        <v>16.039</v>
      </c>
      <c r="E283" s="23">
        <v>3.377</v>
      </c>
      <c r="F283" s="1">
        <v>888.9</v>
      </c>
      <c r="G283" s="23">
        <v>0.763</v>
      </c>
      <c r="H283" s="23">
        <v>0.431</v>
      </c>
      <c r="I283" s="1">
        <v>318.9</v>
      </c>
      <c r="J283" s="61">
        <v>1085.1</v>
      </c>
      <c r="K283" s="1">
        <v>29199.0</v>
      </c>
      <c r="L283" s="1">
        <v>100.0</v>
      </c>
      <c r="M283" s="23">
        <v>15.159</v>
      </c>
    </row>
    <row r="284">
      <c r="A284" s="1">
        <v>556.0</v>
      </c>
      <c r="B284" s="1">
        <v>18237.0</v>
      </c>
      <c r="C284" s="23">
        <v>16.84</v>
      </c>
      <c r="D284" s="23">
        <v>16.336</v>
      </c>
      <c r="E284" s="26">
        <v>3.377</v>
      </c>
      <c r="F284" s="1">
        <v>888.9</v>
      </c>
      <c r="G284" s="23">
        <v>0.766</v>
      </c>
      <c r="H284" s="23">
        <v>0.431</v>
      </c>
      <c r="I284" s="1">
        <v>318.9</v>
      </c>
      <c r="J284" s="61">
        <v>1104.9</v>
      </c>
      <c r="K284" s="1">
        <v>29199.0</v>
      </c>
      <c r="L284" s="1">
        <v>100.0</v>
      </c>
      <c r="M284" s="23">
        <v>15.159</v>
      </c>
    </row>
    <row r="285">
      <c r="A285" s="1">
        <v>558.0</v>
      </c>
      <c r="B285" s="1">
        <v>18546.0</v>
      </c>
      <c r="C285" s="23">
        <v>16.517</v>
      </c>
      <c r="D285" s="23">
        <v>16.025</v>
      </c>
      <c r="E285" s="26">
        <v>3.627</v>
      </c>
      <c r="F285" s="1">
        <v>873.9</v>
      </c>
      <c r="G285" s="23">
        <v>0.782</v>
      </c>
      <c r="H285" s="23">
        <v>0.421</v>
      </c>
      <c r="I285" s="1">
        <v>318.9</v>
      </c>
      <c r="J285" s="61">
        <v>1186.9</v>
      </c>
      <c r="K285" s="1">
        <v>29199.0</v>
      </c>
      <c r="L285" s="1">
        <v>100.0</v>
      </c>
      <c r="M285" s="23">
        <v>15.208</v>
      </c>
    </row>
    <row r="286">
      <c r="A286" s="1">
        <v>560.0</v>
      </c>
      <c r="B286" s="1">
        <v>18546.0</v>
      </c>
      <c r="C286" s="23">
        <v>16.555</v>
      </c>
      <c r="D286" s="23">
        <v>16.058</v>
      </c>
      <c r="E286" s="26">
        <v>3.627</v>
      </c>
      <c r="F286" s="1">
        <v>873.9</v>
      </c>
      <c r="G286" s="23">
        <v>0.782</v>
      </c>
      <c r="H286" s="23">
        <v>0.421</v>
      </c>
      <c r="I286" s="1">
        <v>318.9</v>
      </c>
      <c r="J286" s="61">
        <v>1186.9</v>
      </c>
      <c r="K286" s="1">
        <v>29199.0</v>
      </c>
      <c r="L286" s="1">
        <v>100.0</v>
      </c>
      <c r="M286" s="23">
        <v>15.208</v>
      </c>
    </row>
    <row r="287">
      <c r="A287" s="1">
        <v>562.0</v>
      </c>
      <c r="B287" s="1">
        <v>18546.0</v>
      </c>
      <c r="C287" s="23">
        <v>18.067</v>
      </c>
      <c r="D287" s="23">
        <v>16.595</v>
      </c>
      <c r="E287" s="23">
        <v>3.627</v>
      </c>
      <c r="F287" s="1">
        <v>873.9</v>
      </c>
      <c r="G287" s="23">
        <v>0.782</v>
      </c>
      <c r="H287" s="23">
        <v>0.429</v>
      </c>
      <c r="I287" s="1">
        <v>318.9</v>
      </c>
      <c r="J287" s="61">
        <v>1186.9</v>
      </c>
      <c r="K287" s="1">
        <v>29199.0</v>
      </c>
      <c r="L287" s="1">
        <v>100.0</v>
      </c>
      <c r="M287" s="26">
        <v>15.2</v>
      </c>
    </row>
    <row r="288">
      <c r="A288" s="1">
        <v>564.0</v>
      </c>
      <c r="B288" s="1">
        <v>21134.0</v>
      </c>
      <c r="C288" s="23">
        <v>17.44</v>
      </c>
      <c r="D288" s="23">
        <v>16.672</v>
      </c>
      <c r="E288" s="23">
        <v>3.667</v>
      </c>
      <c r="F288" s="1">
        <v>834.6</v>
      </c>
      <c r="G288" s="23">
        <v>0.775</v>
      </c>
      <c r="H288" s="23">
        <v>0.429</v>
      </c>
      <c r="I288" s="1">
        <v>318.9</v>
      </c>
      <c r="J288" s="61">
        <v>1147.6</v>
      </c>
      <c r="K288" s="1">
        <v>33273.0</v>
      </c>
      <c r="L288" s="1">
        <v>100.0</v>
      </c>
      <c r="M288" s="26">
        <v>15.2</v>
      </c>
    </row>
    <row r="289">
      <c r="A289" s="1">
        <v>566.0</v>
      </c>
      <c r="B289" s="1">
        <v>22859.0</v>
      </c>
      <c r="C289" s="23">
        <v>18.369</v>
      </c>
      <c r="D289" s="23">
        <v>16.889</v>
      </c>
      <c r="E289" s="26">
        <v>3.827</v>
      </c>
      <c r="F289" s="1">
        <v>873.9</v>
      </c>
      <c r="G289" s="23">
        <v>0.782</v>
      </c>
      <c r="H289" s="23">
        <v>0.429</v>
      </c>
      <c r="I289" s="1">
        <v>318.9</v>
      </c>
      <c r="J289" s="61">
        <v>1186.9</v>
      </c>
      <c r="K289" s="1">
        <v>35990.0</v>
      </c>
      <c r="L289" s="1">
        <v>100.0</v>
      </c>
      <c r="M289" s="23">
        <v>15.331</v>
      </c>
    </row>
    <row r="290">
      <c r="A290" s="1">
        <v>568.0</v>
      </c>
      <c r="B290" s="1">
        <v>22859.0</v>
      </c>
      <c r="C290" s="23">
        <v>18.369</v>
      </c>
      <c r="D290" s="23">
        <v>16.889</v>
      </c>
      <c r="E290" s="26">
        <v>3.827</v>
      </c>
      <c r="F290" s="1">
        <v>873.9</v>
      </c>
      <c r="G290" s="23">
        <v>0.782</v>
      </c>
      <c r="H290" s="23">
        <v>0.429</v>
      </c>
      <c r="I290" s="1">
        <v>318.9</v>
      </c>
      <c r="J290" s="61">
        <v>1186.9</v>
      </c>
      <c r="K290" s="1">
        <v>35990.0</v>
      </c>
      <c r="L290" s="1">
        <v>100.0</v>
      </c>
      <c r="M290" s="23">
        <v>15.331</v>
      </c>
    </row>
    <row r="291">
      <c r="A291" s="1">
        <v>570.0</v>
      </c>
      <c r="B291" s="1">
        <v>22859.0</v>
      </c>
      <c r="C291" s="23">
        <v>18.772</v>
      </c>
      <c r="D291" s="23">
        <v>18.042</v>
      </c>
      <c r="E291" s="26">
        <v>3.827</v>
      </c>
      <c r="F291" s="1">
        <v>873.9</v>
      </c>
      <c r="G291" s="23">
        <v>0.782</v>
      </c>
      <c r="H291" s="23">
        <v>0.429</v>
      </c>
      <c r="I291" s="1">
        <v>318.9</v>
      </c>
      <c r="J291" s="61">
        <v>1186.9</v>
      </c>
      <c r="K291" s="1">
        <v>35990.0</v>
      </c>
      <c r="L291" s="1">
        <v>100.0</v>
      </c>
      <c r="M291" s="23">
        <v>15.322</v>
      </c>
    </row>
    <row r="292">
      <c r="A292" s="1">
        <v>572.0</v>
      </c>
      <c r="B292" s="1">
        <v>22859.0</v>
      </c>
      <c r="C292" s="23">
        <v>19.175</v>
      </c>
      <c r="D292" s="23">
        <v>18.353</v>
      </c>
      <c r="E292" s="26">
        <v>3.727</v>
      </c>
      <c r="F292" s="1">
        <v>873.9</v>
      </c>
      <c r="G292" s="23">
        <v>0.782</v>
      </c>
      <c r="H292" s="23">
        <v>0.421</v>
      </c>
      <c r="I292" s="1">
        <v>318.9</v>
      </c>
      <c r="J292" s="61">
        <v>1186.9</v>
      </c>
      <c r="K292" s="1">
        <v>35990.0</v>
      </c>
      <c r="L292" s="1">
        <v>100.0</v>
      </c>
      <c r="M292" s="23">
        <v>15.322</v>
      </c>
    </row>
    <row r="293">
      <c r="A293" s="1">
        <v>574.0</v>
      </c>
      <c r="B293" s="1">
        <v>22859.0</v>
      </c>
      <c r="C293" s="26">
        <v>19.201</v>
      </c>
      <c r="D293" s="23">
        <v>18.376</v>
      </c>
      <c r="E293" s="26">
        <v>3.727</v>
      </c>
      <c r="F293" s="1">
        <v>873.9</v>
      </c>
      <c r="G293" s="23">
        <v>0.782</v>
      </c>
      <c r="H293" s="23">
        <v>0.421</v>
      </c>
      <c r="I293" s="1">
        <v>318.9</v>
      </c>
      <c r="J293" s="61">
        <v>1186.9</v>
      </c>
      <c r="K293" s="1">
        <v>35990.0</v>
      </c>
      <c r="L293" s="1">
        <v>100.0</v>
      </c>
      <c r="M293" s="23">
        <v>15.428</v>
      </c>
    </row>
    <row r="294">
      <c r="A294" s="1">
        <v>576.0</v>
      </c>
      <c r="B294" s="1">
        <v>22859.0</v>
      </c>
      <c r="C294" s="26">
        <v>18.528</v>
      </c>
      <c r="D294" s="23">
        <v>17.851</v>
      </c>
      <c r="E294" s="26">
        <v>3.727</v>
      </c>
      <c r="F294" s="1">
        <v>873.9</v>
      </c>
      <c r="G294" s="23">
        <v>0.766</v>
      </c>
      <c r="H294" s="23">
        <v>0.429</v>
      </c>
      <c r="I294" s="1">
        <v>318.9</v>
      </c>
      <c r="J294" s="61">
        <v>1104.9</v>
      </c>
      <c r="K294" s="1">
        <v>35990.0</v>
      </c>
      <c r="L294" s="1">
        <v>100.0</v>
      </c>
      <c r="M294" s="23">
        <v>15.428</v>
      </c>
    </row>
    <row r="295">
      <c r="A295" s="1">
        <v>578.0</v>
      </c>
      <c r="B295" s="1">
        <v>21997.0</v>
      </c>
      <c r="C295" s="23">
        <v>17.394</v>
      </c>
      <c r="D295" s="23">
        <v>16.847</v>
      </c>
      <c r="E295" s="26">
        <v>3.777</v>
      </c>
      <c r="F295" s="1">
        <v>888.9</v>
      </c>
      <c r="G295" s="23">
        <v>0.766</v>
      </c>
      <c r="H295" s="23">
        <v>0.429</v>
      </c>
      <c r="I295" s="1">
        <v>318.9</v>
      </c>
      <c r="J295" s="61">
        <v>1104.9</v>
      </c>
      <c r="K295" s="1">
        <v>34632.0</v>
      </c>
      <c r="L295" s="1">
        <v>100.0</v>
      </c>
      <c r="M295" s="23">
        <v>15.283</v>
      </c>
    </row>
    <row r="296">
      <c r="A296" s="1">
        <v>580.0</v>
      </c>
      <c r="B296" s="1">
        <v>18546.0</v>
      </c>
      <c r="C296" s="23">
        <v>17.004</v>
      </c>
      <c r="D296" s="23">
        <v>16.505</v>
      </c>
      <c r="E296" s="26">
        <v>3.527</v>
      </c>
      <c r="F296" s="1">
        <v>888.9</v>
      </c>
      <c r="G296" s="23">
        <v>0.766</v>
      </c>
      <c r="H296" s="23">
        <v>0.429</v>
      </c>
      <c r="I296" s="1">
        <v>318.9</v>
      </c>
      <c r="J296" s="61">
        <v>1104.9</v>
      </c>
      <c r="K296" s="1">
        <v>29199.0</v>
      </c>
      <c r="L296" s="1">
        <v>100.0</v>
      </c>
      <c r="M296" s="23">
        <v>15.283</v>
      </c>
    </row>
    <row r="297">
      <c r="A297" s="1">
        <v>582.0</v>
      </c>
      <c r="B297" s="1">
        <v>18546.0</v>
      </c>
      <c r="C297" s="23">
        <v>17.016</v>
      </c>
      <c r="D297" s="23">
        <v>15.641</v>
      </c>
      <c r="E297" s="26">
        <v>3.527</v>
      </c>
      <c r="F297" s="1">
        <v>888.9</v>
      </c>
      <c r="G297" s="23">
        <v>0.766</v>
      </c>
      <c r="H297" s="23">
        <v>0.429</v>
      </c>
      <c r="I297" s="1">
        <v>318.9</v>
      </c>
      <c r="J297" s="61">
        <v>1104.9</v>
      </c>
      <c r="K297" s="1">
        <v>29199.0</v>
      </c>
      <c r="L297" s="1">
        <v>100.0</v>
      </c>
      <c r="M297" s="23">
        <v>15.166</v>
      </c>
    </row>
    <row r="298">
      <c r="A298" s="1">
        <v>585.0</v>
      </c>
      <c r="B298" s="1">
        <v>18546.0</v>
      </c>
      <c r="C298" s="23">
        <v>16.286</v>
      </c>
      <c r="D298" s="23">
        <v>15.72</v>
      </c>
      <c r="E298" s="23">
        <v>3.647</v>
      </c>
      <c r="F298" s="1">
        <v>888.9</v>
      </c>
      <c r="G298" s="23">
        <v>0.766</v>
      </c>
      <c r="H298" s="23">
        <v>1.429</v>
      </c>
      <c r="I298" s="1">
        <v>318.9</v>
      </c>
      <c r="J298" s="61">
        <v>1104.9</v>
      </c>
      <c r="K298" s="1">
        <v>29199.0</v>
      </c>
      <c r="L298" s="1">
        <v>100.0</v>
      </c>
      <c r="M298" s="23">
        <v>15.166</v>
      </c>
    </row>
    <row r="299">
      <c r="A299" s="1">
        <v>587.0</v>
      </c>
      <c r="B299" s="1">
        <v>18546.0</v>
      </c>
      <c r="C299" s="23">
        <v>16.311</v>
      </c>
      <c r="D299" s="23">
        <v>15.72</v>
      </c>
      <c r="E299" s="26">
        <v>3.647</v>
      </c>
      <c r="F299" s="1">
        <v>888.9</v>
      </c>
      <c r="G299" s="23">
        <v>0.766</v>
      </c>
      <c r="H299" s="23">
        <v>1.429</v>
      </c>
      <c r="I299" s="1">
        <v>318.9</v>
      </c>
      <c r="J299" s="61">
        <v>1104.9</v>
      </c>
      <c r="K299" s="1">
        <v>29199.0</v>
      </c>
      <c r="L299" s="1">
        <v>100.0</v>
      </c>
      <c r="M299" s="23">
        <v>15.166</v>
      </c>
    </row>
    <row r="300">
      <c r="A300" s="1">
        <v>589.0</v>
      </c>
      <c r="B300" s="1">
        <v>18546.0</v>
      </c>
      <c r="C300" s="23">
        <v>16.689</v>
      </c>
      <c r="D300" s="23">
        <v>16.035</v>
      </c>
      <c r="E300" s="26">
        <v>3.227</v>
      </c>
      <c r="F300" s="1">
        <v>888.9</v>
      </c>
      <c r="G300" s="23">
        <v>0.766</v>
      </c>
      <c r="H300" s="23">
        <v>1.429</v>
      </c>
      <c r="I300" s="1">
        <v>318.9</v>
      </c>
      <c r="J300" s="61">
        <v>1104.9</v>
      </c>
      <c r="K300" s="1">
        <v>29199.0</v>
      </c>
      <c r="L300" s="1">
        <v>100.0</v>
      </c>
      <c r="M300" s="23">
        <v>15.225</v>
      </c>
    </row>
    <row r="301">
      <c r="A301" s="1">
        <v>591.0</v>
      </c>
      <c r="B301" s="1">
        <v>18546.0</v>
      </c>
      <c r="C301" s="23">
        <v>16.731</v>
      </c>
      <c r="D301" s="23">
        <v>16.035</v>
      </c>
      <c r="E301" s="26">
        <v>3.227</v>
      </c>
      <c r="F301" s="1">
        <v>873.9</v>
      </c>
      <c r="G301" s="23">
        <v>0.782</v>
      </c>
      <c r="H301" s="23">
        <v>0.429</v>
      </c>
      <c r="I301" s="1">
        <v>318.9</v>
      </c>
      <c r="J301" s="61">
        <v>1186.9</v>
      </c>
      <c r="K301" s="1">
        <v>29199.0</v>
      </c>
      <c r="L301" s="1">
        <v>100.0</v>
      </c>
      <c r="M301" s="23">
        <v>15.225</v>
      </c>
    </row>
    <row r="302">
      <c r="A302" s="1">
        <v>593.0</v>
      </c>
      <c r="B302" s="1">
        <v>18546.0</v>
      </c>
      <c r="C302" s="23">
        <v>17.134</v>
      </c>
      <c r="D302" s="23">
        <v>16.371</v>
      </c>
      <c r="E302" s="26">
        <v>3.227</v>
      </c>
      <c r="F302" s="1">
        <v>873.9</v>
      </c>
      <c r="G302" s="23">
        <v>0.782</v>
      </c>
      <c r="H302" s="23">
        <v>0.439</v>
      </c>
      <c r="I302" s="1">
        <v>318.9</v>
      </c>
      <c r="J302" s="61">
        <v>1186.9</v>
      </c>
      <c r="K302" s="1">
        <v>29199.0</v>
      </c>
      <c r="L302" s="1">
        <v>100.0</v>
      </c>
      <c r="M302" s="23">
        <v>15.252</v>
      </c>
    </row>
    <row r="303">
      <c r="A303" s="1">
        <v>595.0</v>
      </c>
      <c r="B303" s="1">
        <v>18546.0</v>
      </c>
      <c r="C303" s="26">
        <v>18.382</v>
      </c>
      <c r="D303" s="23">
        <v>17.471</v>
      </c>
      <c r="E303" s="26">
        <v>3.227</v>
      </c>
      <c r="F303" s="1">
        <v>873.9</v>
      </c>
      <c r="G303" s="23">
        <v>0.782</v>
      </c>
      <c r="H303" s="23">
        <v>0.439</v>
      </c>
      <c r="I303" s="1">
        <v>318.9</v>
      </c>
      <c r="J303" s="61">
        <v>1186.9</v>
      </c>
      <c r="K303" s="1">
        <v>29199.0</v>
      </c>
      <c r="L303" s="1">
        <v>100.0</v>
      </c>
      <c r="M303" s="23">
        <v>15.252</v>
      </c>
    </row>
    <row r="304">
      <c r="A304" s="1">
        <v>597.0</v>
      </c>
      <c r="B304" s="1">
        <v>20272.0</v>
      </c>
      <c r="C304" s="23">
        <v>17.839</v>
      </c>
      <c r="D304" s="26">
        <v>17.665</v>
      </c>
      <c r="E304" s="26">
        <v>4.117</v>
      </c>
      <c r="F304" s="1">
        <v>834.6</v>
      </c>
      <c r="G304" s="23">
        <v>0.775</v>
      </c>
      <c r="H304" s="23">
        <v>0.439</v>
      </c>
      <c r="I304" s="1">
        <v>318.9</v>
      </c>
      <c r="J304" s="61">
        <v>1147.6</v>
      </c>
      <c r="K304" s="1">
        <v>31915.0</v>
      </c>
      <c r="L304" s="1">
        <v>100.0</v>
      </c>
      <c r="M304" s="23">
        <v>15.233</v>
      </c>
    </row>
    <row r="305">
      <c r="A305" s="1">
        <v>599.0</v>
      </c>
      <c r="B305" s="1">
        <v>20272.0</v>
      </c>
      <c r="C305" s="23">
        <v>18.583</v>
      </c>
      <c r="D305" s="23">
        <v>17.665</v>
      </c>
      <c r="E305" s="26">
        <v>4.117</v>
      </c>
      <c r="F305" s="1">
        <v>873.9</v>
      </c>
      <c r="G305" s="23">
        <v>0.782</v>
      </c>
      <c r="H305" s="23">
        <v>0.439</v>
      </c>
      <c r="I305" s="1">
        <v>318.9</v>
      </c>
      <c r="J305" s="61">
        <v>1186.9</v>
      </c>
      <c r="K305" s="1">
        <v>31915.0</v>
      </c>
      <c r="L305" s="1">
        <v>100.0</v>
      </c>
      <c r="M305" s="23">
        <v>15.233</v>
      </c>
    </row>
    <row r="306">
      <c r="A306" s="1">
        <v>601.0</v>
      </c>
      <c r="B306" s="1">
        <v>20272.0</v>
      </c>
      <c r="C306" s="23">
        <v>18.571</v>
      </c>
      <c r="D306" s="23">
        <v>17.674</v>
      </c>
      <c r="E306" s="26">
        <v>3.986</v>
      </c>
      <c r="F306" s="1">
        <v>873.9</v>
      </c>
      <c r="G306" s="23">
        <v>0.782</v>
      </c>
      <c r="H306" s="23">
        <v>0.439</v>
      </c>
      <c r="I306" s="1">
        <v>318.9</v>
      </c>
      <c r="J306" s="61">
        <v>1186.9</v>
      </c>
      <c r="K306" s="1">
        <v>31915.0</v>
      </c>
      <c r="L306" s="1">
        <v>100.0</v>
      </c>
      <c r="M306" s="23">
        <v>15.291</v>
      </c>
    </row>
    <row r="307">
      <c r="A307" s="1">
        <v>603.0</v>
      </c>
      <c r="B307" s="1">
        <v>20272.0</v>
      </c>
      <c r="C307" s="23">
        <v>18.545</v>
      </c>
      <c r="D307" s="23">
        <v>17.674</v>
      </c>
      <c r="E307" s="26">
        <v>3.986</v>
      </c>
      <c r="F307" s="1">
        <v>873.9</v>
      </c>
      <c r="G307" s="23">
        <v>0.782</v>
      </c>
      <c r="H307" s="23">
        <v>0.439</v>
      </c>
      <c r="I307" s="1">
        <v>318.9</v>
      </c>
      <c r="J307" s="61">
        <v>1186.9</v>
      </c>
      <c r="K307" s="1">
        <v>31915.0</v>
      </c>
      <c r="L307" s="1">
        <v>100.0</v>
      </c>
      <c r="M307" s="23">
        <v>15.291</v>
      </c>
    </row>
    <row r="308">
      <c r="A308" s="1">
        <v>605.0</v>
      </c>
      <c r="B308" s="1">
        <v>20272.0</v>
      </c>
      <c r="C308" s="23">
        <v>18.47</v>
      </c>
      <c r="D308" s="23">
        <v>17.64</v>
      </c>
      <c r="E308" s="23">
        <v>3.986</v>
      </c>
      <c r="F308" s="1">
        <v>873.9</v>
      </c>
      <c r="G308" s="23">
        <v>0.782</v>
      </c>
      <c r="H308" s="23">
        <v>0.439</v>
      </c>
      <c r="I308" s="1">
        <v>318.9</v>
      </c>
      <c r="J308" s="61">
        <v>1186.9</v>
      </c>
      <c r="K308" s="1">
        <v>31915.0</v>
      </c>
      <c r="L308" s="1">
        <v>100.0</v>
      </c>
      <c r="M308" s="23">
        <v>15.289</v>
      </c>
    </row>
    <row r="309">
      <c r="A309" s="1">
        <v>607.0</v>
      </c>
      <c r="B309" s="1">
        <v>20272.0</v>
      </c>
      <c r="C309" s="23">
        <v>18.482</v>
      </c>
      <c r="D309" s="23">
        <v>17.673</v>
      </c>
      <c r="E309" s="26">
        <v>3.986</v>
      </c>
      <c r="F309" s="1">
        <v>873.9</v>
      </c>
      <c r="G309" s="23">
        <v>0.782</v>
      </c>
      <c r="H309" s="23">
        <v>0.439</v>
      </c>
      <c r="I309" s="1">
        <v>318.9</v>
      </c>
      <c r="J309" s="61">
        <v>1186.9</v>
      </c>
      <c r="K309" s="1">
        <v>31915.0</v>
      </c>
      <c r="L309" s="1">
        <v>100.0</v>
      </c>
      <c r="M309" s="23">
        <v>15.289</v>
      </c>
    </row>
    <row r="310">
      <c r="A310" s="1"/>
      <c r="B310" s="1"/>
      <c r="C310" s="23"/>
      <c r="D310" s="23"/>
      <c r="E310" s="26"/>
      <c r="F310" s="1"/>
      <c r="G310" s="23"/>
      <c r="H310" s="23"/>
      <c r="I310" s="1"/>
      <c r="J310" s="1"/>
      <c r="K310" s="1"/>
    </row>
    <row r="311">
      <c r="A311" s="1"/>
      <c r="B311" s="1"/>
      <c r="C311" s="23"/>
      <c r="D311" s="23"/>
      <c r="E311" s="26"/>
      <c r="F311" s="1"/>
      <c r="G311" s="23"/>
      <c r="H311" s="23"/>
      <c r="I311" s="1"/>
      <c r="J311" s="1"/>
      <c r="K311" s="1"/>
    </row>
    <row r="312">
      <c r="A312" s="1"/>
      <c r="B312" s="1"/>
      <c r="C312" s="23"/>
      <c r="D312" s="23"/>
      <c r="E312" s="26"/>
      <c r="F312" s="1"/>
      <c r="G312" s="23"/>
      <c r="H312" s="23"/>
      <c r="I312" s="1"/>
      <c r="J312" s="1"/>
      <c r="K312" s="1"/>
    </row>
    <row r="313">
      <c r="A313" s="1"/>
      <c r="B313" s="1"/>
      <c r="C313" s="23"/>
      <c r="D313" s="23"/>
      <c r="E313" s="26"/>
      <c r="F313" s="1"/>
      <c r="G313" s="23"/>
      <c r="H313" s="23"/>
      <c r="I313" s="1"/>
      <c r="J313" s="1"/>
      <c r="K313" s="1"/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  <c r="K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  <c r="K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  <c r="K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  <c r="K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  <c r="K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  <c r="K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  <c r="K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  <c r="K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  <c r="K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  <c r="K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  <c r="K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  <c r="K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  <c r="K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  <c r="K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  <c r="K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  <c r="K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  <c r="K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  <c r="K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  <c r="K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  <c r="K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  <c r="K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  <c r="K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  <c r="K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  <c r="K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  <c r="K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  <c r="K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  <c r="K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  <c r="K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  <c r="K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  <c r="K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  <c r="K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  <c r="K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  <c r="K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  <c r="K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  <c r="K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  <c r="K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  <c r="K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  <c r="K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  <c r="K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  <c r="K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  <c r="K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  <c r="K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  <c r="K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  <c r="K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  <c r="K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  <c r="K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  <c r="K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  <c r="K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  <c r="K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  <c r="K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  <c r="K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  <c r="K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  <c r="K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  <c r="K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  <c r="K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  <c r="K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  <c r="K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  <c r="K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  <c r="K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  <c r="K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  <c r="K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  <c r="K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  <c r="K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  <c r="K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  <c r="K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  <c r="K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  <c r="K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  <c r="K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  <c r="K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  <c r="K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  <c r="K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  <c r="K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  <c r="K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  <c r="K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  <c r="K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  <c r="K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  <c r="K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  <c r="K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  <c r="K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  <c r="K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  <c r="K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  <c r="K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  <c r="K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  <c r="K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  <c r="K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  <c r="K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  <c r="K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  <c r="K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  <c r="K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  <c r="K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  <c r="K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  <c r="K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  <c r="K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  <c r="K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  <c r="K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  <c r="K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  <c r="K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  <c r="K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  <c r="K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  <c r="K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  <c r="K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  <c r="K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  <c r="K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  <c r="K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  <c r="K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  <c r="K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  <c r="K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  <c r="K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  <c r="K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  <c r="K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  <c r="K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  <c r="K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  <c r="K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  <c r="K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  <c r="K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  <c r="K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  <c r="K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  <c r="K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  <c r="K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  <c r="K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  <c r="K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  <c r="K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  <c r="K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  <c r="K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  <c r="K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  <c r="K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  <c r="K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  <c r="K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  <c r="K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  <c r="K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  <c r="K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  <c r="K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  <c r="K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  <c r="K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  <c r="K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  <c r="K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  <c r="K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  <c r="K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  <c r="K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  <c r="K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  <c r="K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  <c r="K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  <c r="K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  <c r="K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  <c r="K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  <c r="K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  <c r="K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  <c r="K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  <c r="K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  <c r="K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  <c r="K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  <c r="K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  <c r="K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  <c r="K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  <c r="K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  <c r="K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  <c r="K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  <c r="K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  <c r="K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  <c r="K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  <c r="K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  <c r="K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  <c r="K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  <c r="K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  <c r="K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  <c r="K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  <c r="K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  <c r="K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  <c r="K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  <c r="K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  <c r="K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  <c r="K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  <c r="K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  <c r="K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  <c r="K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  <c r="K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  <c r="K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  <c r="K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  <c r="K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  <c r="K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  <c r="K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  <c r="K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  <c r="K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  <c r="K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  <c r="K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  <c r="K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  <c r="K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  <c r="K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  <c r="K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  <c r="K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  <c r="K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  <c r="K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  <c r="K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  <c r="K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  <c r="K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  <c r="K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  <c r="K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  <c r="K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  <c r="K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  <c r="K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  <c r="K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  <c r="K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  <c r="K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  <c r="K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  <c r="K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  <c r="K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  <c r="K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  <c r="K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  <c r="K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  <c r="K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  <c r="K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  <c r="K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  <c r="K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  <c r="K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  <c r="K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  <c r="K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  <c r="K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  <c r="K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  <c r="K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  <c r="K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  <c r="K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  <c r="K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  <c r="K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  <c r="K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  <c r="K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  <c r="K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  <c r="K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  <c r="K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  <c r="K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  <c r="K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K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  <c r="K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K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6</v>
      </c>
      <c r="B1" s="40" t="str">
        <f t="shared" ref="B1:K1" si="1">B9</f>
        <v>Wisdom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74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Stamina</v>
      </c>
    </row>
    <row r="2">
      <c r="A2" s="41" t="s">
        <v>111</v>
      </c>
      <c r="B2" s="42">
        <f t="shared" ref="B2:K2" si="2">Average(B7:B1001)</f>
        <v>20193.65333</v>
      </c>
      <c r="C2" s="43">
        <f t="shared" si="2"/>
        <v>17.62030333</v>
      </c>
      <c r="D2" s="43">
        <f t="shared" si="2"/>
        <v>16.51949333</v>
      </c>
      <c r="E2" s="43">
        <f t="shared" si="2"/>
        <v>3.421266667</v>
      </c>
      <c r="F2" s="42">
        <f t="shared" si="2"/>
        <v>1017.029</v>
      </c>
      <c r="G2" s="43">
        <f t="shared" si="2"/>
        <v>0.6069133333</v>
      </c>
      <c r="H2" s="43">
        <f t="shared" si="2"/>
        <v>0.4943833333</v>
      </c>
      <c r="I2" s="42">
        <f t="shared" si="2"/>
        <v>295.64</v>
      </c>
      <c r="J2" s="42">
        <f t="shared" si="2"/>
        <v>472.2546667</v>
      </c>
      <c r="K2" s="42">
        <f t="shared" si="2"/>
        <v>30306.48667</v>
      </c>
    </row>
    <row r="3">
      <c r="A3" s="41" t="s">
        <v>112</v>
      </c>
      <c r="B3" s="42">
        <f t="shared" ref="B3:K3" si="3">Min(B7:B1001)</f>
        <v>17625</v>
      </c>
      <c r="C3" s="43">
        <f t="shared" si="3"/>
        <v>12.3</v>
      </c>
      <c r="D3" s="43">
        <f t="shared" si="3"/>
        <v>14.338</v>
      </c>
      <c r="E3" s="43">
        <f t="shared" si="3"/>
        <v>2.652</v>
      </c>
      <c r="F3" s="42">
        <f t="shared" si="3"/>
        <v>951.5</v>
      </c>
      <c r="G3" s="43">
        <f t="shared" si="3"/>
        <v>0.563</v>
      </c>
      <c r="H3" s="43">
        <f t="shared" si="3"/>
        <v>0.376</v>
      </c>
      <c r="I3" s="42">
        <f t="shared" si="3"/>
        <v>258.6</v>
      </c>
      <c r="J3" s="42">
        <f t="shared" si="3"/>
        <v>373.6</v>
      </c>
      <c r="K3" s="42">
        <f t="shared" si="3"/>
        <v>26868</v>
      </c>
    </row>
    <row r="4">
      <c r="A4" s="41" t="s">
        <v>113</v>
      </c>
      <c r="B4" s="42">
        <f t="shared" ref="B4:K4" si="4">Median(B7:B1001)</f>
        <v>18794</v>
      </c>
      <c r="C4" s="43">
        <f t="shared" si="4"/>
        <v>17.3505</v>
      </c>
      <c r="D4" s="43">
        <f t="shared" si="4"/>
        <v>16.1285</v>
      </c>
      <c r="E4" s="43">
        <f t="shared" si="4"/>
        <v>3.372</v>
      </c>
      <c r="F4" s="42">
        <f t="shared" si="4"/>
        <v>1025.8</v>
      </c>
      <c r="G4" s="43">
        <f t="shared" si="4"/>
        <v>0.603</v>
      </c>
      <c r="H4" s="43">
        <f t="shared" si="4"/>
        <v>0.393</v>
      </c>
      <c r="I4" s="42">
        <f t="shared" si="4"/>
        <v>298.6</v>
      </c>
      <c r="J4" s="42">
        <f t="shared" si="4"/>
        <v>465.25</v>
      </c>
      <c r="K4" s="42">
        <f t="shared" si="4"/>
        <v>28179</v>
      </c>
    </row>
    <row r="5">
      <c r="A5" s="41" t="s">
        <v>114</v>
      </c>
      <c r="B5" s="42">
        <f t="shared" ref="B5:K5" si="5">Max(B7:B1001)</f>
        <v>25787</v>
      </c>
      <c r="C5" s="43">
        <f t="shared" si="5"/>
        <v>22.844</v>
      </c>
      <c r="D5" s="43">
        <f t="shared" si="5"/>
        <v>20.377</v>
      </c>
      <c r="E5" s="43">
        <f t="shared" si="5"/>
        <v>4.242</v>
      </c>
      <c r="F5" s="42">
        <f t="shared" si="5"/>
        <v>1040.8</v>
      </c>
      <c r="G5" s="43">
        <f t="shared" si="5"/>
        <v>0.714</v>
      </c>
      <c r="H5" s="43">
        <f t="shared" si="5"/>
        <v>1.414</v>
      </c>
      <c r="I5" s="42">
        <f t="shared" si="5"/>
        <v>298.6</v>
      </c>
      <c r="J5" s="42">
        <f t="shared" si="5"/>
        <v>529.8</v>
      </c>
      <c r="K5" s="42">
        <f t="shared" si="5"/>
        <v>38664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  <c r="K6" s="1"/>
    </row>
    <row r="7">
      <c r="A7" s="1"/>
      <c r="B7" s="1"/>
      <c r="C7" s="23"/>
      <c r="D7" s="23"/>
      <c r="E7" s="23"/>
      <c r="F7" s="1"/>
      <c r="G7" s="23"/>
      <c r="H7" s="23"/>
      <c r="I7" s="1"/>
      <c r="J7" s="1"/>
      <c r="K7" s="1"/>
    </row>
    <row r="8">
      <c r="A8" s="1" t="s">
        <v>519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482</v>
      </c>
      <c r="B9" s="1" t="s">
        <v>518</v>
      </c>
      <c r="C9" s="1" t="s">
        <v>23</v>
      </c>
      <c r="D9" s="1" t="s">
        <v>12</v>
      </c>
      <c r="E9" s="1" t="s">
        <v>24</v>
      </c>
      <c r="F9" s="53" t="s">
        <v>25</v>
      </c>
      <c r="G9" s="1" t="s">
        <v>26</v>
      </c>
      <c r="H9" s="1" t="s">
        <v>483</v>
      </c>
      <c r="I9" s="1" t="s">
        <v>484</v>
      </c>
      <c r="J9" s="1" t="s">
        <v>485</v>
      </c>
      <c r="K9" s="1" t="s">
        <v>486</v>
      </c>
      <c r="L9" s="1" t="s">
        <v>498</v>
      </c>
      <c r="M9" s="1" t="s">
        <v>499</v>
      </c>
    </row>
    <row r="10">
      <c r="A10" s="1">
        <v>0.0</v>
      </c>
      <c r="B10" s="1">
        <v>18794.0</v>
      </c>
      <c r="C10" s="23">
        <v>12.3</v>
      </c>
      <c r="D10" s="23">
        <v>15.047</v>
      </c>
      <c r="E10" s="23">
        <v>2.682</v>
      </c>
      <c r="F10" s="53">
        <v>951.5</v>
      </c>
      <c r="G10" s="23">
        <v>0.584</v>
      </c>
      <c r="H10" s="23">
        <v>0.376</v>
      </c>
      <c r="I10" s="1">
        <v>258.6</v>
      </c>
      <c r="J10" s="1">
        <v>435.7</v>
      </c>
      <c r="K10" s="1">
        <v>28179.0</v>
      </c>
      <c r="L10" s="1">
        <v>100.0</v>
      </c>
      <c r="M10" s="23">
        <v>15.27</v>
      </c>
      <c r="N10" s="23">
        <f t="shared" ref="N10:N167" si="6">if(H10&gt;100%,100%,H10)</f>
        <v>0.376</v>
      </c>
    </row>
    <row r="11">
      <c r="A11" s="1">
        <v>2.0</v>
      </c>
      <c r="B11" s="1">
        <v>18794.0</v>
      </c>
      <c r="C11" s="23">
        <v>12.321</v>
      </c>
      <c r="D11" s="23">
        <v>15.059</v>
      </c>
      <c r="E11" s="23">
        <v>3.036</v>
      </c>
      <c r="F11" s="53">
        <v>951.5</v>
      </c>
      <c r="G11" s="23">
        <v>0.584</v>
      </c>
      <c r="H11" s="23">
        <v>0.376</v>
      </c>
      <c r="I11" s="1">
        <v>266.6</v>
      </c>
      <c r="J11" s="1">
        <v>435.7</v>
      </c>
      <c r="K11" s="1">
        <v>28179.0</v>
      </c>
      <c r="L11" s="1">
        <v>100.0</v>
      </c>
      <c r="M11" s="23">
        <v>15.27</v>
      </c>
      <c r="N11" s="23">
        <f t="shared" si="6"/>
        <v>0.376</v>
      </c>
    </row>
    <row r="12">
      <c r="A12" s="1">
        <v>4.0</v>
      </c>
      <c r="B12" s="1">
        <v>18794.0</v>
      </c>
      <c r="C12" s="26">
        <v>14.898</v>
      </c>
      <c r="D12" s="23">
        <v>16.986</v>
      </c>
      <c r="E12" s="23">
        <v>3.036</v>
      </c>
      <c r="F12" s="53">
        <v>990.8</v>
      </c>
      <c r="G12" s="23">
        <v>0.597</v>
      </c>
      <c r="H12" s="23">
        <v>0.376</v>
      </c>
      <c r="I12" s="1">
        <v>266.6</v>
      </c>
      <c r="J12" s="1">
        <v>475.0</v>
      </c>
      <c r="K12" s="1">
        <v>28179.0</v>
      </c>
      <c r="L12" s="1">
        <v>100.0</v>
      </c>
      <c r="M12" s="23">
        <v>15.332</v>
      </c>
      <c r="N12" s="23">
        <f t="shared" si="6"/>
        <v>0.376</v>
      </c>
    </row>
    <row r="13">
      <c r="A13" s="1">
        <v>6.0</v>
      </c>
      <c r="B13" s="1">
        <v>22291.0</v>
      </c>
      <c r="C13" s="26">
        <v>15.67</v>
      </c>
      <c r="D13" s="23">
        <v>17.697</v>
      </c>
      <c r="E13" s="23">
        <v>3.142</v>
      </c>
      <c r="F13" s="53">
        <v>1025.8</v>
      </c>
      <c r="G13" s="23">
        <v>0.588</v>
      </c>
      <c r="H13" s="23">
        <v>1.384</v>
      </c>
      <c r="I13" s="1">
        <v>270.6</v>
      </c>
      <c r="J13" s="1">
        <v>447.8</v>
      </c>
      <c r="K13" s="1">
        <v>33421.0</v>
      </c>
      <c r="L13" s="1">
        <v>100.0</v>
      </c>
      <c r="M13" s="23">
        <v>15.332</v>
      </c>
      <c r="N13" s="23">
        <f t="shared" si="6"/>
        <v>1</v>
      </c>
    </row>
    <row r="14">
      <c r="A14" s="1">
        <v>8.0</v>
      </c>
      <c r="B14" s="1">
        <v>25787.0</v>
      </c>
      <c r="C14" s="26">
        <v>16.431</v>
      </c>
      <c r="D14" s="23">
        <v>17.572</v>
      </c>
      <c r="E14" s="23">
        <v>3.222</v>
      </c>
      <c r="F14" s="53">
        <v>1025.8</v>
      </c>
      <c r="G14" s="23">
        <v>0.588</v>
      </c>
      <c r="H14" s="23">
        <v>1.384</v>
      </c>
      <c r="I14" s="1">
        <v>270.6</v>
      </c>
      <c r="J14" s="1">
        <v>447.8</v>
      </c>
      <c r="K14" s="1">
        <v>38664.0</v>
      </c>
      <c r="L14" s="1">
        <v>100.0</v>
      </c>
      <c r="M14" s="23">
        <v>15.542</v>
      </c>
      <c r="N14" s="23">
        <f t="shared" si="6"/>
        <v>1</v>
      </c>
    </row>
    <row r="15">
      <c r="A15" s="1">
        <v>10.0</v>
      </c>
      <c r="B15" s="1">
        <v>25787.0</v>
      </c>
      <c r="C15" s="23">
        <v>16.935</v>
      </c>
      <c r="D15" s="23">
        <v>17.996</v>
      </c>
      <c r="E15" s="23">
        <v>3.372</v>
      </c>
      <c r="F15" s="53">
        <v>1040.8</v>
      </c>
      <c r="G15" s="23">
        <v>0.688</v>
      </c>
      <c r="H15" s="23">
        <v>1.414</v>
      </c>
      <c r="I15" s="1">
        <v>270.6</v>
      </c>
      <c r="J15" s="1">
        <v>447.8</v>
      </c>
      <c r="K15" s="1">
        <v>38664.0</v>
      </c>
      <c r="L15" s="1">
        <v>100.0</v>
      </c>
      <c r="M15" s="23">
        <v>15.542</v>
      </c>
      <c r="N15" s="23">
        <f t="shared" si="6"/>
        <v>1</v>
      </c>
    </row>
    <row r="16">
      <c r="A16" s="1">
        <v>12.0</v>
      </c>
      <c r="B16" s="1">
        <v>25787.0</v>
      </c>
      <c r="C16" s="23">
        <v>16.987</v>
      </c>
      <c r="D16" s="23">
        <v>19.361</v>
      </c>
      <c r="E16" s="23">
        <v>3.372</v>
      </c>
      <c r="F16" s="53">
        <v>1040.8</v>
      </c>
      <c r="G16" s="23">
        <v>0.688</v>
      </c>
      <c r="H16" s="23">
        <v>0.413</v>
      </c>
      <c r="I16" s="1">
        <v>270.6</v>
      </c>
      <c r="J16" s="1">
        <v>447.8</v>
      </c>
      <c r="K16" s="1">
        <v>38664.0</v>
      </c>
      <c r="L16" s="1">
        <v>100.0</v>
      </c>
      <c r="M16" s="23">
        <v>15.646</v>
      </c>
      <c r="N16" s="23">
        <f t="shared" si="6"/>
        <v>0.413</v>
      </c>
    </row>
    <row r="17">
      <c r="A17" s="1">
        <v>14.0</v>
      </c>
      <c r="B17" s="1">
        <v>25787.0</v>
      </c>
      <c r="C17" s="23">
        <v>19.547</v>
      </c>
      <c r="D17" s="23">
        <v>19.484</v>
      </c>
      <c r="E17" s="23">
        <v>3.492</v>
      </c>
      <c r="F17" s="53">
        <v>1001.5</v>
      </c>
      <c r="G17" s="23">
        <v>0.675</v>
      </c>
      <c r="H17" s="23">
        <v>0.413</v>
      </c>
      <c r="I17" s="1">
        <v>270.6</v>
      </c>
      <c r="J17" s="1">
        <v>408.6</v>
      </c>
      <c r="K17" s="1">
        <v>38664.0</v>
      </c>
      <c r="L17" s="1">
        <v>100.0</v>
      </c>
      <c r="M17" s="23">
        <v>15.646</v>
      </c>
      <c r="N17" s="23">
        <f t="shared" si="6"/>
        <v>0.413</v>
      </c>
    </row>
    <row r="18">
      <c r="A18" s="1">
        <v>16.0</v>
      </c>
      <c r="B18" s="1">
        <v>25787.0</v>
      </c>
      <c r="C18" s="23">
        <v>19.715</v>
      </c>
      <c r="D18" s="23">
        <v>19.515</v>
      </c>
      <c r="E18" s="23">
        <v>4.133</v>
      </c>
      <c r="F18" s="53">
        <v>1001.5</v>
      </c>
      <c r="G18" s="23">
        <v>0.675</v>
      </c>
      <c r="H18" s="23">
        <v>0.406</v>
      </c>
      <c r="I18" s="1">
        <v>270.6</v>
      </c>
      <c r="J18" s="1">
        <v>408.6</v>
      </c>
      <c r="K18" s="1">
        <v>38664.0</v>
      </c>
      <c r="L18" s="1">
        <v>100.0</v>
      </c>
      <c r="M18" s="23">
        <v>15.704</v>
      </c>
      <c r="N18" s="23">
        <f t="shared" si="6"/>
        <v>0.406</v>
      </c>
    </row>
    <row r="19">
      <c r="A19" s="1">
        <v>18.0</v>
      </c>
      <c r="B19" s="1">
        <v>25787.0</v>
      </c>
      <c r="C19" s="26">
        <v>19.69</v>
      </c>
      <c r="D19" s="23">
        <v>19.514</v>
      </c>
      <c r="E19" s="23">
        <v>4.109</v>
      </c>
      <c r="F19" s="53">
        <v>966.5</v>
      </c>
      <c r="G19" s="23">
        <v>0.663</v>
      </c>
      <c r="H19" s="23">
        <v>0.406</v>
      </c>
      <c r="I19" s="1">
        <v>274.6</v>
      </c>
      <c r="J19" s="1">
        <v>373.6</v>
      </c>
      <c r="K19" s="1">
        <v>38664.0</v>
      </c>
      <c r="L19" s="1">
        <v>100.0</v>
      </c>
      <c r="M19" s="23">
        <v>15.704</v>
      </c>
      <c r="N19" s="23">
        <f t="shared" si="6"/>
        <v>0.406</v>
      </c>
    </row>
    <row r="20">
      <c r="A20" s="1" t="s">
        <v>520</v>
      </c>
      <c r="B20" s="1"/>
      <c r="C20" s="26"/>
      <c r="D20" s="23"/>
      <c r="E20" s="23"/>
      <c r="F20" s="53"/>
      <c r="G20" s="23"/>
      <c r="H20" s="23"/>
      <c r="I20" s="1"/>
      <c r="J20" s="1"/>
      <c r="K20" s="1"/>
      <c r="L20" s="1"/>
      <c r="M20" s="23"/>
      <c r="N20" s="23" t="str">
        <f t="shared" si="6"/>
        <v/>
      </c>
    </row>
    <row r="21">
      <c r="A21" s="1">
        <v>20.0</v>
      </c>
      <c r="B21" s="1">
        <v>25787.0</v>
      </c>
      <c r="C21" s="23">
        <v>18.373</v>
      </c>
      <c r="D21" s="23">
        <v>18.39</v>
      </c>
      <c r="E21" s="23">
        <v>4.109</v>
      </c>
      <c r="F21" s="53">
        <v>966.5</v>
      </c>
      <c r="G21" s="23">
        <v>0.563</v>
      </c>
      <c r="H21" s="23">
        <v>0.376</v>
      </c>
      <c r="I21" s="1">
        <v>274.6</v>
      </c>
      <c r="J21" s="1">
        <v>373.6</v>
      </c>
      <c r="K21" s="1">
        <v>38664.0</v>
      </c>
      <c r="L21" s="1">
        <v>100.0</v>
      </c>
      <c r="M21" s="23">
        <v>15.591</v>
      </c>
      <c r="N21" s="23">
        <f t="shared" si="6"/>
        <v>0.376</v>
      </c>
    </row>
    <row r="22">
      <c r="A22" s="1">
        <v>22.0</v>
      </c>
      <c r="B22" s="1">
        <v>22291.0</v>
      </c>
      <c r="C22" s="26">
        <v>17.638</v>
      </c>
      <c r="D22" s="23">
        <v>17.423</v>
      </c>
      <c r="E22" s="23">
        <v>3.968</v>
      </c>
      <c r="F22" s="53">
        <v>966.5</v>
      </c>
      <c r="G22" s="23">
        <v>0.563</v>
      </c>
      <c r="H22" s="23">
        <v>0.376</v>
      </c>
      <c r="I22" s="1">
        <v>274.6</v>
      </c>
      <c r="J22" s="1">
        <v>373.6</v>
      </c>
      <c r="K22" s="1">
        <v>33421.0</v>
      </c>
      <c r="L22" s="1">
        <v>100.0</v>
      </c>
      <c r="M22" s="23">
        <v>15.591</v>
      </c>
      <c r="N22" s="23">
        <f t="shared" si="6"/>
        <v>0.376</v>
      </c>
    </row>
    <row r="23">
      <c r="A23" s="1">
        <v>24.0</v>
      </c>
      <c r="B23" s="1">
        <v>18794.0</v>
      </c>
      <c r="C23" s="23">
        <v>18.004</v>
      </c>
      <c r="D23" s="23">
        <v>16.561</v>
      </c>
      <c r="E23" s="23">
        <v>3.898</v>
      </c>
      <c r="F23" s="53">
        <v>1005.8</v>
      </c>
      <c r="G23" s="23">
        <v>0.576</v>
      </c>
      <c r="H23" s="23">
        <v>0.386</v>
      </c>
      <c r="I23" s="1">
        <v>274.6</v>
      </c>
      <c r="J23" s="1">
        <v>412.8</v>
      </c>
      <c r="K23" s="1">
        <v>28179.0</v>
      </c>
      <c r="L23" s="1">
        <v>100.0</v>
      </c>
      <c r="M23" s="26">
        <v>15.591</v>
      </c>
      <c r="N23" s="23">
        <f t="shared" si="6"/>
        <v>0.386</v>
      </c>
    </row>
    <row r="24">
      <c r="A24" s="1">
        <v>26.0</v>
      </c>
      <c r="B24" s="1">
        <v>18794.0</v>
      </c>
      <c r="C24" s="23">
        <v>18.315</v>
      </c>
      <c r="D24" s="23">
        <v>16.493</v>
      </c>
      <c r="E24" s="23">
        <v>4.002</v>
      </c>
      <c r="F24" s="53">
        <v>1005.8</v>
      </c>
      <c r="G24" s="23">
        <v>0.576</v>
      </c>
      <c r="H24" s="23">
        <v>0.386</v>
      </c>
      <c r="I24" s="1">
        <v>274.6</v>
      </c>
      <c r="J24" s="1">
        <v>412.8</v>
      </c>
      <c r="K24" s="1">
        <v>28179.0</v>
      </c>
      <c r="L24" s="1">
        <v>100.0</v>
      </c>
      <c r="M24" s="26">
        <v>15.455</v>
      </c>
      <c r="N24" s="23">
        <f t="shared" si="6"/>
        <v>0.386</v>
      </c>
    </row>
    <row r="25">
      <c r="A25" s="1">
        <v>28.0</v>
      </c>
      <c r="B25" s="1">
        <v>18794.0</v>
      </c>
      <c r="C25" s="23">
        <v>18.483</v>
      </c>
      <c r="D25" s="23">
        <v>16.595</v>
      </c>
      <c r="E25" s="23">
        <v>3.872</v>
      </c>
      <c r="F25" s="53">
        <v>1005.8</v>
      </c>
      <c r="G25" s="23">
        <v>0.576</v>
      </c>
      <c r="H25" s="23">
        <v>0.393</v>
      </c>
      <c r="I25" s="1">
        <v>274.6</v>
      </c>
      <c r="J25" s="1">
        <v>412.8</v>
      </c>
      <c r="K25" s="1">
        <v>28179.0</v>
      </c>
      <c r="L25" s="1">
        <v>100.0</v>
      </c>
      <c r="M25" s="23">
        <v>15.455</v>
      </c>
      <c r="N25" s="23">
        <f t="shared" si="6"/>
        <v>0.393</v>
      </c>
    </row>
    <row r="26">
      <c r="A26" s="1">
        <v>30.0</v>
      </c>
      <c r="B26" s="1">
        <v>18794.0</v>
      </c>
      <c r="C26" s="23">
        <v>18.173</v>
      </c>
      <c r="D26" s="23">
        <v>16.352</v>
      </c>
      <c r="E26" s="23">
        <v>3.872</v>
      </c>
      <c r="F26" s="53">
        <v>1005.8</v>
      </c>
      <c r="G26" s="23">
        <v>0.603</v>
      </c>
      <c r="H26" s="23">
        <v>0.393</v>
      </c>
      <c r="I26" s="1">
        <v>274.6</v>
      </c>
      <c r="J26" s="1">
        <v>494.8</v>
      </c>
      <c r="K26" s="1">
        <v>28179.0</v>
      </c>
      <c r="L26" s="1">
        <v>99.0</v>
      </c>
      <c r="M26" s="23">
        <v>15.433</v>
      </c>
      <c r="N26" s="23">
        <f t="shared" si="6"/>
        <v>0.393</v>
      </c>
    </row>
    <row r="27">
      <c r="A27" s="1">
        <v>32.0</v>
      </c>
      <c r="B27" s="1">
        <v>18794.0</v>
      </c>
      <c r="C27" s="23">
        <v>18.139</v>
      </c>
      <c r="D27" s="23">
        <v>16.352</v>
      </c>
      <c r="E27" s="23">
        <v>3.872</v>
      </c>
      <c r="F27" s="53">
        <v>990.8</v>
      </c>
      <c r="G27" s="23">
        <v>0.603</v>
      </c>
      <c r="H27" s="23">
        <v>0.393</v>
      </c>
      <c r="I27" s="1">
        <v>274.6</v>
      </c>
      <c r="J27" s="1">
        <v>494.8</v>
      </c>
      <c r="K27" s="1">
        <v>28179.0</v>
      </c>
      <c r="L27" s="1">
        <v>100.0</v>
      </c>
      <c r="M27" s="23">
        <v>15.433</v>
      </c>
      <c r="N27" s="23">
        <f t="shared" si="6"/>
        <v>0.393</v>
      </c>
    </row>
    <row r="28">
      <c r="A28" s="1">
        <v>34.0</v>
      </c>
      <c r="B28" s="1">
        <v>18484.0</v>
      </c>
      <c r="C28" s="23">
        <v>18.528</v>
      </c>
      <c r="D28" s="23">
        <v>16.656</v>
      </c>
      <c r="E28" s="23">
        <v>3.976</v>
      </c>
      <c r="F28" s="53">
        <v>990.8</v>
      </c>
      <c r="G28" s="23">
        <v>0.603</v>
      </c>
      <c r="H28" s="23">
        <v>0.383</v>
      </c>
      <c r="I28" s="1">
        <v>274.6</v>
      </c>
      <c r="J28" s="1">
        <v>494.8</v>
      </c>
      <c r="K28" s="1">
        <v>28179.0</v>
      </c>
      <c r="L28" s="1">
        <v>100.0</v>
      </c>
      <c r="M28" s="23">
        <v>15.437</v>
      </c>
      <c r="N28" s="23">
        <f t="shared" si="6"/>
        <v>0.383</v>
      </c>
    </row>
    <row r="29">
      <c r="A29" s="1">
        <v>37.0</v>
      </c>
      <c r="B29" s="1">
        <v>18794.0</v>
      </c>
      <c r="C29" s="23">
        <v>18.051</v>
      </c>
      <c r="D29" s="23">
        <v>15.582</v>
      </c>
      <c r="E29" s="23">
        <v>3.36</v>
      </c>
      <c r="F29" s="53">
        <v>990.8</v>
      </c>
      <c r="G29" s="23">
        <v>0.603</v>
      </c>
      <c r="H29" s="23">
        <v>0.383</v>
      </c>
      <c r="I29" s="1">
        <v>274.6</v>
      </c>
      <c r="J29" s="1">
        <v>494.8</v>
      </c>
      <c r="K29" s="1">
        <v>28179.0</v>
      </c>
      <c r="L29" s="1">
        <v>100.0</v>
      </c>
      <c r="M29" s="23">
        <v>15.437</v>
      </c>
      <c r="N29" s="23">
        <f t="shared" si="6"/>
        <v>0.383</v>
      </c>
    </row>
    <row r="30">
      <c r="A30" s="1">
        <v>39.0</v>
      </c>
      <c r="B30" s="1">
        <v>18794.0</v>
      </c>
      <c r="C30" s="23">
        <v>17.994</v>
      </c>
      <c r="D30" s="26">
        <v>15.566</v>
      </c>
      <c r="E30" s="23">
        <v>3.36</v>
      </c>
      <c r="F30" s="53">
        <v>990.8</v>
      </c>
      <c r="G30" s="23">
        <v>0.603</v>
      </c>
      <c r="H30" s="23">
        <v>0.383</v>
      </c>
      <c r="I30" s="1">
        <v>274.6</v>
      </c>
      <c r="J30" s="1">
        <v>494.8</v>
      </c>
      <c r="K30" s="1">
        <v>28179.0</v>
      </c>
      <c r="L30" s="1">
        <v>100.0</v>
      </c>
      <c r="M30" s="23">
        <v>15.368</v>
      </c>
      <c r="N30" s="23">
        <f t="shared" si="6"/>
        <v>0.383</v>
      </c>
    </row>
    <row r="31">
      <c r="A31" s="1">
        <v>41.0</v>
      </c>
      <c r="B31" s="1">
        <v>18794.0</v>
      </c>
      <c r="C31" s="23">
        <v>18.672</v>
      </c>
      <c r="D31" s="26">
        <v>15.566</v>
      </c>
      <c r="E31" s="23">
        <v>3.36</v>
      </c>
      <c r="F31" s="53">
        <v>990.8</v>
      </c>
      <c r="G31" s="23">
        <v>0.603</v>
      </c>
      <c r="H31" s="23">
        <v>0.383</v>
      </c>
      <c r="I31" s="1">
        <v>274.6</v>
      </c>
      <c r="J31" s="1">
        <v>494.8</v>
      </c>
      <c r="K31" s="1">
        <v>28179.0</v>
      </c>
      <c r="L31" s="1">
        <v>100.0</v>
      </c>
      <c r="M31" s="23">
        <v>15.368</v>
      </c>
      <c r="N31" s="23">
        <f t="shared" si="6"/>
        <v>0.383</v>
      </c>
    </row>
    <row r="32">
      <c r="A32" s="1">
        <v>43.0</v>
      </c>
      <c r="B32" s="1">
        <v>18794.0</v>
      </c>
      <c r="C32" s="26">
        <v>18.694</v>
      </c>
      <c r="D32" s="23">
        <v>15.57</v>
      </c>
      <c r="E32" s="23">
        <v>3.11</v>
      </c>
      <c r="F32" s="53">
        <v>1005.8</v>
      </c>
      <c r="G32" s="23">
        <v>0.603</v>
      </c>
      <c r="H32" s="23">
        <v>0.383</v>
      </c>
      <c r="I32" s="1">
        <v>274.6</v>
      </c>
      <c r="J32" s="1">
        <v>494.8</v>
      </c>
      <c r="K32" s="1">
        <v>28179.0</v>
      </c>
      <c r="L32" s="1">
        <v>100.0</v>
      </c>
      <c r="M32" s="23">
        <v>15.362</v>
      </c>
      <c r="N32" s="23">
        <f t="shared" si="6"/>
        <v>0.383</v>
      </c>
    </row>
    <row r="33">
      <c r="A33" s="1">
        <v>45.0</v>
      </c>
      <c r="B33" s="1">
        <v>18794.0</v>
      </c>
      <c r="C33" s="26">
        <v>15.591</v>
      </c>
      <c r="D33" s="23">
        <v>14.766</v>
      </c>
      <c r="E33" s="23">
        <v>3.11</v>
      </c>
      <c r="F33" s="53">
        <v>966.5</v>
      </c>
      <c r="G33" s="23">
        <v>0.59</v>
      </c>
      <c r="H33" s="23">
        <v>0.383</v>
      </c>
      <c r="I33" s="1">
        <v>274.6</v>
      </c>
      <c r="J33" s="1">
        <v>455.5</v>
      </c>
      <c r="K33" s="1">
        <v>28179.0</v>
      </c>
      <c r="L33" s="1">
        <v>100.0</v>
      </c>
      <c r="M33" s="23">
        <v>15.362</v>
      </c>
      <c r="N33" s="23">
        <f t="shared" si="6"/>
        <v>0.383</v>
      </c>
    </row>
    <row r="34">
      <c r="A34" s="1">
        <v>47.0</v>
      </c>
      <c r="B34" s="1">
        <v>17920.0</v>
      </c>
      <c r="C34" s="23">
        <v>15.397</v>
      </c>
      <c r="D34" s="23">
        <v>14.609</v>
      </c>
      <c r="E34" s="23">
        <v>3.19</v>
      </c>
      <c r="F34" s="53">
        <v>1001.5</v>
      </c>
      <c r="G34" s="23">
        <v>0.575</v>
      </c>
      <c r="H34" s="23">
        <v>0.383</v>
      </c>
      <c r="I34" s="1">
        <v>274.6</v>
      </c>
      <c r="J34" s="1">
        <v>408.6</v>
      </c>
      <c r="K34" s="1">
        <v>26868.0</v>
      </c>
      <c r="L34" s="1">
        <v>100.0</v>
      </c>
      <c r="M34" s="23">
        <v>15.385</v>
      </c>
      <c r="N34" s="23">
        <f t="shared" si="6"/>
        <v>0.383</v>
      </c>
    </row>
    <row r="35">
      <c r="A35" s="1">
        <v>49.0</v>
      </c>
      <c r="B35" s="1">
        <v>17920.0</v>
      </c>
      <c r="C35" s="23">
        <v>15.157</v>
      </c>
      <c r="D35" s="23">
        <v>14.38</v>
      </c>
      <c r="E35" s="23">
        <v>3.07</v>
      </c>
      <c r="F35" s="53">
        <v>1001.5</v>
      </c>
      <c r="G35" s="23">
        <v>0.575</v>
      </c>
      <c r="H35" s="23">
        <v>0.393</v>
      </c>
      <c r="I35" s="1">
        <v>274.6</v>
      </c>
      <c r="J35" s="1">
        <v>408.6</v>
      </c>
      <c r="K35" s="1">
        <v>26868.0</v>
      </c>
      <c r="L35" s="1">
        <v>100.0</v>
      </c>
      <c r="M35" s="23">
        <v>15.385</v>
      </c>
      <c r="N35" s="23">
        <f t="shared" si="6"/>
        <v>0.393</v>
      </c>
    </row>
    <row r="36">
      <c r="A36" s="1">
        <v>51.0</v>
      </c>
      <c r="B36" s="1">
        <v>17920.0</v>
      </c>
      <c r="C36" s="23">
        <v>15.175</v>
      </c>
      <c r="D36" s="23">
        <v>14.38</v>
      </c>
      <c r="E36" s="23">
        <v>3.07</v>
      </c>
      <c r="F36" s="53">
        <v>1001.5</v>
      </c>
      <c r="G36" s="23">
        <v>0.575</v>
      </c>
      <c r="H36" s="23">
        <v>0.393</v>
      </c>
      <c r="I36" s="1">
        <v>274.6</v>
      </c>
      <c r="J36" s="1">
        <v>408.6</v>
      </c>
      <c r="K36" s="1">
        <v>26868.0</v>
      </c>
      <c r="L36" s="1">
        <v>100.0</v>
      </c>
      <c r="M36" s="23">
        <v>15.385</v>
      </c>
      <c r="N36" s="23">
        <f t="shared" si="6"/>
        <v>0.393</v>
      </c>
    </row>
    <row r="37">
      <c r="A37" s="1">
        <v>53.0</v>
      </c>
      <c r="B37" s="1">
        <v>17920.0</v>
      </c>
      <c r="C37" s="26">
        <v>15.895</v>
      </c>
      <c r="D37" s="23">
        <v>14.338</v>
      </c>
      <c r="E37" s="23">
        <v>2.652</v>
      </c>
      <c r="F37" s="53">
        <v>1001.5</v>
      </c>
      <c r="G37" s="23">
        <v>0.575</v>
      </c>
      <c r="H37" s="23">
        <v>0.386</v>
      </c>
      <c r="I37" s="1">
        <v>278.6</v>
      </c>
      <c r="J37" s="1">
        <v>408.6</v>
      </c>
      <c r="K37" s="1">
        <v>26868.0</v>
      </c>
      <c r="L37" s="1">
        <v>100.0</v>
      </c>
      <c r="M37" s="23">
        <v>15.377</v>
      </c>
      <c r="N37" s="23">
        <f t="shared" si="6"/>
        <v>0.386</v>
      </c>
    </row>
    <row r="38">
      <c r="A38" s="1">
        <v>55.0</v>
      </c>
      <c r="B38" s="1">
        <v>17920.0</v>
      </c>
      <c r="C38" s="26">
        <v>16.686</v>
      </c>
      <c r="D38" s="23">
        <v>15.292</v>
      </c>
      <c r="E38" s="23">
        <v>2.652</v>
      </c>
      <c r="F38" s="53">
        <v>1025.8</v>
      </c>
      <c r="G38" s="23">
        <v>0.588</v>
      </c>
      <c r="H38" s="23">
        <v>0.386</v>
      </c>
      <c r="I38" s="1">
        <v>278.6</v>
      </c>
      <c r="J38" s="1">
        <v>447.8</v>
      </c>
      <c r="K38" s="1">
        <v>26868.0</v>
      </c>
      <c r="L38" s="1">
        <v>100.0</v>
      </c>
      <c r="M38" s="23">
        <v>15.377</v>
      </c>
      <c r="N38" s="23">
        <f t="shared" si="6"/>
        <v>0.386</v>
      </c>
    </row>
    <row r="39">
      <c r="A39" s="1">
        <v>57.0</v>
      </c>
      <c r="B39" s="1">
        <v>17920.0</v>
      </c>
      <c r="C39" s="23">
        <v>16.318</v>
      </c>
      <c r="D39" s="23">
        <v>14.98</v>
      </c>
      <c r="E39" s="23">
        <v>2.652</v>
      </c>
      <c r="F39" s="53">
        <v>1025.8</v>
      </c>
      <c r="G39" s="23">
        <v>0.588</v>
      </c>
      <c r="H39" s="23">
        <v>0.386</v>
      </c>
      <c r="I39" s="1">
        <v>278.6</v>
      </c>
      <c r="J39" s="1">
        <v>447.8</v>
      </c>
      <c r="K39" s="1">
        <v>26868.0</v>
      </c>
      <c r="L39" s="1">
        <v>100.0</v>
      </c>
      <c r="M39" s="23">
        <v>15.392</v>
      </c>
      <c r="N39" s="23">
        <f t="shared" si="6"/>
        <v>0.386</v>
      </c>
    </row>
    <row r="40">
      <c r="A40" s="1">
        <v>59.0</v>
      </c>
      <c r="B40" s="1">
        <v>17920.0</v>
      </c>
      <c r="C40" s="26">
        <v>16.714</v>
      </c>
      <c r="D40" s="23">
        <v>15.322</v>
      </c>
      <c r="E40" s="23">
        <v>3.072</v>
      </c>
      <c r="F40" s="53">
        <v>1025.8</v>
      </c>
      <c r="G40" s="23">
        <v>0.588</v>
      </c>
      <c r="H40" s="23">
        <v>0.376</v>
      </c>
      <c r="I40" s="1">
        <v>278.6</v>
      </c>
      <c r="J40" s="1">
        <v>447.8</v>
      </c>
      <c r="K40" s="1">
        <v>26868.0</v>
      </c>
      <c r="L40" s="1">
        <v>100.0</v>
      </c>
      <c r="M40" s="23">
        <v>15.392</v>
      </c>
      <c r="N40" s="23">
        <f t="shared" si="6"/>
        <v>0.376</v>
      </c>
    </row>
    <row r="41">
      <c r="A41" s="1">
        <v>61.0</v>
      </c>
      <c r="B41" s="1">
        <v>17920.0</v>
      </c>
      <c r="C41" s="26">
        <v>16.973</v>
      </c>
      <c r="D41" s="23">
        <v>15.532</v>
      </c>
      <c r="E41" s="23">
        <v>3.072</v>
      </c>
      <c r="F41" s="53">
        <v>1025.8</v>
      </c>
      <c r="G41" s="23">
        <v>0.588</v>
      </c>
      <c r="H41" s="23">
        <v>0.383</v>
      </c>
      <c r="I41" s="1">
        <v>278.6</v>
      </c>
      <c r="J41" s="1">
        <v>447.8</v>
      </c>
      <c r="K41" s="1">
        <v>26868.0</v>
      </c>
      <c r="L41" s="1">
        <v>100.0</v>
      </c>
      <c r="M41" s="23">
        <v>15.414</v>
      </c>
      <c r="N41" s="23">
        <f t="shared" si="6"/>
        <v>0.383</v>
      </c>
    </row>
    <row r="42">
      <c r="A42" s="1">
        <v>63.0</v>
      </c>
      <c r="B42" s="1">
        <v>18794.0</v>
      </c>
      <c r="C42" s="26">
        <v>17.2</v>
      </c>
      <c r="D42" s="23">
        <v>15.709</v>
      </c>
      <c r="E42" s="23">
        <v>3.112</v>
      </c>
      <c r="F42" s="53">
        <v>990.8</v>
      </c>
      <c r="G42" s="23">
        <v>0.576</v>
      </c>
      <c r="H42" s="23">
        <v>0.383</v>
      </c>
      <c r="I42" s="1">
        <v>278.6</v>
      </c>
      <c r="J42" s="1">
        <v>412.8</v>
      </c>
      <c r="K42" s="1">
        <v>28179.0</v>
      </c>
      <c r="L42" s="1">
        <v>100.0</v>
      </c>
      <c r="M42" s="23">
        <v>15.414</v>
      </c>
      <c r="N42" s="23">
        <f t="shared" si="6"/>
        <v>0.383</v>
      </c>
    </row>
    <row r="43">
      <c r="A43" s="1">
        <v>65.0</v>
      </c>
      <c r="B43" s="1">
        <v>18794.0</v>
      </c>
      <c r="C43" s="23">
        <v>17.596</v>
      </c>
      <c r="D43" s="23">
        <v>16.021</v>
      </c>
      <c r="E43" s="23">
        <v>3.112</v>
      </c>
      <c r="F43" s="53">
        <v>990.8</v>
      </c>
      <c r="G43" s="23">
        <v>0.603</v>
      </c>
      <c r="H43" s="23">
        <v>0.383</v>
      </c>
      <c r="I43" s="1">
        <v>278.6</v>
      </c>
      <c r="J43" s="1">
        <v>494.8</v>
      </c>
      <c r="K43" s="1">
        <v>28179.0</v>
      </c>
      <c r="L43" s="1">
        <v>100.0</v>
      </c>
      <c r="M43" s="23">
        <v>15.397</v>
      </c>
      <c r="N43" s="23">
        <f t="shared" si="6"/>
        <v>0.383</v>
      </c>
    </row>
    <row r="44">
      <c r="A44" s="1">
        <v>67.0</v>
      </c>
      <c r="B44" s="1">
        <v>18794.0</v>
      </c>
      <c r="C44" s="26">
        <v>18.406</v>
      </c>
      <c r="D44" s="23">
        <v>15.899</v>
      </c>
      <c r="E44" s="23">
        <v>3.234</v>
      </c>
      <c r="F44" s="53">
        <v>1025.8</v>
      </c>
      <c r="G44" s="23">
        <v>0.614</v>
      </c>
      <c r="H44" s="23">
        <v>0.383</v>
      </c>
      <c r="I44" s="1">
        <v>282.6</v>
      </c>
      <c r="J44" s="1">
        <v>529.8</v>
      </c>
      <c r="K44" s="1">
        <v>28179.0</v>
      </c>
      <c r="L44" s="1">
        <v>100.0</v>
      </c>
      <c r="M44" s="23">
        <v>15.397</v>
      </c>
      <c r="N44" s="23">
        <f t="shared" si="6"/>
        <v>0.383</v>
      </c>
    </row>
    <row r="45">
      <c r="A45" s="1">
        <v>69.0</v>
      </c>
      <c r="B45" s="1">
        <v>18794.0</v>
      </c>
      <c r="C45" s="23">
        <v>18.434</v>
      </c>
      <c r="D45" s="23">
        <v>15.905</v>
      </c>
      <c r="E45" s="23">
        <v>3.234</v>
      </c>
      <c r="F45" s="53">
        <v>1025.8</v>
      </c>
      <c r="G45" s="23">
        <v>0.614</v>
      </c>
      <c r="H45" s="23">
        <v>1.384</v>
      </c>
      <c r="I45" s="1">
        <v>282.6</v>
      </c>
      <c r="J45" s="1">
        <v>529.8</v>
      </c>
      <c r="K45" s="1">
        <v>28179.0</v>
      </c>
      <c r="L45" s="1">
        <v>100.0</v>
      </c>
      <c r="M45" s="23">
        <v>15.426</v>
      </c>
      <c r="N45" s="23">
        <f t="shared" si="6"/>
        <v>1</v>
      </c>
    </row>
    <row r="46">
      <c r="A46" s="1">
        <v>71.0</v>
      </c>
      <c r="B46" s="1">
        <v>18794.0</v>
      </c>
      <c r="C46" s="23">
        <v>18.448</v>
      </c>
      <c r="D46" s="23">
        <v>15.905</v>
      </c>
      <c r="E46" s="23">
        <v>3.234</v>
      </c>
      <c r="F46" s="53">
        <v>1025.8</v>
      </c>
      <c r="G46" s="23">
        <v>0.614</v>
      </c>
      <c r="H46" s="23">
        <v>1.376</v>
      </c>
      <c r="I46" s="1">
        <v>282.6</v>
      </c>
      <c r="J46" s="1">
        <v>529.8</v>
      </c>
      <c r="K46" s="1">
        <v>28179.0</v>
      </c>
      <c r="L46" s="1">
        <v>100.0</v>
      </c>
      <c r="M46" s="23">
        <v>15.426</v>
      </c>
      <c r="N46" s="23">
        <f t="shared" si="6"/>
        <v>1</v>
      </c>
    </row>
    <row r="47">
      <c r="A47" s="1">
        <v>73.0</v>
      </c>
      <c r="B47" s="1">
        <v>18794.0</v>
      </c>
      <c r="C47" s="23">
        <v>18.475</v>
      </c>
      <c r="D47" s="23">
        <v>15.906</v>
      </c>
      <c r="E47" s="23">
        <v>3.238</v>
      </c>
      <c r="F47" s="53">
        <v>1025.8</v>
      </c>
      <c r="G47" s="23">
        <v>0.614</v>
      </c>
      <c r="H47" s="23">
        <v>1.376</v>
      </c>
      <c r="I47" s="1">
        <v>290.6</v>
      </c>
      <c r="J47" s="1">
        <v>529.8</v>
      </c>
      <c r="K47" s="1">
        <v>28179.0</v>
      </c>
      <c r="L47" s="1">
        <v>100.0</v>
      </c>
      <c r="M47" s="23">
        <v>15.425</v>
      </c>
      <c r="N47" s="23">
        <f t="shared" si="6"/>
        <v>1</v>
      </c>
    </row>
    <row r="48">
      <c r="A48" s="1">
        <v>75.0</v>
      </c>
      <c r="B48" s="1">
        <v>20542.0</v>
      </c>
      <c r="C48" s="23">
        <v>20.587</v>
      </c>
      <c r="D48" s="23">
        <v>17.556</v>
      </c>
      <c r="E48" s="23">
        <v>3.24</v>
      </c>
      <c r="F48" s="53">
        <v>1025.8</v>
      </c>
      <c r="G48" s="23">
        <v>0.614</v>
      </c>
      <c r="H48" s="23">
        <v>0.383</v>
      </c>
      <c r="I48" s="1">
        <v>294.6</v>
      </c>
      <c r="J48" s="1">
        <v>529.8</v>
      </c>
      <c r="K48" s="1">
        <v>30800.0</v>
      </c>
      <c r="L48" s="1">
        <v>100.0</v>
      </c>
      <c r="M48" s="23">
        <v>15.425</v>
      </c>
      <c r="N48" s="23">
        <f t="shared" si="6"/>
        <v>0.383</v>
      </c>
    </row>
    <row r="49">
      <c r="A49" s="1">
        <v>77.0</v>
      </c>
      <c r="B49" s="1">
        <v>24039.0</v>
      </c>
      <c r="C49" s="23">
        <v>21.624</v>
      </c>
      <c r="D49" s="23">
        <v>18.307</v>
      </c>
      <c r="E49" s="23">
        <v>3.48</v>
      </c>
      <c r="F49" s="53">
        <v>986.5</v>
      </c>
      <c r="G49" s="23">
        <v>0.602</v>
      </c>
      <c r="H49" s="23">
        <v>0.383</v>
      </c>
      <c r="I49" s="1">
        <v>294.6</v>
      </c>
      <c r="J49" s="1">
        <v>490.5</v>
      </c>
      <c r="K49" s="1">
        <v>36043.0</v>
      </c>
      <c r="L49" s="1">
        <v>100.0</v>
      </c>
      <c r="M49" s="23">
        <v>15.674</v>
      </c>
      <c r="N49" s="23">
        <f t="shared" si="6"/>
        <v>0.383</v>
      </c>
    </row>
    <row r="50">
      <c r="A50" s="1">
        <v>79.0</v>
      </c>
      <c r="B50" s="1">
        <v>25787.0</v>
      </c>
      <c r="C50" s="23">
        <v>22.277</v>
      </c>
      <c r="D50" s="23">
        <v>18.796</v>
      </c>
      <c r="E50" s="23">
        <v>3.55</v>
      </c>
      <c r="F50" s="53">
        <v>986.5</v>
      </c>
      <c r="G50" s="23">
        <v>0.602</v>
      </c>
      <c r="H50" s="23">
        <v>0.383</v>
      </c>
      <c r="I50" s="1">
        <v>294.6</v>
      </c>
      <c r="J50" s="1">
        <v>490.5</v>
      </c>
      <c r="K50" s="1">
        <v>38664.0</v>
      </c>
      <c r="L50" s="1">
        <v>100.0</v>
      </c>
      <c r="M50" s="23">
        <v>15.674</v>
      </c>
      <c r="N50" s="23">
        <f t="shared" si="6"/>
        <v>0.383</v>
      </c>
    </row>
    <row r="51">
      <c r="A51" s="1">
        <v>81.0</v>
      </c>
      <c r="B51" s="1">
        <v>25362.0</v>
      </c>
      <c r="C51" s="23">
        <v>22.277</v>
      </c>
      <c r="D51" s="23">
        <v>18.792</v>
      </c>
      <c r="E51" s="23">
        <v>3.432</v>
      </c>
      <c r="F51" s="53">
        <v>986.5</v>
      </c>
      <c r="G51" s="23">
        <v>0.575</v>
      </c>
      <c r="H51" s="23">
        <v>0.383</v>
      </c>
      <c r="I51" s="1">
        <v>298.6</v>
      </c>
      <c r="J51" s="1">
        <v>408.6</v>
      </c>
      <c r="K51" s="1">
        <v>38664.0</v>
      </c>
      <c r="L51" s="1">
        <v>100.0</v>
      </c>
      <c r="M51" s="23">
        <v>15.674</v>
      </c>
      <c r="N51" s="23">
        <f t="shared" si="6"/>
        <v>0.383</v>
      </c>
    </row>
    <row r="52">
      <c r="A52" s="1">
        <v>83.0</v>
      </c>
      <c r="B52" s="1">
        <v>25787.0</v>
      </c>
      <c r="C52" s="23">
        <v>22.236</v>
      </c>
      <c r="D52" s="23">
        <v>18.752</v>
      </c>
      <c r="E52" s="23">
        <v>3.432</v>
      </c>
      <c r="F52" s="53">
        <v>986.5</v>
      </c>
      <c r="G52" s="23">
        <v>0.568</v>
      </c>
      <c r="H52" s="23">
        <v>0.383</v>
      </c>
      <c r="I52" s="1">
        <v>298.6</v>
      </c>
      <c r="J52" s="1">
        <v>388.8</v>
      </c>
      <c r="K52" s="1">
        <v>38664.0</v>
      </c>
      <c r="L52" s="1">
        <v>100.0</v>
      </c>
      <c r="M52" s="23">
        <v>15.694</v>
      </c>
      <c r="N52" s="23">
        <f t="shared" si="6"/>
        <v>0.383</v>
      </c>
    </row>
    <row r="53">
      <c r="A53" s="1">
        <v>85.0</v>
      </c>
      <c r="B53" s="1">
        <v>25787.0</v>
      </c>
      <c r="C53" s="23">
        <v>22.333</v>
      </c>
      <c r="D53" s="23">
        <v>18.796</v>
      </c>
      <c r="E53" s="23">
        <v>3.432</v>
      </c>
      <c r="F53" s="53">
        <v>986.5</v>
      </c>
      <c r="G53" s="23">
        <v>0.575</v>
      </c>
      <c r="H53" s="23">
        <v>0.393</v>
      </c>
      <c r="I53" s="1">
        <v>298.6</v>
      </c>
      <c r="J53" s="1">
        <v>408.6</v>
      </c>
      <c r="K53" s="1">
        <v>38664.0</v>
      </c>
      <c r="L53" s="1">
        <v>100.0</v>
      </c>
      <c r="M53" s="23">
        <v>15.694</v>
      </c>
      <c r="N53" s="23">
        <f t="shared" si="6"/>
        <v>0.393</v>
      </c>
    </row>
    <row r="54">
      <c r="A54" s="1">
        <v>87.0</v>
      </c>
      <c r="B54" s="1">
        <v>25787.0</v>
      </c>
      <c r="C54" s="23">
        <v>22.366</v>
      </c>
      <c r="D54" s="23">
        <v>19.678</v>
      </c>
      <c r="E54" s="23">
        <v>3.432</v>
      </c>
      <c r="F54" s="53">
        <v>1001.5</v>
      </c>
      <c r="G54" s="23">
        <v>0.575</v>
      </c>
      <c r="H54" s="23">
        <v>0.393</v>
      </c>
      <c r="I54" s="1">
        <v>298.6</v>
      </c>
      <c r="J54" s="1">
        <v>408.6</v>
      </c>
      <c r="K54" s="1">
        <v>38664.0</v>
      </c>
      <c r="L54" s="1">
        <v>100.0</v>
      </c>
      <c r="M54" s="23">
        <v>15.697</v>
      </c>
      <c r="N54" s="23">
        <f t="shared" si="6"/>
        <v>0.393</v>
      </c>
    </row>
    <row r="55">
      <c r="A55" s="1">
        <v>89.0</v>
      </c>
      <c r="B55" s="1">
        <v>25787.0</v>
      </c>
      <c r="C55" s="26">
        <v>20.559</v>
      </c>
      <c r="D55" s="23">
        <v>18.248</v>
      </c>
      <c r="E55" s="23">
        <v>3.432</v>
      </c>
      <c r="F55" s="53">
        <v>1001.5</v>
      </c>
      <c r="G55" s="23">
        <v>0.575</v>
      </c>
      <c r="H55" s="23">
        <v>0.393</v>
      </c>
      <c r="I55" s="1">
        <v>298.6</v>
      </c>
      <c r="J55" s="1">
        <v>408.6</v>
      </c>
      <c r="K55" s="1">
        <v>38664.0</v>
      </c>
      <c r="L55" s="1">
        <v>100.0</v>
      </c>
      <c r="M55" s="23">
        <v>15.697</v>
      </c>
      <c r="N55" s="23">
        <f t="shared" si="6"/>
        <v>0.393</v>
      </c>
    </row>
    <row r="56">
      <c r="A56" s="1">
        <v>91.0</v>
      </c>
      <c r="B56" s="1">
        <v>20542.0</v>
      </c>
      <c r="C56" s="23">
        <v>19.468</v>
      </c>
      <c r="D56" s="23">
        <v>17.346</v>
      </c>
      <c r="E56" s="23">
        <v>3.282</v>
      </c>
      <c r="F56" s="53">
        <v>1001.5</v>
      </c>
      <c r="G56" s="23">
        <v>0.575</v>
      </c>
      <c r="H56" s="23">
        <v>0.393</v>
      </c>
      <c r="I56" s="1">
        <v>298.6</v>
      </c>
      <c r="J56" s="1">
        <v>408.6</v>
      </c>
      <c r="K56" s="1">
        <v>30800.0</v>
      </c>
      <c r="L56" s="1">
        <v>100.0</v>
      </c>
      <c r="M56" s="23">
        <v>15.54</v>
      </c>
      <c r="N56" s="23">
        <f t="shared" si="6"/>
        <v>0.393</v>
      </c>
    </row>
    <row r="57">
      <c r="A57" s="1">
        <v>93.0</v>
      </c>
      <c r="B57" s="1">
        <v>18794.0</v>
      </c>
      <c r="C57" s="23">
        <v>18.161</v>
      </c>
      <c r="D57" s="23">
        <v>16.31</v>
      </c>
      <c r="E57" s="23">
        <v>3.302</v>
      </c>
      <c r="F57" s="53">
        <v>1001.5</v>
      </c>
      <c r="G57" s="23">
        <v>0.575</v>
      </c>
      <c r="H57" s="23">
        <v>0.393</v>
      </c>
      <c r="I57" s="1">
        <v>298.6</v>
      </c>
      <c r="J57" s="1">
        <v>408.6</v>
      </c>
      <c r="K57" s="1">
        <v>28179.0</v>
      </c>
      <c r="L57" s="1">
        <v>100.0</v>
      </c>
      <c r="M57" s="23">
        <v>15.54</v>
      </c>
      <c r="N57" s="23">
        <f t="shared" si="6"/>
        <v>0.393</v>
      </c>
    </row>
    <row r="58">
      <c r="A58" s="1">
        <v>95.0</v>
      </c>
      <c r="B58" s="1">
        <v>18794.0</v>
      </c>
      <c r="C58" s="23">
        <v>19.017</v>
      </c>
      <c r="D58" s="23">
        <v>16.454</v>
      </c>
      <c r="E58" s="23">
        <v>3.222</v>
      </c>
      <c r="F58" s="53">
        <v>1040.8</v>
      </c>
      <c r="G58" s="23">
        <v>0.588</v>
      </c>
      <c r="H58" s="23">
        <v>0.393</v>
      </c>
      <c r="I58" s="1">
        <v>298.6</v>
      </c>
      <c r="J58" s="1">
        <v>447.8</v>
      </c>
      <c r="K58" s="1">
        <v>28179.0</v>
      </c>
      <c r="L58" s="1">
        <v>100.0</v>
      </c>
      <c r="M58" s="23">
        <v>15.422</v>
      </c>
      <c r="N58" s="23">
        <f t="shared" si="6"/>
        <v>0.393</v>
      </c>
    </row>
    <row r="59">
      <c r="A59" s="1">
        <v>97.0</v>
      </c>
      <c r="B59" s="1">
        <v>18794.0</v>
      </c>
      <c r="C59" s="23">
        <v>16.078</v>
      </c>
      <c r="D59" s="23">
        <v>16.462</v>
      </c>
      <c r="E59" s="23">
        <v>3.472</v>
      </c>
      <c r="F59" s="53">
        <v>1040.8</v>
      </c>
      <c r="G59" s="23">
        <v>0.614</v>
      </c>
      <c r="H59" s="23">
        <v>0.393</v>
      </c>
      <c r="I59" s="1">
        <v>298.6</v>
      </c>
      <c r="J59" s="1">
        <v>529.8</v>
      </c>
      <c r="K59" s="1">
        <v>28179.0</v>
      </c>
      <c r="L59" s="1">
        <v>100.0</v>
      </c>
      <c r="M59" s="23">
        <v>15.422</v>
      </c>
      <c r="N59" s="23">
        <f t="shared" si="6"/>
        <v>0.393</v>
      </c>
    </row>
    <row r="60">
      <c r="A60" s="1">
        <v>99.0</v>
      </c>
      <c r="B60" s="1">
        <v>18794.0</v>
      </c>
      <c r="C60" s="23">
        <v>16.653</v>
      </c>
      <c r="D60" s="23">
        <v>15.569</v>
      </c>
      <c r="E60" s="23">
        <v>3.472</v>
      </c>
      <c r="F60" s="53">
        <v>1025.8</v>
      </c>
      <c r="G60" s="23">
        <v>0.614</v>
      </c>
      <c r="H60" s="23">
        <v>0.393</v>
      </c>
      <c r="I60" s="1">
        <v>298.6</v>
      </c>
      <c r="J60" s="1">
        <v>529.8</v>
      </c>
      <c r="K60" s="1">
        <v>28179.0</v>
      </c>
      <c r="L60" s="1">
        <v>100.0</v>
      </c>
      <c r="M60" s="23">
        <v>15.364</v>
      </c>
      <c r="N60" s="23">
        <f t="shared" si="6"/>
        <v>0.393</v>
      </c>
    </row>
    <row r="61">
      <c r="A61" s="1">
        <v>101.0</v>
      </c>
      <c r="B61" s="1">
        <v>18794.0</v>
      </c>
      <c r="C61" s="23">
        <v>17.778</v>
      </c>
      <c r="D61" s="26">
        <v>15.919</v>
      </c>
      <c r="E61" s="23">
        <v>4.111</v>
      </c>
      <c r="F61" s="53">
        <v>1040.8</v>
      </c>
      <c r="G61" s="23">
        <v>0.614</v>
      </c>
      <c r="H61" s="23">
        <v>0.393</v>
      </c>
      <c r="I61" s="1">
        <v>298.6</v>
      </c>
      <c r="J61" s="1">
        <v>529.8</v>
      </c>
      <c r="K61" s="1">
        <v>28179.0</v>
      </c>
      <c r="L61" s="1">
        <v>100.0</v>
      </c>
      <c r="M61" s="23">
        <v>15.364</v>
      </c>
      <c r="N61" s="23">
        <f t="shared" si="6"/>
        <v>0.393</v>
      </c>
    </row>
    <row r="62">
      <c r="A62" s="1">
        <v>103.0</v>
      </c>
      <c r="B62" s="1">
        <v>18794.0</v>
      </c>
      <c r="C62" s="23">
        <v>17.738</v>
      </c>
      <c r="D62" s="26">
        <v>15.925</v>
      </c>
      <c r="E62" s="23">
        <v>4.111</v>
      </c>
      <c r="F62" s="53">
        <v>1040.8</v>
      </c>
      <c r="G62" s="23">
        <v>0.614</v>
      </c>
      <c r="H62" s="23">
        <v>0.383</v>
      </c>
      <c r="I62" s="1">
        <v>298.6</v>
      </c>
      <c r="J62" s="1">
        <v>529.8</v>
      </c>
      <c r="K62" s="1">
        <v>28179.0</v>
      </c>
      <c r="L62" s="1">
        <v>100.0</v>
      </c>
      <c r="M62" s="23">
        <v>15.392</v>
      </c>
      <c r="N62" s="23">
        <f t="shared" si="6"/>
        <v>0.383</v>
      </c>
    </row>
    <row r="63">
      <c r="A63" s="1">
        <v>105.0</v>
      </c>
      <c r="B63" s="1">
        <v>18794.0</v>
      </c>
      <c r="C63" s="23">
        <v>17.738</v>
      </c>
      <c r="D63" s="23">
        <v>15.925</v>
      </c>
      <c r="E63" s="23">
        <v>4.111</v>
      </c>
      <c r="F63" s="53">
        <v>1040.8</v>
      </c>
      <c r="G63" s="23">
        <v>0.614</v>
      </c>
      <c r="H63" s="23">
        <v>0.383</v>
      </c>
      <c r="I63" s="1">
        <v>298.6</v>
      </c>
      <c r="J63" s="1">
        <v>529.8</v>
      </c>
      <c r="K63" s="1">
        <v>28179.0</v>
      </c>
      <c r="L63" s="1">
        <v>100.0</v>
      </c>
      <c r="M63" s="23">
        <v>15.392</v>
      </c>
      <c r="N63" s="23">
        <f t="shared" si="6"/>
        <v>0.383</v>
      </c>
    </row>
    <row r="64">
      <c r="A64" s="1">
        <v>107.0</v>
      </c>
      <c r="B64" s="1">
        <v>18794.0</v>
      </c>
      <c r="C64" s="23">
        <v>17.727</v>
      </c>
      <c r="D64" s="26">
        <v>15.211</v>
      </c>
      <c r="E64" s="23">
        <v>4.111</v>
      </c>
      <c r="F64" s="53">
        <v>1005.8</v>
      </c>
      <c r="G64" s="23">
        <v>0.603</v>
      </c>
      <c r="H64" s="23">
        <v>0.383</v>
      </c>
      <c r="I64" s="1">
        <v>298.6</v>
      </c>
      <c r="J64" s="1">
        <v>494.8</v>
      </c>
      <c r="K64" s="1">
        <v>28179.0</v>
      </c>
      <c r="L64" s="1">
        <v>100.0</v>
      </c>
      <c r="M64" s="23">
        <v>15.392</v>
      </c>
      <c r="N64" s="23">
        <f t="shared" si="6"/>
        <v>0.383</v>
      </c>
    </row>
    <row r="65">
      <c r="A65" s="1">
        <v>109.0</v>
      </c>
      <c r="B65" s="1">
        <v>18794.0</v>
      </c>
      <c r="C65" s="26">
        <v>17.053</v>
      </c>
      <c r="D65" s="26">
        <v>15.203</v>
      </c>
      <c r="E65" s="23">
        <v>4.111</v>
      </c>
      <c r="F65" s="53">
        <v>1005.8</v>
      </c>
      <c r="G65" s="23">
        <v>0.603</v>
      </c>
      <c r="H65" s="23">
        <v>0.383</v>
      </c>
      <c r="I65" s="1">
        <v>298.6</v>
      </c>
      <c r="J65" s="1">
        <v>494.8</v>
      </c>
      <c r="K65" s="1">
        <v>28179.0</v>
      </c>
      <c r="L65" s="1">
        <v>100.0</v>
      </c>
      <c r="M65" s="23">
        <v>15.351</v>
      </c>
      <c r="N65" s="23">
        <f t="shared" si="6"/>
        <v>0.383</v>
      </c>
    </row>
    <row r="66">
      <c r="A66" s="1">
        <v>111.0</v>
      </c>
      <c r="B66" s="1">
        <v>17920.0</v>
      </c>
      <c r="C66" s="23">
        <v>17.542</v>
      </c>
      <c r="D66" s="23">
        <v>15.098</v>
      </c>
      <c r="E66" s="26">
        <v>4.111</v>
      </c>
      <c r="F66" s="53">
        <v>1005.8</v>
      </c>
      <c r="G66" s="23">
        <v>0.603</v>
      </c>
      <c r="H66" s="23">
        <v>0.376</v>
      </c>
      <c r="I66" s="1">
        <v>298.6</v>
      </c>
      <c r="J66" s="1">
        <v>494.8</v>
      </c>
      <c r="K66" s="1">
        <v>26868.0</v>
      </c>
      <c r="L66" s="1">
        <v>100.0</v>
      </c>
      <c r="M66" s="23">
        <v>15.351</v>
      </c>
      <c r="N66" s="23">
        <f t="shared" si="6"/>
        <v>0.376</v>
      </c>
    </row>
    <row r="67">
      <c r="A67" s="1">
        <v>113.0</v>
      </c>
      <c r="B67" s="1">
        <v>17920.0</v>
      </c>
      <c r="C67" s="23">
        <v>17.431</v>
      </c>
      <c r="D67" s="23">
        <v>15.026</v>
      </c>
      <c r="E67" s="23">
        <v>3.959</v>
      </c>
      <c r="F67" s="53">
        <v>990.8</v>
      </c>
      <c r="G67" s="23">
        <v>0.603</v>
      </c>
      <c r="H67" s="23">
        <v>0.393</v>
      </c>
      <c r="I67" s="1">
        <v>298.6</v>
      </c>
      <c r="J67" s="1">
        <v>494.8</v>
      </c>
      <c r="K67" s="1">
        <v>26868.0</v>
      </c>
      <c r="L67" s="1">
        <v>100.0</v>
      </c>
      <c r="M67" s="23">
        <v>15.387</v>
      </c>
      <c r="N67" s="23">
        <f t="shared" si="6"/>
        <v>0.393</v>
      </c>
    </row>
    <row r="68">
      <c r="A68" s="1">
        <v>115.0</v>
      </c>
      <c r="B68" s="1">
        <v>17920.0</v>
      </c>
      <c r="C68" s="23">
        <v>17.712</v>
      </c>
      <c r="D68" s="23">
        <v>15.236</v>
      </c>
      <c r="E68" s="23">
        <v>3.959</v>
      </c>
      <c r="F68" s="53">
        <v>1040.8</v>
      </c>
      <c r="G68" s="23">
        <v>0.588</v>
      </c>
      <c r="H68" s="23">
        <v>0.393</v>
      </c>
      <c r="I68" s="1">
        <v>298.6</v>
      </c>
      <c r="J68" s="1">
        <v>447.8</v>
      </c>
      <c r="K68" s="1">
        <v>26868.0</v>
      </c>
      <c r="L68" s="1">
        <v>100.0</v>
      </c>
      <c r="M68" s="23">
        <v>15.387</v>
      </c>
      <c r="N68" s="23">
        <f t="shared" si="6"/>
        <v>0.393</v>
      </c>
    </row>
    <row r="69">
      <c r="A69" s="1">
        <v>117.0</v>
      </c>
      <c r="B69" s="1">
        <v>17920.0</v>
      </c>
      <c r="C69" s="23">
        <v>15.756</v>
      </c>
      <c r="D69" s="23">
        <v>15.236</v>
      </c>
      <c r="E69" s="23">
        <v>3.959</v>
      </c>
      <c r="F69" s="53">
        <v>1040.8</v>
      </c>
      <c r="G69" s="23">
        <v>0.588</v>
      </c>
      <c r="H69" s="23">
        <v>0.393</v>
      </c>
      <c r="I69" s="1">
        <v>298.6</v>
      </c>
      <c r="J69" s="1">
        <v>447.8</v>
      </c>
      <c r="K69" s="1">
        <v>26868.0</v>
      </c>
      <c r="L69" s="1">
        <v>100.0</v>
      </c>
      <c r="M69" s="23">
        <v>15.388</v>
      </c>
      <c r="N69" s="23">
        <f t="shared" si="6"/>
        <v>0.393</v>
      </c>
    </row>
    <row r="70">
      <c r="A70" s="1">
        <v>119.0</v>
      </c>
      <c r="B70" s="1">
        <v>17920.0</v>
      </c>
      <c r="C70" s="23">
        <v>16.546</v>
      </c>
      <c r="D70" s="23">
        <v>15.24</v>
      </c>
      <c r="E70" s="23">
        <v>4.09</v>
      </c>
      <c r="F70" s="53">
        <v>1040.8</v>
      </c>
      <c r="G70" s="23">
        <v>0.588</v>
      </c>
      <c r="H70" s="23">
        <v>0.393</v>
      </c>
      <c r="I70" s="1">
        <v>298.6</v>
      </c>
      <c r="J70" s="1">
        <v>447.8</v>
      </c>
      <c r="K70" s="1">
        <v>26868.0</v>
      </c>
      <c r="L70" s="1">
        <v>100.0</v>
      </c>
      <c r="M70" s="23">
        <v>15.388</v>
      </c>
      <c r="N70" s="23">
        <f t="shared" si="6"/>
        <v>0.393</v>
      </c>
    </row>
    <row r="71">
      <c r="A71" s="1">
        <v>121.0</v>
      </c>
      <c r="B71" s="1">
        <v>17920.0</v>
      </c>
      <c r="C71" s="26">
        <v>16.546</v>
      </c>
      <c r="D71" s="23">
        <v>15.193</v>
      </c>
      <c r="E71" s="23">
        <v>3.032</v>
      </c>
      <c r="F71" s="53">
        <v>1040.8</v>
      </c>
      <c r="G71" s="23">
        <v>0.588</v>
      </c>
      <c r="H71" s="23">
        <v>0.393</v>
      </c>
      <c r="I71" s="1">
        <v>298.6</v>
      </c>
      <c r="J71" s="1">
        <v>447.8</v>
      </c>
      <c r="K71" s="1">
        <v>26868.0</v>
      </c>
      <c r="L71" s="1">
        <v>100.0</v>
      </c>
      <c r="M71" s="23">
        <v>15.389</v>
      </c>
      <c r="N71" s="23">
        <f t="shared" si="6"/>
        <v>0.393</v>
      </c>
    </row>
    <row r="72">
      <c r="A72" s="1">
        <v>123.0</v>
      </c>
      <c r="B72" s="1">
        <v>17920.0</v>
      </c>
      <c r="C72" s="23">
        <v>16.546</v>
      </c>
      <c r="D72" s="23">
        <v>15.193</v>
      </c>
      <c r="E72" s="23">
        <v>3.032</v>
      </c>
      <c r="F72" s="53">
        <v>1040.8</v>
      </c>
      <c r="G72" s="23">
        <v>0.588</v>
      </c>
      <c r="H72" s="23">
        <v>0.393</v>
      </c>
      <c r="I72" s="1">
        <v>298.6</v>
      </c>
      <c r="J72" s="1">
        <v>447.8</v>
      </c>
      <c r="K72" s="1">
        <v>26868.0</v>
      </c>
      <c r="L72" s="1">
        <v>100.0</v>
      </c>
      <c r="M72" s="23">
        <v>15.389</v>
      </c>
      <c r="N72" s="23">
        <f t="shared" si="6"/>
        <v>0.393</v>
      </c>
    </row>
    <row r="73">
      <c r="A73" s="1">
        <v>125.0</v>
      </c>
      <c r="B73" s="1">
        <v>17920.0</v>
      </c>
      <c r="C73" s="23">
        <v>15.931</v>
      </c>
      <c r="D73" s="23">
        <v>14.661</v>
      </c>
      <c r="E73" s="23">
        <v>3.032</v>
      </c>
      <c r="F73" s="53">
        <v>1040.8</v>
      </c>
      <c r="G73" s="23">
        <v>0.588</v>
      </c>
      <c r="H73" s="23">
        <v>0.393</v>
      </c>
      <c r="I73" s="1">
        <v>298.6</v>
      </c>
      <c r="J73" s="1">
        <v>447.8</v>
      </c>
      <c r="K73" s="1">
        <v>26868.0</v>
      </c>
      <c r="L73" s="1">
        <v>100.0</v>
      </c>
      <c r="M73" s="23">
        <v>15.35</v>
      </c>
      <c r="N73" s="23">
        <f t="shared" si="6"/>
        <v>0.393</v>
      </c>
    </row>
    <row r="74">
      <c r="A74" s="1">
        <v>127.0</v>
      </c>
      <c r="B74" s="1">
        <v>18794.0</v>
      </c>
      <c r="C74" s="23">
        <v>16.209</v>
      </c>
      <c r="D74" s="23">
        <v>15.367</v>
      </c>
      <c r="E74" s="23">
        <v>3.072</v>
      </c>
      <c r="F74" s="53">
        <v>1025.8</v>
      </c>
      <c r="G74" s="23">
        <v>0.588</v>
      </c>
      <c r="H74" s="23">
        <v>0.393</v>
      </c>
      <c r="I74" s="1">
        <v>298.6</v>
      </c>
      <c r="J74" s="1">
        <v>447.8</v>
      </c>
      <c r="K74" s="1">
        <v>28179.0</v>
      </c>
      <c r="L74" s="1">
        <v>100.0</v>
      </c>
      <c r="M74" s="23">
        <v>15.35</v>
      </c>
      <c r="N74" s="23">
        <f t="shared" si="6"/>
        <v>0.393</v>
      </c>
    </row>
    <row r="75">
      <c r="A75" s="1">
        <v>129.0</v>
      </c>
      <c r="B75" s="1">
        <v>18484.0</v>
      </c>
      <c r="C75" s="23">
        <v>16.554</v>
      </c>
      <c r="D75" s="23">
        <v>15.119</v>
      </c>
      <c r="E75" s="23">
        <v>3.072</v>
      </c>
      <c r="F75" s="53">
        <v>1025.8</v>
      </c>
      <c r="G75" s="23">
        <v>0.614</v>
      </c>
      <c r="H75" s="23">
        <v>0.393</v>
      </c>
      <c r="I75" s="1">
        <v>298.6</v>
      </c>
      <c r="J75" s="1">
        <v>529.8</v>
      </c>
      <c r="K75" s="1">
        <v>28179.0</v>
      </c>
      <c r="L75" s="1">
        <v>100.0</v>
      </c>
      <c r="M75" s="23">
        <v>15.322</v>
      </c>
      <c r="N75" s="23">
        <f t="shared" si="6"/>
        <v>0.393</v>
      </c>
    </row>
    <row r="76">
      <c r="A76" s="1">
        <v>131.0</v>
      </c>
      <c r="B76" s="1">
        <v>18794.0</v>
      </c>
      <c r="C76" s="23">
        <v>17.422</v>
      </c>
      <c r="D76" s="23">
        <v>15.178</v>
      </c>
      <c r="E76" s="23">
        <v>3.492</v>
      </c>
      <c r="F76" s="53">
        <v>1025.8</v>
      </c>
      <c r="G76" s="23">
        <v>0.614</v>
      </c>
      <c r="H76" s="23">
        <v>1.394</v>
      </c>
      <c r="I76" s="1">
        <v>298.6</v>
      </c>
      <c r="J76" s="1">
        <v>529.8</v>
      </c>
      <c r="K76" s="1">
        <v>28179.0</v>
      </c>
      <c r="L76" s="1">
        <v>100.0</v>
      </c>
      <c r="M76" s="23">
        <v>15.322</v>
      </c>
      <c r="N76" s="23">
        <f t="shared" si="6"/>
        <v>1</v>
      </c>
    </row>
    <row r="77">
      <c r="A77" s="1">
        <v>133.0</v>
      </c>
      <c r="B77" s="1">
        <v>18794.0</v>
      </c>
      <c r="C77" s="23">
        <v>17.035</v>
      </c>
      <c r="D77" s="23">
        <v>15.561</v>
      </c>
      <c r="E77" s="23">
        <v>3.492</v>
      </c>
      <c r="F77" s="53">
        <v>1025.8</v>
      </c>
      <c r="G77" s="23">
        <v>0.614</v>
      </c>
      <c r="H77" s="23">
        <v>1.384</v>
      </c>
      <c r="I77" s="1">
        <v>298.6</v>
      </c>
      <c r="J77" s="1">
        <v>529.8</v>
      </c>
      <c r="K77" s="1">
        <v>28179.0</v>
      </c>
      <c r="L77" s="1">
        <v>100.0</v>
      </c>
      <c r="M77" s="23">
        <v>15.322</v>
      </c>
      <c r="N77" s="23">
        <f t="shared" si="6"/>
        <v>1</v>
      </c>
    </row>
    <row r="78">
      <c r="A78" s="1">
        <v>135.0</v>
      </c>
      <c r="B78" s="1">
        <v>18794.0</v>
      </c>
      <c r="C78" s="23">
        <v>17.041</v>
      </c>
      <c r="D78" s="23">
        <v>16.664</v>
      </c>
      <c r="E78" s="23">
        <v>3.122</v>
      </c>
      <c r="F78" s="53">
        <v>1005.8</v>
      </c>
      <c r="G78" s="23">
        <v>0.603</v>
      </c>
      <c r="H78" s="23">
        <v>0.383</v>
      </c>
      <c r="I78" s="1">
        <v>298.6</v>
      </c>
      <c r="J78" s="1">
        <v>494.8</v>
      </c>
      <c r="K78" s="1">
        <v>28179.0</v>
      </c>
      <c r="L78" s="1">
        <v>100.0</v>
      </c>
      <c r="M78" s="23">
        <v>15.44</v>
      </c>
      <c r="N78" s="23">
        <f t="shared" si="6"/>
        <v>0.383</v>
      </c>
    </row>
    <row r="79">
      <c r="A79" s="1">
        <v>137.0</v>
      </c>
      <c r="B79" s="1">
        <v>18794.0</v>
      </c>
      <c r="C79" s="23">
        <v>17.054</v>
      </c>
      <c r="D79" s="23">
        <v>17.544</v>
      </c>
      <c r="E79" s="23">
        <v>3.122</v>
      </c>
      <c r="F79" s="53">
        <v>1005.8</v>
      </c>
      <c r="G79" s="23">
        <v>0.603</v>
      </c>
      <c r="H79" s="23">
        <v>0.383</v>
      </c>
      <c r="I79" s="1">
        <v>298.6</v>
      </c>
      <c r="J79" s="1">
        <v>494.8</v>
      </c>
      <c r="K79" s="1">
        <v>28179.0</v>
      </c>
      <c r="L79" s="1">
        <v>100.0</v>
      </c>
      <c r="M79" s="23">
        <v>15.44</v>
      </c>
      <c r="N79" s="23">
        <f t="shared" si="6"/>
        <v>0.383</v>
      </c>
    </row>
    <row r="80">
      <c r="A80" s="1">
        <v>139.0</v>
      </c>
      <c r="B80" s="1">
        <v>18794.0</v>
      </c>
      <c r="C80" s="23">
        <v>16.461</v>
      </c>
      <c r="D80" s="23">
        <v>17.575</v>
      </c>
      <c r="E80" s="23">
        <v>3.122</v>
      </c>
      <c r="F80" s="53">
        <v>1005.8</v>
      </c>
      <c r="G80" s="23">
        <v>0.603</v>
      </c>
      <c r="H80" s="23">
        <v>0.383</v>
      </c>
      <c r="I80" s="1">
        <v>298.6</v>
      </c>
      <c r="J80" s="1">
        <v>494.8</v>
      </c>
      <c r="K80" s="1">
        <v>28179.0</v>
      </c>
      <c r="L80" s="1">
        <v>100.0</v>
      </c>
      <c r="M80" s="23">
        <v>15.582</v>
      </c>
      <c r="N80" s="23">
        <f t="shared" si="6"/>
        <v>0.383</v>
      </c>
    </row>
    <row r="81">
      <c r="A81" s="1">
        <v>141.0</v>
      </c>
      <c r="B81" s="1">
        <v>18794.0</v>
      </c>
      <c r="C81" s="23">
        <v>17.08</v>
      </c>
      <c r="D81" s="23">
        <v>16.486</v>
      </c>
      <c r="E81" s="23">
        <v>3.122</v>
      </c>
      <c r="F81" s="53">
        <v>1005.8</v>
      </c>
      <c r="G81" s="23">
        <v>0.603</v>
      </c>
      <c r="H81" s="23">
        <v>0.383</v>
      </c>
      <c r="I81" s="1">
        <v>298.6</v>
      </c>
      <c r="J81" s="1">
        <v>494.8</v>
      </c>
      <c r="K81" s="1">
        <v>28179.0</v>
      </c>
      <c r="L81" s="1">
        <v>100.0</v>
      </c>
      <c r="M81" s="23">
        <v>15.582</v>
      </c>
      <c r="N81" s="23">
        <f t="shared" si="6"/>
        <v>0.383</v>
      </c>
    </row>
    <row r="82">
      <c r="A82" s="1">
        <v>144.0</v>
      </c>
      <c r="B82" s="1">
        <v>20542.0</v>
      </c>
      <c r="C82" s="23">
        <v>18.576</v>
      </c>
      <c r="D82" s="23">
        <v>17.727</v>
      </c>
      <c r="E82" s="23">
        <v>3.202</v>
      </c>
      <c r="F82" s="53">
        <v>1005.8</v>
      </c>
      <c r="G82" s="23">
        <v>0.603</v>
      </c>
      <c r="H82" s="23">
        <v>0.383</v>
      </c>
      <c r="I82" s="1">
        <v>298.6</v>
      </c>
      <c r="J82" s="1">
        <v>494.8</v>
      </c>
      <c r="K82" s="1">
        <v>30800.0</v>
      </c>
      <c r="L82" s="1">
        <v>100.0</v>
      </c>
      <c r="M82" s="23">
        <v>15.498</v>
      </c>
      <c r="N82" s="23">
        <f t="shared" si="6"/>
        <v>0.383</v>
      </c>
    </row>
    <row r="83">
      <c r="A83" s="1">
        <v>146.0</v>
      </c>
      <c r="B83" s="1">
        <v>25787.0</v>
      </c>
      <c r="C83" s="23">
        <v>20.202</v>
      </c>
      <c r="D83" s="23">
        <v>19.145</v>
      </c>
      <c r="E83" s="23">
        <v>3.362</v>
      </c>
      <c r="F83" s="53">
        <v>1005.8</v>
      </c>
      <c r="G83" s="23">
        <v>0.603</v>
      </c>
      <c r="H83" s="23">
        <v>0.383</v>
      </c>
      <c r="I83" s="1">
        <v>298.6</v>
      </c>
      <c r="J83" s="1">
        <v>494.8</v>
      </c>
      <c r="K83" s="1">
        <v>38664.0</v>
      </c>
      <c r="L83" s="1">
        <v>100.0</v>
      </c>
      <c r="M83" s="23">
        <v>15.498</v>
      </c>
      <c r="N83" s="23">
        <f t="shared" si="6"/>
        <v>0.383</v>
      </c>
    </row>
    <row r="84">
      <c r="A84" s="1">
        <v>148.0</v>
      </c>
      <c r="B84" s="1">
        <v>25787.0</v>
      </c>
      <c r="C84" s="23">
        <v>20.002</v>
      </c>
      <c r="D84" s="23">
        <v>20.377</v>
      </c>
      <c r="E84" s="23">
        <v>3.432</v>
      </c>
      <c r="F84" s="53">
        <v>1005.8</v>
      </c>
      <c r="G84" s="23">
        <v>0.576</v>
      </c>
      <c r="H84" s="23">
        <v>0.383</v>
      </c>
      <c r="I84" s="1">
        <v>298.6</v>
      </c>
      <c r="J84" s="1">
        <v>412.8</v>
      </c>
      <c r="K84" s="1">
        <v>38664.0</v>
      </c>
      <c r="L84" s="1">
        <v>100.0</v>
      </c>
      <c r="M84" s="23">
        <v>15.777</v>
      </c>
      <c r="N84" s="23">
        <f t="shared" si="6"/>
        <v>0.383</v>
      </c>
    </row>
    <row r="85">
      <c r="A85" s="1">
        <v>150.0</v>
      </c>
      <c r="B85" s="1">
        <v>25787.0</v>
      </c>
      <c r="C85" s="23">
        <v>20.389</v>
      </c>
      <c r="D85" s="23">
        <v>19.827</v>
      </c>
      <c r="E85" s="23">
        <v>3.432</v>
      </c>
      <c r="F85" s="53">
        <v>1005.8</v>
      </c>
      <c r="G85" s="23">
        <v>0.576</v>
      </c>
      <c r="H85" s="23">
        <v>0.383</v>
      </c>
      <c r="I85" s="1">
        <v>298.6</v>
      </c>
      <c r="J85" s="1">
        <v>412.8</v>
      </c>
      <c r="K85" s="1">
        <v>38664.0</v>
      </c>
      <c r="L85" s="1">
        <v>99.0</v>
      </c>
      <c r="M85" s="23">
        <v>15.777</v>
      </c>
      <c r="N85" s="23">
        <f t="shared" si="6"/>
        <v>0.383</v>
      </c>
    </row>
    <row r="86">
      <c r="A86" s="1">
        <v>152.0</v>
      </c>
      <c r="B86" s="1">
        <v>25787.0</v>
      </c>
      <c r="C86" s="23">
        <v>16.642</v>
      </c>
      <c r="D86" s="23">
        <v>20.143</v>
      </c>
      <c r="E86" s="23">
        <v>3.432</v>
      </c>
      <c r="F86" s="53">
        <v>1001.5</v>
      </c>
      <c r="G86" s="23">
        <v>0.575</v>
      </c>
      <c r="H86" s="23">
        <v>0.393</v>
      </c>
      <c r="I86" s="1">
        <v>298.6</v>
      </c>
      <c r="J86" s="1">
        <v>408.6</v>
      </c>
      <c r="K86" s="1">
        <v>38664.0</v>
      </c>
      <c r="L86" s="1">
        <v>100.0</v>
      </c>
      <c r="M86" s="23">
        <v>15.711</v>
      </c>
      <c r="N86" s="23">
        <f t="shared" si="6"/>
        <v>0.393</v>
      </c>
    </row>
    <row r="87">
      <c r="A87" s="1">
        <v>154.0</v>
      </c>
      <c r="B87" s="1">
        <v>25787.0</v>
      </c>
      <c r="C87" s="23">
        <v>18.103</v>
      </c>
      <c r="D87" s="23">
        <v>20.143</v>
      </c>
      <c r="E87" s="23">
        <v>3.432</v>
      </c>
      <c r="F87" s="53">
        <v>1001.5</v>
      </c>
      <c r="G87" s="23">
        <v>0.575</v>
      </c>
      <c r="H87" s="23">
        <v>0.393</v>
      </c>
      <c r="I87" s="1">
        <v>298.6</v>
      </c>
      <c r="J87" s="1">
        <v>408.6</v>
      </c>
      <c r="K87" s="1">
        <v>38664.0</v>
      </c>
      <c r="L87" s="1">
        <v>100.0</v>
      </c>
      <c r="M87" s="23">
        <v>15.711</v>
      </c>
      <c r="N87" s="23">
        <f t="shared" si="6"/>
        <v>0.393</v>
      </c>
    </row>
    <row r="88">
      <c r="A88" s="1">
        <v>156.0</v>
      </c>
      <c r="B88" s="1">
        <v>25787.0</v>
      </c>
      <c r="C88" s="23">
        <v>18.103</v>
      </c>
      <c r="D88" s="23">
        <v>20.127</v>
      </c>
      <c r="E88" s="23">
        <v>3.432</v>
      </c>
      <c r="F88" s="53">
        <v>1001.5</v>
      </c>
      <c r="G88" s="23">
        <v>0.575</v>
      </c>
      <c r="H88" s="23">
        <v>0.393</v>
      </c>
      <c r="I88" s="1">
        <v>298.6</v>
      </c>
      <c r="J88" s="1">
        <v>408.6</v>
      </c>
      <c r="K88" s="1">
        <v>38664.0</v>
      </c>
      <c r="L88" s="1">
        <v>100.0</v>
      </c>
      <c r="M88" s="23">
        <v>15.642</v>
      </c>
      <c r="N88" s="23">
        <f t="shared" si="6"/>
        <v>0.393</v>
      </c>
    </row>
    <row r="89">
      <c r="A89" s="1">
        <v>158.0</v>
      </c>
      <c r="B89" s="1">
        <v>24039.0</v>
      </c>
      <c r="C89" s="23">
        <v>17.005</v>
      </c>
      <c r="D89" s="23">
        <v>19.027</v>
      </c>
      <c r="E89" s="23">
        <v>3.432</v>
      </c>
      <c r="F89" s="53">
        <v>1001.5</v>
      </c>
      <c r="G89" s="23">
        <v>0.575</v>
      </c>
      <c r="H89" s="23">
        <v>0.393</v>
      </c>
      <c r="I89" s="1">
        <v>298.6</v>
      </c>
      <c r="J89" s="1">
        <v>408.6</v>
      </c>
      <c r="K89" s="1">
        <v>36043.0</v>
      </c>
      <c r="L89" s="1">
        <v>100.0</v>
      </c>
      <c r="M89" s="23">
        <v>15.642</v>
      </c>
      <c r="N89" s="23">
        <f t="shared" si="6"/>
        <v>0.393</v>
      </c>
    </row>
    <row r="90">
      <c r="A90" s="1">
        <v>160.0</v>
      </c>
      <c r="B90" s="1">
        <v>22291.0</v>
      </c>
      <c r="C90" s="23">
        <v>15.544</v>
      </c>
      <c r="D90" s="23">
        <v>17.61</v>
      </c>
      <c r="E90" s="23">
        <v>3.282</v>
      </c>
      <c r="F90" s="53">
        <v>986.5</v>
      </c>
      <c r="G90" s="23">
        <v>0.568</v>
      </c>
      <c r="H90" s="23">
        <v>0.393</v>
      </c>
      <c r="I90" s="1">
        <v>298.6</v>
      </c>
      <c r="J90" s="1">
        <v>388.8</v>
      </c>
      <c r="K90" s="1">
        <v>33421.0</v>
      </c>
      <c r="L90" s="1">
        <v>100.0</v>
      </c>
      <c r="M90" s="23">
        <v>15.642</v>
      </c>
      <c r="N90" s="23">
        <f t="shared" si="6"/>
        <v>0.393</v>
      </c>
    </row>
    <row r="91">
      <c r="A91" s="1">
        <v>162.0</v>
      </c>
      <c r="B91" s="1">
        <v>18794.0</v>
      </c>
      <c r="C91" s="26">
        <v>15.903</v>
      </c>
      <c r="D91" s="23">
        <v>15.922</v>
      </c>
      <c r="E91" s="23">
        <v>3.122</v>
      </c>
      <c r="F91" s="53">
        <v>990.8</v>
      </c>
      <c r="G91" s="23">
        <v>0.57</v>
      </c>
      <c r="H91" s="23">
        <v>0.393</v>
      </c>
      <c r="I91" s="1">
        <v>298.6</v>
      </c>
      <c r="J91" s="1">
        <v>393.0</v>
      </c>
      <c r="K91" s="1">
        <v>28179.0</v>
      </c>
      <c r="L91" s="1">
        <v>100.0</v>
      </c>
      <c r="M91" s="23">
        <v>15.517</v>
      </c>
      <c r="N91" s="23">
        <f t="shared" si="6"/>
        <v>0.393</v>
      </c>
    </row>
    <row r="92">
      <c r="A92" s="1">
        <v>164.0</v>
      </c>
      <c r="B92" s="1">
        <v>18794.0</v>
      </c>
      <c r="C92" s="23">
        <v>15.88</v>
      </c>
      <c r="D92" s="23">
        <v>15.895</v>
      </c>
      <c r="E92" s="23">
        <v>2.702</v>
      </c>
      <c r="F92" s="53">
        <v>990.8</v>
      </c>
      <c r="G92" s="23">
        <v>0.597</v>
      </c>
      <c r="H92" s="23">
        <v>0.393</v>
      </c>
      <c r="I92" s="1">
        <v>298.6</v>
      </c>
      <c r="J92" s="1">
        <v>475.0</v>
      </c>
      <c r="K92" s="1">
        <v>28179.0</v>
      </c>
      <c r="L92" s="1">
        <v>99.0</v>
      </c>
      <c r="M92" s="26">
        <v>15.517</v>
      </c>
      <c r="N92" s="23">
        <f t="shared" si="6"/>
        <v>0.393</v>
      </c>
    </row>
    <row r="93">
      <c r="A93" s="1">
        <v>166.0</v>
      </c>
      <c r="B93" s="1">
        <v>18794.0</v>
      </c>
      <c r="C93" s="23">
        <v>16.665</v>
      </c>
      <c r="D93" s="23">
        <v>15.902</v>
      </c>
      <c r="E93" s="23">
        <v>3.242</v>
      </c>
      <c r="F93" s="53">
        <v>990.8</v>
      </c>
      <c r="G93" s="23">
        <v>0.603</v>
      </c>
      <c r="H93" s="23">
        <v>0.393</v>
      </c>
      <c r="I93" s="1">
        <v>298.6</v>
      </c>
      <c r="J93" s="1">
        <v>494.8</v>
      </c>
      <c r="K93" s="1">
        <v>28179.0</v>
      </c>
      <c r="L93" s="1">
        <v>100.0</v>
      </c>
      <c r="M93" s="26">
        <v>15.407</v>
      </c>
      <c r="N93" s="23">
        <f t="shared" si="6"/>
        <v>0.393</v>
      </c>
    </row>
    <row r="94">
      <c r="A94" s="1">
        <v>168.0</v>
      </c>
      <c r="B94" s="1">
        <v>18794.0</v>
      </c>
      <c r="C94" s="23">
        <v>16.628</v>
      </c>
      <c r="D94" s="23">
        <v>15.902</v>
      </c>
      <c r="E94" s="23">
        <v>3.242</v>
      </c>
      <c r="F94" s="53">
        <v>990.8</v>
      </c>
      <c r="G94" s="23">
        <v>0.603</v>
      </c>
      <c r="H94" s="23">
        <v>0.393</v>
      </c>
      <c r="I94" s="1">
        <v>298.6</v>
      </c>
      <c r="J94" s="1">
        <v>494.8</v>
      </c>
      <c r="K94" s="1">
        <v>28179.0</v>
      </c>
      <c r="L94" s="1">
        <v>100.0</v>
      </c>
      <c r="M94" s="23">
        <v>15.407</v>
      </c>
      <c r="N94" s="23">
        <f t="shared" si="6"/>
        <v>0.393</v>
      </c>
    </row>
    <row r="95">
      <c r="A95" s="1">
        <v>170.0</v>
      </c>
      <c r="B95" s="1">
        <v>18794.0</v>
      </c>
      <c r="C95" s="23">
        <v>16.621</v>
      </c>
      <c r="D95" s="23">
        <v>15.897</v>
      </c>
      <c r="E95" s="23">
        <v>3.242</v>
      </c>
      <c r="F95" s="61">
        <v>1005.8</v>
      </c>
      <c r="G95" s="23">
        <v>0.603</v>
      </c>
      <c r="H95" s="23">
        <v>0.393</v>
      </c>
      <c r="I95" s="1">
        <v>298.6</v>
      </c>
      <c r="J95" s="1">
        <v>494.8</v>
      </c>
      <c r="K95" s="1">
        <v>28179.0</v>
      </c>
      <c r="L95" s="1">
        <v>100.0</v>
      </c>
      <c r="M95" s="23">
        <v>15.385</v>
      </c>
      <c r="N95" s="23">
        <f t="shared" si="6"/>
        <v>0.393</v>
      </c>
    </row>
    <row r="96">
      <c r="A96" s="1">
        <v>172.0</v>
      </c>
      <c r="B96" s="1">
        <v>18794.0</v>
      </c>
      <c r="C96" s="23">
        <v>16.633</v>
      </c>
      <c r="D96" s="23">
        <v>15.897</v>
      </c>
      <c r="E96" s="23">
        <v>3.242</v>
      </c>
      <c r="F96" s="53">
        <v>1005.8</v>
      </c>
      <c r="G96" s="23">
        <v>0.603</v>
      </c>
      <c r="H96" s="23">
        <v>0.393</v>
      </c>
      <c r="I96" s="1">
        <v>298.6</v>
      </c>
      <c r="J96" s="1">
        <v>494.8</v>
      </c>
      <c r="K96" s="1">
        <v>28179.0</v>
      </c>
      <c r="L96" s="1">
        <v>100.0</v>
      </c>
      <c r="M96" s="23">
        <v>15.385</v>
      </c>
      <c r="N96" s="23">
        <f t="shared" si="6"/>
        <v>0.393</v>
      </c>
    </row>
    <row r="97">
      <c r="A97" s="1">
        <v>174.0</v>
      </c>
      <c r="B97" s="1">
        <v>18794.0</v>
      </c>
      <c r="C97" s="23">
        <v>16.608</v>
      </c>
      <c r="D97" s="23">
        <v>15.181</v>
      </c>
      <c r="E97" s="23">
        <v>3.242</v>
      </c>
      <c r="F97" s="53">
        <v>1005.8</v>
      </c>
      <c r="G97" s="23">
        <v>0.603</v>
      </c>
      <c r="H97" s="23">
        <v>0.383</v>
      </c>
      <c r="I97" s="1">
        <v>298.6</v>
      </c>
      <c r="J97" s="1">
        <v>494.8</v>
      </c>
      <c r="K97" s="1">
        <v>28179.0</v>
      </c>
      <c r="L97" s="1">
        <v>100.0</v>
      </c>
      <c r="M97" s="23">
        <v>15.379</v>
      </c>
      <c r="N97" s="23">
        <f t="shared" si="6"/>
        <v>0.383</v>
      </c>
    </row>
    <row r="98">
      <c r="A98" s="1">
        <v>176.0</v>
      </c>
      <c r="B98" s="1">
        <v>18484.0</v>
      </c>
      <c r="C98" s="26">
        <v>17.364</v>
      </c>
      <c r="D98" s="23">
        <v>15.122</v>
      </c>
      <c r="E98" s="23">
        <v>2.822</v>
      </c>
      <c r="F98" s="53">
        <v>1005.8</v>
      </c>
      <c r="G98" s="23">
        <v>0.603</v>
      </c>
      <c r="H98" s="23">
        <v>0.383</v>
      </c>
      <c r="I98" s="1">
        <v>298.6</v>
      </c>
      <c r="J98" s="1">
        <v>494.8</v>
      </c>
      <c r="K98" s="1">
        <v>28179.0</v>
      </c>
      <c r="L98" s="1">
        <v>100.0</v>
      </c>
      <c r="M98" s="23">
        <v>15.379</v>
      </c>
      <c r="N98" s="23">
        <f t="shared" si="6"/>
        <v>0.383</v>
      </c>
    </row>
    <row r="99">
      <c r="A99" s="1">
        <v>178.0</v>
      </c>
      <c r="B99" s="1">
        <v>18794.0</v>
      </c>
      <c r="C99" s="23">
        <v>17.402</v>
      </c>
      <c r="D99" s="23">
        <v>15.145</v>
      </c>
      <c r="E99" s="23">
        <v>2.822</v>
      </c>
      <c r="F99" s="53">
        <v>1005.8</v>
      </c>
      <c r="G99" s="23">
        <v>0.603</v>
      </c>
      <c r="H99" s="23">
        <v>0.383</v>
      </c>
      <c r="I99" s="1">
        <v>298.6</v>
      </c>
      <c r="J99" s="1">
        <v>494.8</v>
      </c>
      <c r="K99" s="1">
        <v>28179.0</v>
      </c>
      <c r="L99" s="1">
        <v>100.0</v>
      </c>
      <c r="M99" s="23">
        <v>15.331</v>
      </c>
      <c r="N99" s="23">
        <f t="shared" si="6"/>
        <v>0.383</v>
      </c>
    </row>
    <row r="100">
      <c r="A100" s="1">
        <v>180.0</v>
      </c>
      <c r="B100" s="1">
        <v>18794.0</v>
      </c>
      <c r="C100" s="23">
        <v>18.692</v>
      </c>
      <c r="D100" s="23">
        <v>16.191</v>
      </c>
      <c r="E100" s="23">
        <v>2.702</v>
      </c>
      <c r="F100" s="53">
        <v>1005.8</v>
      </c>
      <c r="G100" s="23">
        <v>0.603</v>
      </c>
      <c r="H100" s="23">
        <v>0.383</v>
      </c>
      <c r="I100" s="1">
        <v>298.6</v>
      </c>
      <c r="J100" s="1">
        <v>494.8</v>
      </c>
      <c r="K100" s="1">
        <v>28179.0</v>
      </c>
      <c r="L100" s="1">
        <v>100.0</v>
      </c>
      <c r="M100" s="23">
        <v>15.331</v>
      </c>
      <c r="N100" s="23">
        <f t="shared" si="6"/>
        <v>0.383</v>
      </c>
    </row>
    <row r="101">
      <c r="A101" s="1">
        <v>182.0</v>
      </c>
      <c r="B101" s="1">
        <v>17920.0</v>
      </c>
      <c r="C101" s="23">
        <v>17.823</v>
      </c>
      <c r="D101" s="23">
        <v>15.501</v>
      </c>
      <c r="E101" s="23">
        <v>2.662</v>
      </c>
      <c r="F101" s="53">
        <v>990.8</v>
      </c>
      <c r="G101" s="23">
        <v>0.576</v>
      </c>
      <c r="H101" s="23">
        <v>0.393</v>
      </c>
      <c r="I101" s="1">
        <v>298.6</v>
      </c>
      <c r="J101" s="1">
        <v>412.8</v>
      </c>
      <c r="K101" s="1">
        <v>26868.0</v>
      </c>
      <c r="L101" s="1">
        <v>100.0</v>
      </c>
      <c r="M101" s="23">
        <v>15.41</v>
      </c>
      <c r="N101" s="23">
        <f t="shared" si="6"/>
        <v>0.393</v>
      </c>
    </row>
    <row r="102">
      <c r="A102" s="1">
        <v>184.0</v>
      </c>
      <c r="B102" s="1">
        <v>17920.0</v>
      </c>
      <c r="C102" s="23">
        <v>17.823</v>
      </c>
      <c r="D102" s="23">
        <v>15.521</v>
      </c>
      <c r="E102" s="23">
        <v>3.229</v>
      </c>
      <c r="F102" s="53">
        <v>990.8</v>
      </c>
      <c r="G102" s="23">
        <v>0.576</v>
      </c>
      <c r="H102" s="23">
        <v>0.386</v>
      </c>
      <c r="I102" s="1">
        <v>298.6</v>
      </c>
      <c r="J102" s="1">
        <v>412.8</v>
      </c>
      <c r="K102" s="1">
        <v>26868.0</v>
      </c>
      <c r="L102" s="1">
        <v>100.0</v>
      </c>
      <c r="M102" s="23">
        <v>15.41</v>
      </c>
      <c r="N102" s="23">
        <f t="shared" si="6"/>
        <v>0.386</v>
      </c>
    </row>
    <row r="103">
      <c r="A103" s="1">
        <v>186.0</v>
      </c>
      <c r="B103" s="1">
        <v>17920.0</v>
      </c>
      <c r="C103" s="23">
        <v>17.847</v>
      </c>
      <c r="D103" s="23">
        <v>15.532</v>
      </c>
      <c r="E103" s="23">
        <v>3.338</v>
      </c>
      <c r="F103" s="53">
        <v>1005.8</v>
      </c>
      <c r="G103" s="23">
        <v>0.576</v>
      </c>
      <c r="H103" s="23">
        <v>0.386</v>
      </c>
      <c r="I103" s="1">
        <v>298.6</v>
      </c>
      <c r="J103" s="1">
        <v>412.8</v>
      </c>
      <c r="K103" s="1">
        <v>26868.0</v>
      </c>
      <c r="L103" s="1">
        <v>100.0</v>
      </c>
      <c r="M103" s="23">
        <v>15.453</v>
      </c>
      <c r="N103" s="23">
        <f t="shared" si="6"/>
        <v>0.386</v>
      </c>
    </row>
    <row r="104">
      <c r="A104" s="1">
        <v>188.0</v>
      </c>
      <c r="B104" s="1">
        <v>17920.0</v>
      </c>
      <c r="C104" s="23">
        <v>17.228</v>
      </c>
      <c r="D104" s="23">
        <v>15.541</v>
      </c>
      <c r="E104" s="23">
        <v>3.61</v>
      </c>
      <c r="F104" s="53">
        <v>1005.8</v>
      </c>
      <c r="G104" s="23">
        <v>0.576</v>
      </c>
      <c r="H104" s="23">
        <v>0.386</v>
      </c>
      <c r="I104" s="1">
        <v>298.6</v>
      </c>
      <c r="J104" s="1">
        <v>412.8</v>
      </c>
      <c r="K104" s="1">
        <v>26868.0</v>
      </c>
      <c r="L104" s="1">
        <v>100.0</v>
      </c>
      <c r="M104" s="23">
        <v>15.453</v>
      </c>
      <c r="N104" s="23">
        <f t="shared" si="6"/>
        <v>0.386</v>
      </c>
    </row>
    <row r="105">
      <c r="A105" s="1">
        <v>190.0</v>
      </c>
      <c r="B105" s="1">
        <v>17920.0</v>
      </c>
      <c r="C105" s="23">
        <v>16.454</v>
      </c>
      <c r="D105" s="23">
        <v>14.911</v>
      </c>
      <c r="E105" s="23">
        <v>3.61</v>
      </c>
      <c r="F105" s="53">
        <v>1005.8</v>
      </c>
      <c r="G105" s="23">
        <v>0.576</v>
      </c>
      <c r="H105" s="23">
        <v>0.386</v>
      </c>
      <c r="I105" s="1">
        <v>298.6</v>
      </c>
      <c r="J105" s="1">
        <v>412.8</v>
      </c>
      <c r="K105" s="1">
        <v>26868.0</v>
      </c>
      <c r="L105" s="1">
        <v>100.0</v>
      </c>
      <c r="M105" s="23">
        <v>15.453</v>
      </c>
      <c r="N105" s="23">
        <f t="shared" si="6"/>
        <v>0.386</v>
      </c>
    </row>
    <row r="106">
      <c r="A106" s="1">
        <v>192.0</v>
      </c>
      <c r="B106" s="1">
        <v>17920.0</v>
      </c>
      <c r="C106" s="23">
        <v>16.854</v>
      </c>
      <c r="D106" s="23">
        <v>15.245</v>
      </c>
      <c r="E106" s="23">
        <v>4.068</v>
      </c>
      <c r="F106" s="53">
        <v>1005.8</v>
      </c>
      <c r="G106" s="23">
        <v>0.576</v>
      </c>
      <c r="H106" s="23">
        <v>1.386</v>
      </c>
      <c r="I106" s="1">
        <v>298.6</v>
      </c>
      <c r="J106" s="1">
        <v>412.8</v>
      </c>
      <c r="K106" s="1">
        <v>26868.0</v>
      </c>
      <c r="L106" s="1">
        <v>100.0</v>
      </c>
      <c r="M106" s="23">
        <v>15.413</v>
      </c>
      <c r="N106" s="23">
        <f t="shared" si="6"/>
        <v>1</v>
      </c>
    </row>
    <row r="107">
      <c r="A107" s="1">
        <v>194.0</v>
      </c>
      <c r="B107" s="1">
        <v>17920.0</v>
      </c>
      <c r="C107" s="23">
        <v>17.241</v>
      </c>
      <c r="D107" s="23">
        <v>15.035</v>
      </c>
      <c r="E107" s="23">
        <v>4.068</v>
      </c>
      <c r="F107" s="53">
        <v>1005.8</v>
      </c>
      <c r="G107" s="23">
        <v>0.576</v>
      </c>
      <c r="H107" s="23">
        <v>1.394</v>
      </c>
      <c r="I107" s="1">
        <v>298.6</v>
      </c>
      <c r="J107" s="1">
        <v>412.8</v>
      </c>
      <c r="K107" s="1">
        <v>26868.0</v>
      </c>
      <c r="L107" s="1">
        <v>100.0</v>
      </c>
      <c r="M107" s="23">
        <v>15.413</v>
      </c>
      <c r="N107" s="23">
        <f t="shared" si="6"/>
        <v>1</v>
      </c>
    </row>
    <row r="108">
      <c r="A108" s="1">
        <v>196.0</v>
      </c>
      <c r="B108" s="1">
        <v>18794.0</v>
      </c>
      <c r="C108" s="23">
        <v>15.104</v>
      </c>
      <c r="D108" s="23">
        <v>15.914</v>
      </c>
      <c r="E108" s="23">
        <v>4.111</v>
      </c>
      <c r="F108" s="53">
        <v>1005.8</v>
      </c>
      <c r="G108" s="23">
        <v>0.603</v>
      </c>
      <c r="H108" s="23">
        <v>1.394</v>
      </c>
      <c r="I108" s="1">
        <v>298.6</v>
      </c>
      <c r="J108" s="1">
        <v>494.8</v>
      </c>
      <c r="K108" s="1">
        <v>28179.0</v>
      </c>
      <c r="L108" s="1">
        <v>100.0</v>
      </c>
      <c r="M108" s="23">
        <v>15.343</v>
      </c>
      <c r="N108" s="23">
        <f t="shared" si="6"/>
        <v>1</v>
      </c>
    </row>
    <row r="109">
      <c r="A109" s="1">
        <v>198.0</v>
      </c>
      <c r="B109" s="1">
        <v>18794.0</v>
      </c>
      <c r="C109" s="23">
        <v>15.932</v>
      </c>
      <c r="D109" s="23">
        <v>15.914</v>
      </c>
      <c r="E109" s="23">
        <v>4.111</v>
      </c>
      <c r="F109" s="53">
        <v>990.8</v>
      </c>
      <c r="G109" s="23">
        <v>0.603</v>
      </c>
      <c r="H109" s="23">
        <v>0.383</v>
      </c>
      <c r="I109" s="1">
        <v>298.6</v>
      </c>
      <c r="J109" s="1">
        <v>494.8</v>
      </c>
      <c r="K109" s="1">
        <v>28179.0</v>
      </c>
      <c r="L109" s="1">
        <v>100.0</v>
      </c>
      <c r="M109" s="23">
        <v>15.343</v>
      </c>
      <c r="N109" s="23">
        <f t="shared" si="6"/>
        <v>0.383</v>
      </c>
    </row>
    <row r="110">
      <c r="A110" s="1">
        <v>200.0</v>
      </c>
      <c r="B110" s="1">
        <v>18794.0</v>
      </c>
      <c r="C110" s="23">
        <v>15.956</v>
      </c>
      <c r="D110" s="23">
        <v>15.933</v>
      </c>
      <c r="E110" s="23">
        <v>4.111</v>
      </c>
      <c r="F110" s="53">
        <v>990.8</v>
      </c>
      <c r="G110" s="23">
        <v>0.603</v>
      </c>
      <c r="H110" s="23">
        <v>0.383</v>
      </c>
      <c r="I110" s="1">
        <v>298.6</v>
      </c>
      <c r="J110" s="1">
        <v>494.8</v>
      </c>
      <c r="K110" s="1">
        <v>28179.0</v>
      </c>
      <c r="L110" s="1">
        <v>100.0</v>
      </c>
      <c r="M110" s="23">
        <v>15.429</v>
      </c>
      <c r="N110" s="23">
        <f t="shared" si="6"/>
        <v>0.383</v>
      </c>
    </row>
    <row r="111">
      <c r="A111" s="1">
        <v>202.0</v>
      </c>
      <c r="B111" s="1">
        <v>18794.0</v>
      </c>
      <c r="C111" s="23">
        <v>15.979</v>
      </c>
      <c r="D111" s="23">
        <v>15.906</v>
      </c>
      <c r="E111" s="23">
        <v>3.654</v>
      </c>
      <c r="F111" s="53">
        <v>990.8</v>
      </c>
      <c r="G111" s="23">
        <v>0.603</v>
      </c>
      <c r="H111" s="23">
        <v>1.384</v>
      </c>
      <c r="I111" s="1">
        <v>298.6</v>
      </c>
      <c r="J111" s="1">
        <v>494.8</v>
      </c>
      <c r="K111" s="1">
        <v>28179.0</v>
      </c>
      <c r="L111" s="1">
        <v>100.0</v>
      </c>
      <c r="M111" s="23">
        <v>15.429</v>
      </c>
      <c r="N111" s="23">
        <f t="shared" si="6"/>
        <v>1</v>
      </c>
    </row>
    <row r="112">
      <c r="A112" s="1">
        <v>204.0</v>
      </c>
      <c r="B112" s="1">
        <v>18794.0</v>
      </c>
      <c r="C112" s="23">
        <v>15.844</v>
      </c>
      <c r="D112" s="23">
        <v>15.893</v>
      </c>
      <c r="E112" s="23">
        <v>2.952</v>
      </c>
      <c r="F112" s="53">
        <v>1040.8</v>
      </c>
      <c r="G112" s="23">
        <v>0.614</v>
      </c>
      <c r="H112" s="23">
        <v>1.384</v>
      </c>
      <c r="I112" s="1">
        <v>298.6</v>
      </c>
      <c r="J112" s="1">
        <v>529.8</v>
      </c>
      <c r="K112" s="1">
        <v>28179.0</v>
      </c>
      <c r="L112" s="1">
        <v>100.0</v>
      </c>
      <c r="M112" s="23">
        <v>15.471</v>
      </c>
      <c r="N112" s="23">
        <f t="shared" si="6"/>
        <v>1</v>
      </c>
    </row>
    <row r="113">
      <c r="A113" s="1">
        <v>206.0</v>
      </c>
      <c r="B113" s="1">
        <v>18794.0</v>
      </c>
      <c r="C113" s="23">
        <v>15.856</v>
      </c>
      <c r="D113" s="23">
        <v>15.92</v>
      </c>
      <c r="E113" s="23">
        <v>3.372</v>
      </c>
      <c r="F113" s="53">
        <v>1040.8</v>
      </c>
      <c r="G113" s="23">
        <v>0.614</v>
      </c>
      <c r="H113" s="23">
        <v>1.386</v>
      </c>
      <c r="I113" s="1">
        <v>298.6</v>
      </c>
      <c r="J113" s="1">
        <v>529.8</v>
      </c>
      <c r="K113" s="1">
        <v>28179.0</v>
      </c>
      <c r="L113" s="1">
        <v>100.0</v>
      </c>
      <c r="M113" s="23">
        <v>15.471</v>
      </c>
      <c r="N113" s="23">
        <f t="shared" si="6"/>
        <v>1</v>
      </c>
    </row>
    <row r="114">
      <c r="A114" s="1">
        <v>208.0</v>
      </c>
      <c r="B114" s="1">
        <v>18794.0</v>
      </c>
      <c r="C114" s="23">
        <v>16.675</v>
      </c>
      <c r="D114" s="23">
        <v>15.912</v>
      </c>
      <c r="E114" s="23">
        <v>3.492</v>
      </c>
      <c r="F114" s="53">
        <v>1040.8</v>
      </c>
      <c r="G114" s="23">
        <v>0.714</v>
      </c>
      <c r="H114" s="23">
        <v>0.416</v>
      </c>
      <c r="I114" s="1">
        <v>298.6</v>
      </c>
      <c r="J114" s="1">
        <v>529.8</v>
      </c>
      <c r="K114" s="1">
        <v>28179.0</v>
      </c>
      <c r="L114" s="1">
        <v>100.0</v>
      </c>
      <c r="M114" s="23">
        <v>15.418</v>
      </c>
      <c r="N114" s="23">
        <f t="shared" si="6"/>
        <v>0.416</v>
      </c>
    </row>
    <row r="115">
      <c r="A115" s="1">
        <v>210.0</v>
      </c>
      <c r="B115" s="1">
        <v>18794.0</v>
      </c>
      <c r="C115" s="23">
        <v>17.977</v>
      </c>
      <c r="D115" s="23">
        <v>15.912</v>
      </c>
      <c r="E115" s="23">
        <v>3.492</v>
      </c>
      <c r="F115" s="53">
        <v>1040.8</v>
      </c>
      <c r="G115" s="23">
        <v>0.714</v>
      </c>
      <c r="H115" s="23">
        <v>0.423</v>
      </c>
      <c r="I115" s="1">
        <v>298.6</v>
      </c>
      <c r="J115" s="1">
        <v>529.8</v>
      </c>
      <c r="K115" s="1">
        <v>28179.0</v>
      </c>
      <c r="L115" s="1">
        <v>100.0</v>
      </c>
      <c r="M115" s="23">
        <v>15.418</v>
      </c>
      <c r="N115" s="23">
        <f t="shared" si="6"/>
        <v>0.423</v>
      </c>
    </row>
    <row r="116">
      <c r="A116" s="1">
        <v>212.0</v>
      </c>
      <c r="B116" s="1">
        <v>18794.0</v>
      </c>
      <c r="C116" s="23">
        <v>17.577</v>
      </c>
      <c r="D116" s="23">
        <v>15.57</v>
      </c>
      <c r="E116" s="23">
        <v>3.492</v>
      </c>
      <c r="F116" s="61">
        <v>1040.8</v>
      </c>
      <c r="G116" s="23">
        <v>0.714</v>
      </c>
      <c r="H116" s="23">
        <v>0.423</v>
      </c>
      <c r="I116" s="1">
        <v>298.6</v>
      </c>
      <c r="J116" s="1">
        <v>529.8</v>
      </c>
      <c r="K116" s="1">
        <v>28179.0</v>
      </c>
      <c r="L116" s="1">
        <v>100.0</v>
      </c>
      <c r="M116" s="23">
        <v>15.361</v>
      </c>
      <c r="N116" s="23">
        <f t="shared" si="6"/>
        <v>0.423</v>
      </c>
    </row>
    <row r="117">
      <c r="A117" s="1">
        <v>214.0</v>
      </c>
      <c r="B117" s="1">
        <v>18794.0</v>
      </c>
      <c r="C117" s="23">
        <v>17.551</v>
      </c>
      <c r="D117" s="23">
        <v>15.57</v>
      </c>
      <c r="E117" s="26">
        <v>3.492</v>
      </c>
      <c r="F117" s="53">
        <v>1005.8</v>
      </c>
      <c r="G117" s="23">
        <v>0.676</v>
      </c>
      <c r="H117" s="23">
        <v>0.423</v>
      </c>
      <c r="I117" s="1">
        <v>298.6</v>
      </c>
      <c r="J117" s="1">
        <v>412.8</v>
      </c>
      <c r="K117" s="1">
        <v>28179.0</v>
      </c>
      <c r="L117" s="1">
        <v>100.0</v>
      </c>
      <c r="M117" s="23">
        <v>15.361</v>
      </c>
      <c r="N117" s="23">
        <f t="shared" si="6"/>
        <v>0.423</v>
      </c>
    </row>
    <row r="118">
      <c r="A118" s="1">
        <v>216.0</v>
      </c>
      <c r="B118" s="1">
        <v>20542.0</v>
      </c>
      <c r="C118" s="23">
        <v>19.55</v>
      </c>
      <c r="D118" s="23">
        <v>17.184</v>
      </c>
      <c r="E118" s="26">
        <v>3.572</v>
      </c>
      <c r="F118" s="53">
        <v>1040.8</v>
      </c>
      <c r="G118" s="23">
        <v>0.688</v>
      </c>
      <c r="H118" s="23">
        <v>0.423</v>
      </c>
      <c r="I118" s="1">
        <v>298.6</v>
      </c>
      <c r="J118" s="1">
        <v>447.8</v>
      </c>
      <c r="K118" s="1">
        <v>30800.0</v>
      </c>
      <c r="L118" s="1">
        <v>100.0</v>
      </c>
      <c r="M118" s="23">
        <v>15.478</v>
      </c>
      <c r="N118" s="23">
        <f t="shared" si="6"/>
        <v>0.423</v>
      </c>
    </row>
    <row r="119">
      <c r="A119" s="1">
        <v>218.0</v>
      </c>
      <c r="B119" s="1">
        <v>24039.0</v>
      </c>
      <c r="C119" s="23">
        <v>21.494</v>
      </c>
      <c r="D119" s="23">
        <v>18.053</v>
      </c>
      <c r="E119" s="26">
        <v>3.732</v>
      </c>
      <c r="F119" s="53">
        <v>1040.8</v>
      </c>
      <c r="G119" s="23">
        <v>0.588</v>
      </c>
      <c r="H119" s="23">
        <v>0.383</v>
      </c>
      <c r="I119" s="1">
        <v>298.6</v>
      </c>
      <c r="J119" s="1">
        <v>447.8</v>
      </c>
      <c r="K119" s="1">
        <v>36043.0</v>
      </c>
      <c r="L119" s="1">
        <v>100.0</v>
      </c>
      <c r="M119" s="23">
        <v>15.478</v>
      </c>
      <c r="N119" s="23">
        <f t="shared" si="6"/>
        <v>0.383</v>
      </c>
    </row>
    <row r="120">
      <c r="A120" s="1">
        <v>220.0</v>
      </c>
      <c r="B120" s="1">
        <v>25787.0</v>
      </c>
      <c r="C120" s="23">
        <v>22.199</v>
      </c>
      <c r="D120" s="26">
        <v>18.431</v>
      </c>
      <c r="E120" s="23">
        <v>3.802</v>
      </c>
      <c r="F120" s="53">
        <v>1040.8</v>
      </c>
      <c r="G120" s="23">
        <v>0.588</v>
      </c>
      <c r="H120" s="23">
        <v>0.383</v>
      </c>
      <c r="I120" s="1">
        <v>298.6</v>
      </c>
      <c r="J120" s="1">
        <v>447.8</v>
      </c>
      <c r="K120" s="1">
        <v>38664.0</v>
      </c>
      <c r="L120" s="1">
        <v>100.0</v>
      </c>
      <c r="M120" s="23">
        <v>15.478</v>
      </c>
      <c r="N120" s="23">
        <f t="shared" si="6"/>
        <v>0.383</v>
      </c>
    </row>
    <row r="121">
      <c r="A121" s="1">
        <v>222.0</v>
      </c>
      <c r="B121" s="1">
        <v>25362.0</v>
      </c>
      <c r="C121" s="23">
        <v>21.69</v>
      </c>
      <c r="D121" s="26">
        <v>18.09</v>
      </c>
      <c r="E121" s="23">
        <v>3.682</v>
      </c>
      <c r="F121" s="53">
        <v>1025.8</v>
      </c>
      <c r="G121" s="23">
        <v>0.588</v>
      </c>
      <c r="H121" s="23">
        <v>0.383</v>
      </c>
      <c r="I121" s="1">
        <v>298.6</v>
      </c>
      <c r="J121" s="1">
        <v>447.8</v>
      </c>
      <c r="K121" s="1">
        <v>38664.0</v>
      </c>
      <c r="L121" s="1">
        <v>100.0</v>
      </c>
      <c r="M121" s="23">
        <v>15.643</v>
      </c>
      <c r="N121" s="23">
        <f t="shared" si="6"/>
        <v>0.383</v>
      </c>
    </row>
    <row r="122">
      <c r="A122" s="1">
        <v>224.0</v>
      </c>
      <c r="B122" s="1">
        <v>25787.0</v>
      </c>
      <c r="C122" s="23">
        <v>22.137</v>
      </c>
      <c r="D122" s="26">
        <v>18.464</v>
      </c>
      <c r="E122" s="23">
        <v>3.682</v>
      </c>
      <c r="F122" s="61">
        <v>1025.8</v>
      </c>
      <c r="G122" s="23">
        <v>0.588</v>
      </c>
      <c r="H122" s="23">
        <v>0.383</v>
      </c>
      <c r="I122" s="1">
        <v>298.6</v>
      </c>
      <c r="J122" s="1">
        <v>447.8</v>
      </c>
      <c r="K122" s="1">
        <v>38664.0</v>
      </c>
      <c r="L122" s="1">
        <v>100.0</v>
      </c>
      <c r="M122" s="23">
        <v>15.643</v>
      </c>
      <c r="N122" s="23">
        <f t="shared" si="6"/>
        <v>0.383</v>
      </c>
    </row>
    <row r="123">
      <c r="A123" s="1">
        <v>227.0</v>
      </c>
      <c r="B123" s="1">
        <v>25787.0</v>
      </c>
      <c r="C123" s="23">
        <v>22.122</v>
      </c>
      <c r="D123" s="23">
        <v>18.465</v>
      </c>
      <c r="E123" s="23">
        <v>3.682</v>
      </c>
      <c r="F123" s="53">
        <v>1025.8</v>
      </c>
      <c r="G123" s="23">
        <v>0.588</v>
      </c>
      <c r="H123" s="23">
        <v>0.383</v>
      </c>
      <c r="I123" s="1">
        <v>298.6</v>
      </c>
      <c r="J123" s="1">
        <v>447.8</v>
      </c>
      <c r="K123" s="1">
        <v>38664.0</v>
      </c>
      <c r="L123" s="1">
        <v>100.0</v>
      </c>
      <c r="M123" s="23">
        <v>15.645</v>
      </c>
      <c r="N123" s="23">
        <f t="shared" si="6"/>
        <v>0.383</v>
      </c>
    </row>
    <row r="124">
      <c r="A124" s="1">
        <v>229.0</v>
      </c>
      <c r="B124" s="1">
        <v>25787.0</v>
      </c>
      <c r="C124" s="23">
        <v>22.785</v>
      </c>
      <c r="D124" s="23">
        <v>18.457</v>
      </c>
      <c r="E124" s="23">
        <v>3.432</v>
      </c>
      <c r="F124" s="53">
        <v>1025.8</v>
      </c>
      <c r="G124" s="23">
        <v>0.614</v>
      </c>
      <c r="H124" s="23">
        <v>0.393</v>
      </c>
      <c r="I124" s="1">
        <v>298.6</v>
      </c>
      <c r="J124" s="1">
        <v>529.8</v>
      </c>
      <c r="K124" s="1">
        <v>38664.0</v>
      </c>
      <c r="L124" s="1">
        <v>100.0</v>
      </c>
      <c r="M124" s="23">
        <v>15.645</v>
      </c>
      <c r="N124" s="23">
        <f t="shared" si="6"/>
        <v>0.393</v>
      </c>
    </row>
    <row r="125">
      <c r="A125" s="1">
        <v>231.0</v>
      </c>
      <c r="B125" s="1">
        <v>25787.0</v>
      </c>
      <c r="C125" s="23">
        <v>22.756</v>
      </c>
      <c r="D125" s="23">
        <v>18.441</v>
      </c>
      <c r="E125" s="23">
        <v>3.432</v>
      </c>
      <c r="F125" s="61">
        <v>1025.8</v>
      </c>
      <c r="G125" s="23">
        <v>0.614</v>
      </c>
      <c r="H125" s="23">
        <v>0.393</v>
      </c>
      <c r="I125" s="1">
        <v>298.6</v>
      </c>
      <c r="J125" s="1">
        <v>529.8</v>
      </c>
      <c r="K125" s="1">
        <v>38664.0</v>
      </c>
      <c r="L125" s="1">
        <v>100.0</v>
      </c>
      <c r="M125" s="23">
        <v>15.576</v>
      </c>
      <c r="N125" s="23">
        <f t="shared" si="6"/>
        <v>0.393</v>
      </c>
    </row>
    <row r="126">
      <c r="A126" s="1">
        <v>233.0</v>
      </c>
      <c r="B126" s="1">
        <v>22291.0</v>
      </c>
      <c r="C126" s="23">
        <v>18.099</v>
      </c>
      <c r="D126" s="23">
        <v>16.473</v>
      </c>
      <c r="E126" s="23">
        <v>3.282</v>
      </c>
      <c r="F126" s="53">
        <v>1025.8</v>
      </c>
      <c r="G126" s="23">
        <v>0.714</v>
      </c>
      <c r="H126" s="23">
        <v>0.416</v>
      </c>
      <c r="I126" s="1">
        <v>298.6</v>
      </c>
      <c r="J126" s="1">
        <v>529.8</v>
      </c>
      <c r="K126" s="1">
        <v>33421.0</v>
      </c>
      <c r="L126" s="1">
        <v>100.0</v>
      </c>
      <c r="M126" s="23">
        <v>15.576</v>
      </c>
      <c r="N126" s="23">
        <f t="shared" si="6"/>
        <v>0.416</v>
      </c>
    </row>
    <row r="127">
      <c r="A127" s="1">
        <v>235.0</v>
      </c>
      <c r="B127" s="1">
        <v>20542.0</v>
      </c>
      <c r="C127" s="23">
        <v>16.848</v>
      </c>
      <c r="D127" s="23">
        <v>15.392</v>
      </c>
      <c r="E127" s="23">
        <v>3.202</v>
      </c>
      <c r="F127" s="53">
        <v>1025.8</v>
      </c>
      <c r="G127" s="23">
        <v>0.714</v>
      </c>
      <c r="H127" s="23">
        <v>0.416</v>
      </c>
      <c r="I127" s="1">
        <v>298.6</v>
      </c>
      <c r="J127" s="1">
        <v>529.8</v>
      </c>
      <c r="K127" s="1">
        <v>30800.0</v>
      </c>
      <c r="L127" s="1">
        <v>100.0</v>
      </c>
      <c r="M127" s="23">
        <v>15.385</v>
      </c>
      <c r="N127" s="23">
        <f t="shared" si="6"/>
        <v>0.416</v>
      </c>
    </row>
    <row r="128">
      <c r="A128" s="1">
        <v>237.0</v>
      </c>
      <c r="B128" s="1">
        <v>18794.0</v>
      </c>
      <c r="C128" s="23">
        <v>16.667</v>
      </c>
      <c r="D128" s="23">
        <v>14.549</v>
      </c>
      <c r="E128" s="23">
        <v>3.122</v>
      </c>
      <c r="F128" s="61">
        <v>1025.8</v>
      </c>
      <c r="G128" s="23">
        <v>0.714</v>
      </c>
      <c r="H128" s="23">
        <v>0.416</v>
      </c>
      <c r="I128" s="1">
        <v>298.6</v>
      </c>
      <c r="J128" s="1">
        <v>529.8</v>
      </c>
      <c r="K128" s="1">
        <v>28179.0</v>
      </c>
      <c r="L128" s="1">
        <v>100.0</v>
      </c>
      <c r="M128" s="23">
        <v>15.385</v>
      </c>
      <c r="N128" s="23">
        <f t="shared" si="6"/>
        <v>0.416</v>
      </c>
    </row>
    <row r="129">
      <c r="A129" s="1">
        <v>239.0</v>
      </c>
      <c r="B129" s="1">
        <v>18794.0</v>
      </c>
      <c r="C129" s="23">
        <v>15.044</v>
      </c>
      <c r="D129" s="23">
        <v>15.168</v>
      </c>
      <c r="E129" s="23">
        <v>3.122</v>
      </c>
      <c r="F129" s="53">
        <v>1025.8</v>
      </c>
      <c r="G129" s="23">
        <v>0.714</v>
      </c>
      <c r="H129" s="23">
        <v>0.423</v>
      </c>
      <c r="I129" s="1">
        <v>298.6</v>
      </c>
      <c r="J129" s="1">
        <v>529.8</v>
      </c>
      <c r="K129" s="1">
        <v>28179.0</v>
      </c>
      <c r="L129" s="1">
        <v>100.0</v>
      </c>
      <c r="M129" s="23">
        <v>15.331</v>
      </c>
      <c r="N129" s="23">
        <f t="shared" si="6"/>
        <v>0.423</v>
      </c>
    </row>
    <row r="130">
      <c r="A130" s="1">
        <v>241.0</v>
      </c>
      <c r="B130" s="1">
        <v>18794.0</v>
      </c>
      <c r="C130" s="23">
        <v>15.044</v>
      </c>
      <c r="D130" s="23">
        <v>15.168</v>
      </c>
      <c r="E130" s="23">
        <v>3.122</v>
      </c>
      <c r="F130" s="53">
        <v>1025.8</v>
      </c>
      <c r="G130" s="23">
        <v>0.708</v>
      </c>
      <c r="H130" s="23">
        <v>0.423</v>
      </c>
      <c r="I130" s="1">
        <v>298.6</v>
      </c>
      <c r="J130" s="1">
        <v>510.0</v>
      </c>
      <c r="K130" s="1">
        <v>28179.0</v>
      </c>
      <c r="L130" s="1">
        <v>100.0</v>
      </c>
      <c r="M130" s="23">
        <v>15.331</v>
      </c>
      <c r="N130" s="23">
        <f t="shared" si="6"/>
        <v>0.423</v>
      </c>
    </row>
    <row r="131">
      <c r="A131" s="1">
        <v>243.0</v>
      </c>
      <c r="B131" s="1">
        <v>18794.0</v>
      </c>
      <c r="C131" s="23">
        <v>15.044</v>
      </c>
      <c r="D131" s="23">
        <v>15.143</v>
      </c>
      <c r="E131" s="23">
        <v>2.702</v>
      </c>
      <c r="F131" s="53">
        <v>1025.8</v>
      </c>
      <c r="G131" s="23">
        <v>0.614</v>
      </c>
      <c r="H131" s="23">
        <v>0.393</v>
      </c>
      <c r="I131" s="1">
        <v>298.6</v>
      </c>
      <c r="J131" s="1">
        <v>529.8</v>
      </c>
      <c r="K131" s="1">
        <v>28179.0</v>
      </c>
      <c r="L131" s="1">
        <v>100.0</v>
      </c>
      <c r="M131" s="23">
        <v>15.342</v>
      </c>
      <c r="N131" s="23">
        <f t="shared" si="6"/>
        <v>0.393</v>
      </c>
    </row>
    <row r="132">
      <c r="A132" s="1">
        <v>245.0</v>
      </c>
      <c r="B132" s="1">
        <v>18794.0</v>
      </c>
      <c r="C132" s="23">
        <v>15.044</v>
      </c>
      <c r="D132" s="23">
        <v>15.143</v>
      </c>
      <c r="E132" s="23">
        <v>2.702</v>
      </c>
      <c r="F132" s="53">
        <v>1025.8</v>
      </c>
      <c r="G132" s="23">
        <v>0.614</v>
      </c>
      <c r="H132" s="23">
        <v>0.393</v>
      </c>
      <c r="I132" s="1">
        <v>298.6</v>
      </c>
      <c r="J132" s="1">
        <v>529.8</v>
      </c>
      <c r="K132" s="1">
        <v>28179.0</v>
      </c>
      <c r="L132" s="1">
        <v>100.0</v>
      </c>
      <c r="M132" s="23">
        <v>15.342</v>
      </c>
      <c r="N132" s="23">
        <f t="shared" si="6"/>
        <v>0.393</v>
      </c>
    </row>
    <row r="133">
      <c r="A133" s="1">
        <v>247.0</v>
      </c>
      <c r="B133" s="1">
        <v>18794.0</v>
      </c>
      <c r="C133" s="23">
        <v>15.032</v>
      </c>
      <c r="D133" s="23">
        <v>15.143</v>
      </c>
      <c r="E133" s="23">
        <v>2.702</v>
      </c>
      <c r="F133" s="53">
        <v>990.8</v>
      </c>
      <c r="G133" s="23">
        <v>0.576</v>
      </c>
      <c r="H133" s="23">
        <v>0.393</v>
      </c>
      <c r="I133" s="1">
        <v>298.6</v>
      </c>
      <c r="J133" s="1">
        <v>412.8</v>
      </c>
      <c r="K133" s="1">
        <v>28179.0</v>
      </c>
      <c r="L133" s="1">
        <v>100.0</v>
      </c>
      <c r="M133" s="23">
        <v>15.342</v>
      </c>
      <c r="N133" s="23">
        <f t="shared" si="6"/>
        <v>0.393</v>
      </c>
    </row>
    <row r="134">
      <c r="A134" s="1">
        <v>249.0</v>
      </c>
      <c r="B134" s="1">
        <v>18794.0</v>
      </c>
      <c r="C134" s="23">
        <v>14.371</v>
      </c>
      <c r="D134" s="23">
        <v>14.539</v>
      </c>
      <c r="E134" s="23">
        <v>3.122</v>
      </c>
      <c r="F134" s="53">
        <v>1005.8</v>
      </c>
      <c r="G134" s="23">
        <v>0.576</v>
      </c>
      <c r="H134" s="23">
        <v>0.393</v>
      </c>
      <c r="I134" s="1">
        <v>298.6</v>
      </c>
      <c r="J134" s="1">
        <v>412.8</v>
      </c>
      <c r="K134" s="1">
        <v>28179.0</v>
      </c>
      <c r="L134" s="1">
        <v>100.0</v>
      </c>
      <c r="M134" s="23">
        <v>15.337</v>
      </c>
      <c r="N134" s="23">
        <f t="shared" si="6"/>
        <v>0.393</v>
      </c>
    </row>
    <row r="135">
      <c r="A135" s="1">
        <v>251.0</v>
      </c>
      <c r="B135" s="1">
        <v>18794.0</v>
      </c>
      <c r="C135" s="23">
        <v>14.931</v>
      </c>
      <c r="D135" s="23">
        <v>14.854</v>
      </c>
      <c r="E135" s="23">
        <v>3.122</v>
      </c>
      <c r="F135" s="61">
        <v>1040.8</v>
      </c>
      <c r="G135" s="23">
        <v>0.588</v>
      </c>
      <c r="H135" s="23">
        <v>0.393</v>
      </c>
      <c r="I135" s="1">
        <v>298.6</v>
      </c>
      <c r="J135" s="1">
        <v>447.8</v>
      </c>
      <c r="K135" s="1">
        <v>28179.0</v>
      </c>
      <c r="L135" s="1">
        <v>100.0</v>
      </c>
      <c r="M135" s="23">
        <v>15.337</v>
      </c>
      <c r="N135" s="23">
        <f t="shared" si="6"/>
        <v>0.393</v>
      </c>
    </row>
    <row r="136">
      <c r="A136" s="1">
        <v>253.0</v>
      </c>
      <c r="B136" s="1">
        <v>18794.0</v>
      </c>
      <c r="C136" s="23">
        <v>15.516</v>
      </c>
      <c r="D136" s="23">
        <v>15.376</v>
      </c>
      <c r="E136" s="23">
        <v>3.122</v>
      </c>
      <c r="F136" s="53">
        <v>1040.8</v>
      </c>
      <c r="G136" s="23">
        <v>0.588</v>
      </c>
      <c r="H136" s="23">
        <v>0.393</v>
      </c>
      <c r="I136" s="1">
        <v>298.6</v>
      </c>
      <c r="J136" s="1">
        <v>447.8</v>
      </c>
      <c r="K136" s="1">
        <v>28179.0</v>
      </c>
      <c r="L136" s="1">
        <v>100.0</v>
      </c>
      <c r="M136" s="23">
        <v>15.321</v>
      </c>
      <c r="N136" s="23">
        <f t="shared" si="6"/>
        <v>0.393</v>
      </c>
    </row>
    <row r="137">
      <c r="A137" s="1">
        <v>255.0</v>
      </c>
      <c r="B137" s="1">
        <v>18794.0</v>
      </c>
      <c r="C137" s="26">
        <v>15.446</v>
      </c>
      <c r="D137" s="23">
        <v>15.271</v>
      </c>
      <c r="E137" s="23">
        <v>3.122</v>
      </c>
      <c r="F137" s="53">
        <v>1040.8</v>
      </c>
      <c r="G137" s="23">
        <v>0.588</v>
      </c>
      <c r="H137" s="23">
        <v>0.393</v>
      </c>
      <c r="I137" s="1">
        <v>298.6</v>
      </c>
      <c r="J137" s="1">
        <v>447.8</v>
      </c>
      <c r="K137" s="1">
        <v>28179.0</v>
      </c>
      <c r="L137" s="1">
        <v>100.0</v>
      </c>
      <c r="M137" s="23">
        <v>15.321</v>
      </c>
      <c r="N137" s="23">
        <f t="shared" si="6"/>
        <v>0.393</v>
      </c>
    </row>
    <row r="138">
      <c r="A138" s="1">
        <v>257.0</v>
      </c>
      <c r="B138" s="1">
        <v>17920.0</v>
      </c>
      <c r="C138" s="26">
        <v>16.546</v>
      </c>
      <c r="D138" s="23">
        <v>16.901</v>
      </c>
      <c r="E138" s="23">
        <v>3.202</v>
      </c>
      <c r="F138" s="53">
        <v>1040.8</v>
      </c>
      <c r="G138" s="23">
        <v>0.588</v>
      </c>
      <c r="H138" s="23">
        <v>0.393</v>
      </c>
      <c r="I138" s="1">
        <v>298.6</v>
      </c>
      <c r="J138" s="1">
        <v>447.8</v>
      </c>
      <c r="K138" s="1">
        <v>26868.0</v>
      </c>
      <c r="L138" s="1">
        <v>100.0</v>
      </c>
      <c r="M138" s="23">
        <v>15.46</v>
      </c>
      <c r="N138" s="23">
        <f t="shared" si="6"/>
        <v>0.393</v>
      </c>
    </row>
    <row r="139">
      <c r="A139" s="1">
        <v>259.0</v>
      </c>
      <c r="B139" s="1">
        <v>17920.0</v>
      </c>
      <c r="C139" s="26">
        <v>16.324</v>
      </c>
      <c r="D139" s="23">
        <v>16.673</v>
      </c>
      <c r="E139" s="23">
        <v>3.082</v>
      </c>
      <c r="F139" s="61">
        <v>1040.8</v>
      </c>
      <c r="G139" s="23">
        <v>0.588</v>
      </c>
      <c r="H139" s="23">
        <v>0.393</v>
      </c>
      <c r="I139" s="1">
        <v>298.6</v>
      </c>
      <c r="J139" s="1">
        <v>447.8</v>
      </c>
      <c r="K139" s="1">
        <v>26868.0</v>
      </c>
      <c r="L139" s="1">
        <v>100.0</v>
      </c>
      <c r="M139" s="23">
        <v>15.46</v>
      </c>
      <c r="N139" s="23">
        <f t="shared" si="6"/>
        <v>0.393</v>
      </c>
    </row>
    <row r="140">
      <c r="A140" s="1">
        <v>261.0</v>
      </c>
      <c r="B140" s="1">
        <v>17920.0</v>
      </c>
      <c r="C140" s="26">
        <v>16.342</v>
      </c>
      <c r="D140" s="23">
        <v>16.689</v>
      </c>
      <c r="E140" s="23">
        <v>3.082</v>
      </c>
      <c r="F140" s="53">
        <v>1025.8</v>
      </c>
      <c r="G140" s="23">
        <v>0.588</v>
      </c>
      <c r="H140" s="23">
        <v>0.393</v>
      </c>
      <c r="I140" s="1">
        <v>298.6</v>
      </c>
      <c r="J140" s="1">
        <v>447.8</v>
      </c>
      <c r="K140" s="1">
        <v>26868.0</v>
      </c>
      <c r="L140" s="1">
        <v>100.0</v>
      </c>
      <c r="M140" s="23">
        <v>15.536</v>
      </c>
      <c r="N140" s="23">
        <f t="shared" si="6"/>
        <v>0.393</v>
      </c>
    </row>
    <row r="141">
      <c r="A141" s="1">
        <v>263.0</v>
      </c>
      <c r="B141" s="1">
        <v>17920.0</v>
      </c>
      <c r="C141" s="26">
        <v>16.354</v>
      </c>
      <c r="D141" s="23">
        <v>16.689</v>
      </c>
      <c r="E141" s="23">
        <v>3.082</v>
      </c>
      <c r="F141" s="53">
        <v>1025.8</v>
      </c>
      <c r="G141" s="23">
        <v>0.614</v>
      </c>
      <c r="H141" s="23">
        <v>0.393</v>
      </c>
      <c r="I141" s="1">
        <v>298.6</v>
      </c>
      <c r="J141" s="1">
        <v>529.8</v>
      </c>
      <c r="K141" s="1">
        <v>26868.0</v>
      </c>
      <c r="L141" s="1">
        <v>100.0</v>
      </c>
      <c r="M141" s="23">
        <v>15.536</v>
      </c>
      <c r="N141" s="23">
        <f t="shared" si="6"/>
        <v>0.393</v>
      </c>
    </row>
    <row r="142">
      <c r="A142" s="1">
        <v>265.0</v>
      </c>
      <c r="B142" s="1">
        <v>17920.0</v>
      </c>
      <c r="C142" s="23">
        <v>16.389</v>
      </c>
      <c r="D142" s="23">
        <v>16.29</v>
      </c>
      <c r="E142" s="23">
        <v>3.082</v>
      </c>
      <c r="F142" s="53">
        <v>1025.8</v>
      </c>
      <c r="G142" s="23">
        <v>0.614</v>
      </c>
      <c r="H142" s="23">
        <v>1.386</v>
      </c>
      <c r="I142" s="1">
        <v>298.6</v>
      </c>
      <c r="J142" s="1">
        <v>529.8</v>
      </c>
      <c r="K142" s="1">
        <v>26868.0</v>
      </c>
      <c r="L142" s="1">
        <v>100.0</v>
      </c>
      <c r="M142" s="23">
        <v>15.551</v>
      </c>
      <c r="N142" s="23">
        <f t="shared" si="6"/>
        <v>1</v>
      </c>
    </row>
    <row r="143">
      <c r="A143" s="1">
        <v>267.0</v>
      </c>
      <c r="B143" s="1">
        <v>17920.0</v>
      </c>
      <c r="C143" s="23">
        <v>16.843</v>
      </c>
      <c r="D143" s="23">
        <v>17.144</v>
      </c>
      <c r="E143" s="23">
        <v>3.359</v>
      </c>
      <c r="F143" s="53">
        <v>1025.8</v>
      </c>
      <c r="G143" s="23">
        <v>0.614</v>
      </c>
      <c r="H143" s="23">
        <v>1.386</v>
      </c>
      <c r="I143" s="1">
        <v>298.6</v>
      </c>
      <c r="J143" s="1">
        <v>529.8</v>
      </c>
      <c r="K143" s="1">
        <v>26868.0</v>
      </c>
      <c r="L143" s="1">
        <v>100.0</v>
      </c>
      <c r="M143" s="23">
        <v>15.551</v>
      </c>
      <c r="N143" s="23">
        <f t="shared" si="6"/>
        <v>1</v>
      </c>
    </row>
    <row r="144">
      <c r="A144" s="1">
        <v>269.0</v>
      </c>
      <c r="B144" s="1">
        <v>17625.0</v>
      </c>
      <c r="C144" s="23">
        <v>16.338</v>
      </c>
      <c r="D144" s="23">
        <v>16.706</v>
      </c>
      <c r="E144" s="23">
        <v>3.817</v>
      </c>
      <c r="F144" s="53">
        <v>1025.8</v>
      </c>
      <c r="G144" s="23">
        <v>0.614</v>
      </c>
      <c r="H144" s="23">
        <v>0.376</v>
      </c>
      <c r="I144" s="1">
        <v>298.6</v>
      </c>
      <c r="J144" s="1">
        <v>529.8</v>
      </c>
      <c r="K144" s="1">
        <v>26868.0</v>
      </c>
      <c r="L144" s="1">
        <v>100.0</v>
      </c>
      <c r="M144" s="23">
        <v>15.538</v>
      </c>
      <c r="N144" s="23">
        <f t="shared" si="6"/>
        <v>0.376</v>
      </c>
    </row>
    <row r="145">
      <c r="A145" s="1">
        <v>271.0</v>
      </c>
      <c r="B145" s="1">
        <v>18794.0</v>
      </c>
      <c r="C145" s="23">
        <v>16.338</v>
      </c>
      <c r="D145" s="23">
        <v>16.629</v>
      </c>
      <c r="E145" s="23">
        <v>3.817</v>
      </c>
      <c r="F145" s="53">
        <v>1025.8</v>
      </c>
      <c r="G145" s="23">
        <v>0.614</v>
      </c>
      <c r="H145" s="23">
        <v>0.376</v>
      </c>
      <c r="I145" s="1">
        <v>298.6</v>
      </c>
      <c r="J145" s="1">
        <v>529.8</v>
      </c>
      <c r="K145" s="1">
        <v>28179.0</v>
      </c>
      <c r="L145" s="1">
        <v>99.0</v>
      </c>
      <c r="M145" s="23">
        <v>15.538</v>
      </c>
      <c r="N145" s="23">
        <f t="shared" si="6"/>
        <v>0.376</v>
      </c>
    </row>
    <row r="146">
      <c r="A146" s="1">
        <v>273.0</v>
      </c>
      <c r="B146" s="1">
        <v>18794.0</v>
      </c>
      <c r="C146" s="26">
        <v>16.068</v>
      </c>
      <c r="D146" s="23">
        <v>16.369</v>
      </c>
      <c r="E146" s="23">
        <v>3.861</v>
      </c>
      <c r="F146" s="53">
        <v>1025.8</v>
      </c>
      <c r="G146" s="23">
        <v>0.614</v>
      </c>
      <c r="H146" s="23">
        <v>0.386</v>
      </c>
      <c r="I146" s="1">
        <v>298.6</v>
      </c>
      <c r="J146" s="1">
        <v>529.8</v>
      </c>
      <c r="K146" s="1">
        <v>28179.0</v>
      </c>
      <c r="L146" s="1">
        <v>100.0</v>
      </c>
      <c r="M146" s="23">
        <v>15.491</v>
      </c>
      <c r="N146" s="23">
        <f t="shared" si="6"/>
        <v>0.386</v>
      </c>
    </row>
    <row r="147">
      <c r="A147" s="1">
        <v>275.0</v>
      </c>
      <c r="B147" s="1">
        <v>18794.0</v>
      </c>
      <c r="C147" s="23">
        <v>16.085</v>
      </c>
      <c r="D147" s="23">
        <v>17.249</v>
      </c>
      <c r="E147" s="23">
        <v>3.861</v>
      </c>
      <c r="F147" s="53">
        <v>1040.8</v>
      </c>
      <c r="G147" s="23">
        <v>0.614</v>
      </c>
      <c r="H147" s="23">
        <v>0.386</v>
      </c>
      <c r="I147" s="1">
        <v>298.6</v>
      </c>
      <c r="J147" s="1">
        <v>529.8</v>
      </c>
      <c r="K147" s="1">
        <v>28179.0</v>
      </c>
      <c r="L147" s="1">
        <v>100.0</v>
      </c>
      <c r="M147" s="23">
        <v>15.491</v>
      </c>
      <c r="N147" s="23">
        <f t="shared" si="6"/>
        <v>0.386</v>
      </c>
    </row>
    <row r="148">
      <c r="A148" s="1">
        <v>277.0</v>
      </c>
      <c r="B148" s="1">
        <v>18794.0</v>
      </c>
      <c r="C148" s="23">
        <v>17.24</v>
      </c>
      <c r="D148" s="26">
        <v>17.582</v>
      </c>
      <c r="E148" s="23">
        <v>3.97</v>
      </c>
      <c r="F148" s="53">
        <v>1040.8</v>
      </c>
      <c r="G148" s="23">
        <v>0.614</v>
      </c>
      <c r="H148" s="23">
        <v>0.393</v>
      </c>
      <c r="I148" s="1">
        <v>298.6</v>
      </c>
      <c r="J148" s="1">
        <v>529.8</v>
      </c>
      <c r="K148" s="1">
        <v>28179.0</v>
      </c>
      <c r="L148" s="1">
        <v>100.0</v>
      </c>
      <c r="M148" s="23">
        <v>15.491</v>
      </c>
      <c r="N148" s="23">
        <f t="shared" si="6"/>
        <v>0.393</v>
      </c>
    </row>
    <row r="149">
      <c r="A149" s="1">
        <v>279.0</v>
      </c>
      <c r="B149" s="1">
        <v>18794.0</v>
      </c>
      <c r="C149" s="23">
        <v>17.278</v>
      </c>
      <c r="D149" s="23">
        <v>17.59</v>
      </c>
      <c r="E149" s="23">
        <v>4.242</v>
      </c>
      <c r="F149" s="53">
        <v>1040.8</v>
      </c>
      <c r="G149" s="23">
        <v>0.588</v>
      </c>
      <c r="H149" s="23">
        <v>0.393</v>
      </c>
      <c r="I149" s="1">
        <v>298.6</v>
      </c>
      <c r="J149" s="1">
        <v>447.8</v>
      </c>
      <c r="K149" s="1">
        <v>28179.0</v>
      </c>
      <c r="L149" s="1">
        <v>100.0</v>
      </c>
      <c r="M149" s="23">
        <v>15.494</v>
      </c>
      <c r="N149" s="23">
        <f t="shared" si="6"/>
        <v>0.393</v>
      </c>
    </row>
    <row r="150">
      <c r="A150" s="1">
        <v>281.0</v>
      </c>
      <c r="B150" s="1">
        <v>18794.0</v>
      </c>
      <c r="C150" s="23">
        <v>17.266</v>
      </c>
      <c r="D150" s="23">
        <v>16.497</v>
      </c>
      <c r="E150" s="23">
        <v>4.111</v>
      </c>
      <c r="F150" s="53">
        <v>1040.8</v>
      </c>
      <c r="G150" s="23">
        <v>0.588</v>
      </c>
      <c r="H150" s="23">
        <v>0.393</v>
      </c>
      <c r="I150" s="1">
        <v>298.6</v>
      </c>
      <c r="J150" s="1">
        <v>447.8</v>
      </c>
      <c r="K150" s="1">
        <v>28179.0</v>
      </c>
      <c r="L150" s="1">
        <v>100.0</v>
      </c>
      <c r="M150" s="26">
        <v>15.494</v>
      </c>
      <c r="N150" s="23">
        <f t="shared" si="6"/>
        <v>0.393</v>
      </c>
    </row>
    <row r="151">
      <c r="A151" s="1">
        <v>283.0</v>
      </c>
      <c r="B151" s="1">
        <v>18794.0</v>
      </c>
      <c r="C151" s="23">
        <v>17.304</v>
      </c>
      <c r="D151" s="23">
        <v>16.482</v>
      </c>
      <c r="E151" s="23">
        <v>4.111</v>
      </c>
      <c r="F151" s="53">
        <v>1040.8</v>
      </c>
      <c r="G151" s="23">
        <v>0.588</v>
      </c>
      <c r="H151" s="23">
        <v>0.383</v>
      </c>
      <c r="I151" s="1">
        <v>298.6</v>
      </c>
      <c r="J151" s="1">
        <v>447.8</v>
      </c>
      <c r="K151" s="1">
        <v>28179.0</v>
      </c>
      <c r="L151" s="1">
        <v>100.0</v>
      </c>
      <c r="M151" s="26">
        <v>15.424</v>
      </c>
      <c r="N151" s="23">
        <f t="shared" si="6"/>
        <v>0.383</v>
      </c>
    </row>
    <row r="152">
      <c r="A152" s="1">
        <v>285.0</v>
      </c>
      <c r="B152" s="1">
        <v>18794.0</v>
      </c>
      <c r="C152" s="23">
        <v>18.968</v>
      </c>
      <c r="D152" s="26">
        <v>17.912</v>
      </c>
      <c r="E152" s="23">
        <v>4.111</v>
      </c>
      <c r="F152" s="53">
        <v>1040.8</v>
      </c>
      <c r="G152" s="23">
        <v>0.588</v>
      </c>
      <c r="H152" s="23">
        <v>0.383</v>
      </c>
      <c r="I152" s="1">
        <v>298.6</v>
      </c>
      <c r="J152" s="1">
        <v>447.8</v>
      </c>
      <c r="K152" s="1">
        <v>28179.0</v>
      </c>
      <c r="L152" s="1">
        <v>100.0</v>
      </c>
      <c r="M152" s="23">
        <v>15.424</v>
      </c>
      <c r="N152" s="23">
        <f t="shared" si="6"/>
        <v>0.383</v>
      </c>
    </row>
    <row r="153">
      <c r="A153" s="1">
        <v>287.0</v>
      </c>
      <c r="B153" s="1">
        <v>24039.0</v>
      </c>
      <c r="C153" s="23">
        <v>19.962</v>
      </c>
      <c r="D153" s="23">
        <v>17.924</v>
      </c>
      <c r="E153" s="23">
        <v>3.632</v>
      </c>
      <c r="F153" s="53">
        <v>1040.8</v>
      </c>
      <c r="G153" s="23">
        <v>0.588</v>
      </c>
      <c r="H153" s="23">
        <v>0.383</v>
      </c>
      <c r="I153" s="1">
        <v>298.6</v>
      </c>
      <c r="J153" s="1">
        <v>447.8</v>
      </c>
      <c r="K153" s="1">
        <v>36043.0</v>
      </c>
      <c r="L153" s="1">
        <v>100.0</v>
      </c>
      <c r="M153" s="23">
        <v>15.619</v>
      </c>
      <c r="N153" s="23">
        <f t="shared" si="6"/>
        <v>0.383</v>
      </c>
    </row>
    <row r="154">
      <c r="A154" s="1">
        <v>289.0</v>
      </c>
      <c r="B154" s="1">
        <v>25787.0</v>
      </c>
      <c r="C154" s="23">
        <v>20.929</v>
      </c>
      <c r="D154" s="23">
        <v>18.791</v>
      </c>
      <c r="E154" s="23">
        <v>3.782</v>
      </c>
      <c r="F154" s="53">
        <v>1040.8</v>
      </c>
      <c r="G154" s="23">
        <v>0.588</v>
      </c>
      <c r="H154" s="23">
        <v>0.383</v>
      </c>
      <c r="I154" s="1">
        <v>298.6</v>
      </c>
      <c r="J154" s="1">
        <v>447.8</v>
      </c>
      <c r="K154" s="1">
        <v>38664.0</v>
      </c>
      <c r="L154" s="1">
        <v>100.0</v>
      </c>
      <c r="M154" s="23">
        <v>15.619</v>
      </c>
      <c r="N154" s="23">
        <f t="shared" si="6"/>
        <v>0.383</v>
      </c>
    </row>
    <row r="155">
      <c r="A155" s="1">
        <v>291.0</v>
      </c>
      <c r="B155" s="1">
        <v>25787.0</v>
      </c>
      <c r="C155" s="23">
        <v>20.878</v>
      </c>
      <c r="D155" s="23">
        <v>18.79</v>
      </c>
      <c r="E155" s="23">
        <v>3.782</v>
      </c>
      <c r="F155" s="53">
        <v>1040.8</v>
      </c>
      <c r="G155" s="23">
        <v>0.588</v>
      </c>
      <c r="H155" s="23">
        <v>0.383</v>
      </c>
      <c r="I155" s="1">
        <v>298.6</v>
      </c>
      <c r="J155" s="1">
        <v>447.8</v>
      </c>
      <c r="K155" s="1">
        <v>38664.0</v>
      </c>
      <c r="L155" s="1">
        <v>99.0</v>
      </c>
      <c r="M155" s="23">
        <v>15.612</v>
      </c>
      <c r="N155" s="23">
        <f t="shared" si="6"/>
        <v>0.383</v>
      </c>
    </row>
    <row r="156">
      <c r="A156" s="1">
        <v>293.0</v>
      </c>
      <c r="B156" s="1">
        <v>25787.0</v>
      </c>
      <c r="C156" s="26">
        <v>20.478</v>
      </c>
      <c r="D156" s="23">
        <v>18.46</v>
      </c>
      <c r="E156" s="23">
        <v>3.782</v>
      </c>
      <c r="F156" s="61">
        <v>1040.8</v>
      </c>
      <c r="G156" s="23">
        <v>0.588</v>
      </c>
      <c r="H156" s="23">
        <v>0.383</v>
      </c>
      <c r="I156" s="1">
        <v>298.6</v>
      </c>
      <c r="J156" s="1">
        <v>447.8</v>
      </c>
      <c r="K156" s="1">
        <v>38664.0</v>
      </c>
      <c r="L156" s="1">
        <v>100.0</v>
      </c>
      <c r="M156" s="23">
        <v>15.612</v>
      </c>
      <c r="N156" s="23">
        <f t="shared" si="6"/>
        <v>0.383</v>
      </c>
    </row>
    <row r="157">
      <c r="A157" s="1">
        <v>296.0</v>
      </c>
      <c r="B157" s="1">
        <v>25787.0</v>
      </c>
      <c r="C157" s="23">
        <v>19.415</v>
      </c>
      <c r="D157" s="23">
        <v>18.138</v>
      </c>
      <c r="E157" s="23">
        <v>3.782</v>
      </c>
      <c r="F157" s="53">
        <v>1025.8</v>
      </c>
      <c r="G157" s="23">
        <v>0.614</v>
      </c>
      <c r="H157" s="23">
        <v>0.383</v>
      </c>
      <c r="I157" s="1">
        <v>298.6</v>
      </c>
      <c r="J157" s="1">
        <v>529.8</v>
      </c>
      <c r="K157" s="1">
        <v>38664.0</v>
      </c>
      <c r="L157" s="1">
        <v>100.0</v>
      </c>
      <c r="M157" s="23">
        <v>15.645</v>
      </c>
      <c r="N157" s="23">
        <f t="shared" si="6"/>
        <v>0.383</v>
      </c>
    </row>
    <row r="158">
      <c r="A158" s="1">
        <v>298.0</v>
      </c>
      <c r="B158" s="1">
        <v>25787.0</v>
      </c>
      <c r="C158" s="23">
        <v>17.264</v>
      </c>
      <c r="D158" s="23">
        <v>18.135</v>
      </c>
      <c r="E158" s="23">
        <v>3.682</v>
      </c>
      <c r="F158" s="53">
        <v>1025.8</v>
      </c>
      <c r="G158" s="23">
        <v>0.614</v>
      </c>
      <c r="H158" s="23">
        <v>0.393</v>
      </c>
      <c r="I158" s="1">
        <v>298.6</v>
      </c>
      <c r="J158" s="1">
        <v>529.8</v>
      </c>
      <c r="K158" s="1">
        <v>38664.0</v>
      </c>
      <c r="L158" s="1">
        <v>100.0</v>
      </c>
      <c r="M158" s="23">
        <v>15.645</v>
      </c>
      <c r="N158" s="23">
        <f t="shared" si="6"/>
        <v>0.393</v>
      </c>
    </row>
    <row r="159">
      <c r="A159" s="1">
        <v>300.0</v>
      </c>
      <c r="B159" s="1">
        <v>25787.0</v>
      </c>
      <c r="C159" s="23">
        <v>17.897</v>
      </c>
      <c r="D159" s="23">
        <v>18.755</v>
      </c>
      <c r="E159" s="23">
        <v>3.262</v>
      </c>
      <c r="F159" s="53">
        <v>1025.8</v>
      </c>
      <c r="G159" s="23">
        <v>0.614</v>
      </c>
      <c r="H159" s="23">
        <v>0.393</v>
      </c>
      <c r="I159" s="1">
        <v>298.6</v>
      </c>
      <c r="J159" s="1">
        <v>529.8</v>
      </c>
      <c r="K159" s="1">
        <v>38664.0</v>
      </c>
      <c r="L159" s="1">
        <v>100.0</v>
      </c>
      <c r="M159" s="23">
        <v>15.593</v>
      </c>
      <c r="N159" s="23">
        <f t="shared" si="6"/>
        <v>0.393</v>
      </c>
    </row>
    <row r="160">
      <c r="A160" s="1">
        <v>302.0</v>
      </c>
      <c r="B160" s="1">
        <v>22291.0</v>
      </c>
      <c r="C160" s="23">
        <v>15.492</v>
      </c>
      <c r="D160" s="23">
        <v>17.105</v>
      </c>
      <c r="E160" s="23">
        <v>3.262</v>
      </c>
      <c r="F160" s="1">
        <v>986.5</v>
      </c>
      <c r="G160" s="23">
        <v>0.602</v>
      </c>
      <c r="H160" s="23">
        <v>0.393</v>
      </c>
      <c r="I160" s="1">
        <v>298.6</v>
      </c>
      <c r="J160" s="1">
        <v>490.5</v>
      </c>
      <c r="K160" s="1">
        <v>33421.0</v>
      </c>
      <c r="L160" s="1">
        <v>100.0</v>
      </c>
      <c r="M160" s="23">
        <v>15.593</v>
      </c>
      <c r="N160" s="23">
        <f t="shared" si="6"/>
        <v>0.393</v>
      </c>
    </row>
    <row r="161">
      <c r="A161" s="1">
        <v>304.0</v>
      </c>
      <c r="B161" s="1">
        <v>18794.0</v>
      </c>
      <c r="C161" s="23">
        <v>14.357</v>
      </c>
      <c r="D161" s="23">
        <v>15.194</v>
      </c>
      <c r="E161" s="23">
        <v>3.372</v>
      </c>
      <c r="F161" s="53">
        <v>951.5</v>
      </c>
      <c r="G161" s="23">
        <v>0.59</v>
      </c>
      <c r="H161" s="23">
        <v>0.393</v>
      </c>
      <c r="I161" s="1">
        <v>298.6</v>
      </c>
      <c r="J161" s="1">
        <v>455.5</v>
      </c>
      <c r="K161" s="1">
        <v>28179.0</v>
      </c>
      <c r="L161" s="1">
        <v>100.0</v>
      </c>
      <c r="M161" s="23">
        <v>15.417</v>
      </c>
      <c r="N161" s="23">
        <f t="shared" si="6"/>
        <v>0.393</v>
      </c>
    </row>
    <row r="162">
      <c r="A162" s="1">
        <v>306.0</v>
      </c>
      <c r="B162" s="1">
        <v>18794.0</v>
      </c>
      <c r="C162" s="23">
        <v>15.152</v>
      </c>
      <c r="D162" s="26">
        <v>15.194</v>
      </c>
      <c r="E162" s="23">
        <v>3.372</v>
      </c>
      <c r="F162" s="53">
        <v>951.5</v>
      </c>
      <c r="G162" s="23">
        <v>0.59</v>
      </c>
      <c r="H162" s="23">
        <v>0.386</v>
      </c>
      <c r="I162" s="1">
        <v>298.6</v>
      </c>
      <c r="J162" s="1">
        <v>455.5</v>
      </c>
      <c r="K162" s="1">
        <v>28179.0</v>
      </c>
      <c r="L162" s="1">
        <v>100.0</v>
      </c>
      <c r="M162" s="23">
        <v>15.417</v>
      </c>
      <c r="N162" s="23">
        <f t="shared" si="6"/>
        <v>0.386</v>
      </c>
    </row>
    <row r="163">
      <c r="A163" s="1">
        <v>308.0</v>
      </c>
      <c r="B163" s="1">
        <v>18794.0</v>
      </c>
      <c r="C163" s="23">
        <v>15.827</v>
      </c>
      <c r="D163" s="23">
        <v>15.194</v>
      </c>
      <c r="E163" s="23">
        <v>3.372</v>
      </c>
      <c r="F163" s="53">
        <v>990.8</v>
      </c>
      <c r="G163" s="23">
        <v>0.603</v>
      </c>
      <c r="H163" s="23">
        <v>0.386</v>
      </c>
      <c r="I163" s="1">
        <v>298.6</v>
      </c>
      <c r="J163" s="1">
        <v>494.8</v>
      </c>
      <c r="K163" s="1">
        <v>28179.0</v>
      </c>
      <c r="L163" s="1">
        <v>100.0</v>
      </c>
      <c r="M163" s="26">
        <v>15.417</v>
      </c>
      <c r="N163" s="23">
        <f t="shared" si="6"/>
        <v>0.386</v>
      </c>
    </row>
    <row r="164">
      <c r="A164" s="1">
        <v>310.0</v>
      </c>
      <c r="B164" s="1">
        <v>18794.0</v>
      </c>
      <c r="C164" s="23">
        <v>15.476</v>
      </c>
      <c r="D164" s="23">
        <v>14.865</v>
      </c>
      <c r="E164" s="23">
        <v>3.372</v>
      </c>
      <c r="F164" s="53">
        <v>990.8</v>
      </c>
      <c r="G164" s="23">
        <v>0.603</v>
      </c>
      <c r="H164" s="23">
        <v>0.386</v>
      </c>
      <c r="I164" s="1">
        <v>298.6</v>
      </c>
      <c r="J164" s="1">
        <v>494.8</v>
      </c>
      <c r="K164" s="1">
        <v>28179.0</v>
      </c>
      <c r="L164" s="1">
        <v>100.0</v>
      </c>
      <c r="M164" s="23">
        <v>15.351</v>
      </c>
      <c r="N164" s="23">
        <f t="shared" si="6"/>
        <v>0.386</v>
      </c>
    </row>
    <row r="165">
      <c r="A165" s="1">
        <v>312.0</v>
      </c>
      <c r="B165" s="1">
        <v>18794.0</v>
      </c>
      <c r="C165" s="23">
        <v>15.827</v>
      </c>
      <c r="D165" s="23">
        <v>15.18</v>
      </c>
      <c r="E165" s="23">
        <v>3.372</v>
      </c>
      <c r="F165" s="53">
        <v>990.8</v>
      </c>
      <c r="G165" s="23">
        <v>0.676</v>
      </c>
      <c r="H165" s="23">
        <v>0.416</v>
      </c>
      <c r="I165" s="1">
        <v>298.6</v>
      </c>
      <c r="J165" s="1">
        <v>412.8</v>
      </c>
      <c r="K165" s="1">
        <v>28179.0</v>
      </c>
      <c r="L165" s="1">
        <v>100.0</v>
      </c>
      <c r="M165" s="23">
        <v>15.351</v>
      </c>
      <c r="N165" s="23">
        <f t="shared" si="6"/>
        <v>0.416</v>
      </c>
    </row>
    <row r="166">
      <c r="A166" s="1">
        <v>314.0</v>
      </c>
      <c r="B166" s="1">
        <v>18794.0</v>
      </c>
      <c r="C166" s="23">
        <v>15.844</v>
      </c>
      <c r="D166" s="23">
        <v>15.177</v>
      </c>
      <c r="E166" s="23">
        <v>3.372</v>
      </c>
      <c r="F166" s="53">
        <v>1040.8</v>
      </c>
      <c r="G166" s="23">
        <v>0.688</v>
      </c>
      <c r="H166" s="23">
        <v>0.416</v>
      </c>
      <c r="I166" s="1">
        <v>298.6</v>
      </c>
      <c r="J166" s="1">
        <v>447.8</v>
      </c>
      <c r="K166" s="1">
        <v>28179.0</v>
      </c>
      <c r="L166" s="1">
        <v>100.0</v>
      </c>
      <c r="M166" s="23">
        <v>15.337</v>
      </c>
      <c r="N166" s="23">
        <f t="shared" si="6"/>
        <v>0.416</v>
      </c>
    </row>
    <row r="167">
      <c r="A167" s="1">
        <v>316.0</v>
      </c>
      <c r="B167" s="1">
        <v>18484.0</v>
      </c>
      <c r="C167" s="23">
        <v>15.247</v>
      </c>
      <c r="D167" s="26">
        <v>15.146</v>
      </c>
      <c r="E167" s="23">
        <v>3.372</v>
      </c>
      <c r="F167" s="53">
        <v>1040.8</v>
      </c>
      <c r="G167" s="23">
        <v>0.688</v>
      </c>
      <c r="H167" s="23">
        <v>0.416</v>
      </c>
      <c r="I167" s="1">
        <v>298.6</v>
      </c>
      <c r="J167" s="1">
        <v>447.8</v>
      </c>
      <c r="K167" s="1">
        <v>28179.0</v>
      </c>
      <c r="L167" s="1">
        <v>100.0</v>
      </c>
      <c r="M167" s="23">
        <v>15.337</v>
      </c>
      <c r="N167" s="23">
        <f t="shared" si="6"/>
        <v>0.416</v>
      </c>
    </row>
    <row r="168">
      <c r="A168" s="1">
        <v>318.0</v>
      </c>
      <c r="B168" s="1">
        <v>18794.0</v>
      </c>
      <c r="C168" s="23">
        <v>14.966</v>
      </c>
      <c r="D168" s="23">
        <v>14.858</v>
      </c>
      <c r="E168" s="23">
        <v>3.372</v>
      </c>
      <c r="F168" s="53">
        <v>1040.8</v>
      </c>
      <c r="G168" s="23">
        <v>0.681</v>
      </c>
      <c r="H168" s="23">
        <v>0.423</v>
      </c>
      <c r="I168" s="1">
        <v>298.6</v>
      </c>
      <c r="J168" s="1">
        <v>428.0</v>
      </c>
      <c r="K168" s="1">
        <v>28179.0</v>
      </c>
      <c r="L168" s="1">
        <v>100.0</v>
      </c>
      <c r="M168" s="23">
        <v>15.318</v>
      </c>
    </row>
    <row r="169">
      <c r="A169" s="1">
        <v>320.0</v>
      </c>
      <c r="B169" s="1">
        <v>18794.0</v>
      </c>
      <c r="C169" s="23">
        <v>16.7</v>
      </c>
      <c r="D169" s="23">
        <v>16.534</v>
      </c>
      <c r="E169" s="23">
        <v>3.242</v>
      </c>
      <c r="F169" s="53">
        <v>1040.8</v>
      </c>
      <c r="G169" s="23">
        <v>0.681</v>
      </c>
      <c r="H169" s="23">
        <v>0.413</v>
      </c>
      <c r="I169" s="1">
        <v>298.6</v>
      </c>
      <c r="J169" s="1">
        <v>428.0</v>
      </c>
      <c r="K169" s="1">
        <v>28179.0</v>
      </c>
      <c r="L169" s="1">
        <v>100.0</v>
      </c>
      <c r="M169" s="23">
        <v>15.318</v>
      </c>
    </row>
    <row r="170">
      <c r="A170" s="1">
        <v>322.0</v>
      </c>
      <c r="B170" s="1">
        <v>18794.0</v>
      </c>
      <c r="C170" s="23">
        <v>19.674</v>
      </c>
      <c r="D170" s="23">
        <v>16.773</v>
      </c>
      <c r="E170" s="23">
        <v>3.242</v>
      </c>
      <c r="F170" s="53">
        <v>1040.8</v>
      </c>
      <c r="G170" s="23">
        <v>0.588</v>
      </c>
      <c r="H170" s="23">
        <v>0.383</v>
      </c>
      <c r="I170" s="1">
        <v>298.6</v>
      </c>
      <c r="J170" s="1">
        <v>447.8</v>
      </c>
      <c r="K170" s="1">
        <v>28179.0</v>
      </c>
      <c r="L170" s="1">
        <v>100.0</v>
      </c>
      <c r="M170" s="23">
        <v>15.458</v>
      </c>
    </row>
    <row r="171">
      <c r="A171" s="1">
        <v>324.0</v>
      </c>
      <c r="B171" s="1">
        <v>18794.0</v>
      </c>
      <c r="C171" s="23">
        <v>19.29</v>
      </c>
      <c r="D171" s="23">
        <v>16.458</v>
      </c>
      <c r="E171" s="23">
        <v>3.242</v>
      </c>
      <c r="F171" s="53">
        <v>1005.8</v>
      </c>
      <c r="G171" s="23">
        <v>0.576</v>
      </c>
      <c r="H171" s="23">
        <v>0.383</v>
      </c>
      <c r="I171" s="1">
        <v>298.6</v>
      </c>
      <c r="J171" s="1">
        <v>412.8</v>
      </c>
      <c r="K171" s="1">
        <v>28179.0</v>
      </c>
      <c r="L171" s="1">
        <v>100.0</v>
      </c>
      <c r="M171" s="23">
        <v>15.458</v>
      </c>
    </row>
    <row r="172">
      <c r="A172" s="1">
        <v>326.0</v>
      </c>
      <c r="B172" s="1">
        <v>18794.0</v>
      </c>
      <c r="C172" s="26">
        <v>19.299</v>
      </c>
      <c r="D172" s="23">
        <v>17.231</v>
      </c>
      <c r="E172" s="23">
        <v>3.242</v>
      </c>
      <c r="F172" s="53">
        <v>990.8</v>
      </c>
      <c r="G172" s="23">
        <v>0.603</v>
      </c>
      <c r="H172" s="23">
        <v>1.384</v>
      </c>
      <c r="I172" s="1">
        <v>298.6</v>
      </c>
      <c r="J172" s="1">
        <v>494.8</v>
      </c>
      <c r="K172" s="1">
        <v>28179.0</v>
      </c>
      <c r="L172" s="1">
        <v>100.0</v>
      </c>
      <c r="M172" s="26">
        <v>15.45</v>
      </c>
    </row>
    <row r="173">
      <c r="A173" s="1">
        <v>328.0</v>
      </c>
      <c r="B173" s="1">
        <v>17920.0</v>
      </c>
      <c r="C173" s="26">
        <v>18.816</v>
      </c>
      <c r="D173" s="23">
        <v>16.822</v>
      </c>
      <c r="E173" s="23">
        <v>3.202</v>
      </c>
      <c r="F173" s="53">
        <v>990.8</v>
      </c>
      <c r="G173" s="23">
        <v>0.603</v>
      </c>
      <c r="H173" s="23">
        <v>1.376</v>
      </c>
      <c r="I173" s="1">
        <v>298.6</v>
      </c>
      <c r="J173" s="1">
        <v>494.8</v>
      </c>
      <c r="K173" s="1">
        <v>26868.0</v>
      </c>
      <c r="L173" s="1">
        <v>100.0</v>
      </c>
      <c r="M173" s="26">
        <v>15.45</v>
      </c>
    </row>
    <row r="174">
      <c r="A174" s="1">
        <v>330.0</v>
      </c>
      <c r="B174" s="1">
        <v>17920.0</v>
      </c>
      <c r="C174" s="23">
        <v>18.443</v>
      </c>
      <c r="D174" s="23">
        <v>16.488</v>
      </c>
      <c r="E174" s="23">
        <v>2.782</v>
      </c>
      <c r="F174" s="53">
        <v>990.8</v>
      </c>
      <c r="G174" s="23">
        <v>0.603</v>
      </c>
      <c r="H174" s="23">
        <v>1.386</v>
      </c>
      <c r="I174" s="1">
        <v>298.6</v>
      </c>
      <c r="J174" s="1">
        <v>494.8</v>
      </c>
      <c r="K174" s="1">
        <v>26868.0</v>
      </c>
      <c r="L174" s="1">
        <v>100.0</v>
      </c>
      <c r="M174" s="23">
        <v>15.559</v>
      </c>
    </row>
    <row r="175">
      <c r="A175" s="1">
        <v>332.0</v>
      </c>
      <c r="B175" s="1">
        <v>17920.0</v>
      </c>
      <c r="C175" s="23">
        <v>18.583</v>
      </c>
      <c r="D175" s="26">
        <v>15.608</v>
      </c>
      <c r="E175" s="23">
        <v>2.782</v>
      </c>
      <c r="F175" s="53">
        <v>990.8</v>
      </c>
      <c r="G175" s="23">
        <v>0.603</v>
      </c>
      <c r="H175" s="23">
        <v>0.386</v>
      </c>
      <c r="I175" s="1">
        <v>298.6</v>
      </c>
      <c r="J175" s="1">
        <v>494.8</v>
      </c>
      <c r="K175" s="1">
        <v>26868.0</v>
      </c>
      <c r="L175" s="1">
        <v>100.0</v>
      </c>
      <c r="M175" s="23">
        <v>15.559</v>
      </c>
    </row>
    <row r="176">
      <c r="A176" s="1">
        <v>334.0</v>
      </c>
      <c r="B176" s="1">
        <v>17920.0</v>
      </c>
      <c r="C176" s="23">
        <v>19.034</v>
      </c>
      <c r="D176" s="26">
        <v>15.932</v>
      </c>
      <c r="E176" s="23">
        <v>2.782</v>
      </c>
      <c r="F176" s="53">
        <v>1005.8</v>
      </c>
      <c r="G176" s="23">
        <v>0.603</v>
      </c>
      <c r="H176" s="23">
        <v>0.386</v>
      </c>
      <c r="I176" s="1">
        <v>298.6</v>
      </c>
      <c r="J176" s="1">
        <v>494.8</v>
      </c>
      <c r="K176" s="1">
        <v>26868.0</v>
      </c>
      <c r="L176" s="1">
        <v>100.0</v>
      </c>
      <c r="M176" s="23">
        <v>15.533</v>
      </c>
    </row>
    <row r="177">
      <c r="A177" s="1">
        <v>336.0</v>
      </c>
      <c r="B177" s="1">
        <v>17920.0</v>
      </c>
      <c r="C177" s="23">
        <v>19.164</v>
      </c>
      <c r="D177" s="26">
        <v>16.066</v>
      </c>
      <c r="E177" s="23">
        <v>3.082</v>
      </c>
      <c r="F177" s="53">
        <v>1005.8</v>
      </c>
      <c r="G177" s="23">
        <v>0.603</v>
      </c>
      <c r="H177" s="23">
        <v>0.393</v>
      </c>
      <c r="I177" s="1">
        <v>298.6</v>
      </c>
      <c r="J177" s="1">
        <v>494.8</v>
      </c>
      <c r="K177" s="1">
        <v>26868.0</v>
      </c>
      <c r="L177" s="1">
        <v>100.0</v>
      </c>
      <c r="M177" s="23">
        <v>15.533</v>
      </c>
    </row>
    <row r="178">
      <c r="A178" s="1">
        <v>338.0</v>
      </c>
      <c r="B178" s="1">
        <v>17920.0</v>
      </c>
      <c r="C178" s="23">
        <v>19.538</v>
      </c>
      <c r="D178" s="26">
        <v>15.846</v>
      </c>
      <c r="E178" s="23">
        <v>3.082</v>
      </c>
      <c r="F178" s="53">
        <v>1005.8</v>
      </c>
      <c r="G178" s="23">
        <v>0.603</v>
      </c>
      <c r="H178" s="23">
        <v>0.393</v>
      </c>
      <c r="I178" s="1">
        <v>298.6</v>
      </c>
      <c r="J178" s="1">
        <v>494.8</v>
      </c>
      <c r="K178" s="1">
        <v>26868.0</v>
      </c>
      <c r="L178" s="1">
        <v>100.0</v>
      </c>
      <c r="M178" s="23">
        <v>15.533</v>
      </c>
    </row>
    <row r="179">
      <c r="A179" s="1">
        <v>340.0</v>
      </c>
      <c r="B179" s="1">
        <v>17920.0</v>
      </c>
      <c r="C179" s="23">
        <v>19.564</v>
      </c>
      <c r="D179" s="26">
        <v>15.824</v>
      </c>
      <c r="E179" s="23">
        <v>3.082</v>
      </c>
      <c r="F179" s="53">
        <v>1040.8</v>
      </c>
      <c r="G179" s="23">
        <v>0.614</v>
      </c>
      <c r="H179" s="23">
        <v>0.383</v>
      </c>
      <c r="I179" s="1">
        <v>298.6</v>
      </c>
      <c r="J179" s="1">
        <v>529.8</v>
      </c>
      <c r="K179" s="1">
        <v>26868.0</v>
      </c>
      <c r="L179" s="1">
        <v>100.0</v>
      </c>
      <c r="M179" s="23">
        <v>15.431</v>
      </c>
    </row>
    <row r="180">
      <c r="A180" s="1">
        <v>342.0</v>
      </c>
      <c r="B180" s="1">
        <v>18794.0</v>
      </c>
      <c r="C180" s="23">
        <v>19.665</v>
      </c>
      <c r="D180" s="26">
        <v>15.903</v>
      </c>
      <c r="E180" s="23">
        <v>3.122</v>
      </c>
      <c r="F180" s="53">
        <v>1040.8</v>
      </c>
      <c r="G180" s="23">
        <v>0.614</v>
      </c>
      <c r="H180" s="23">
        <v>0.383</v>
      </c>
      <c r="I180" s="1">
        <v>298.6</v>
      </c>
      <c r="J180" s="1">
        <v>529.8</v>
      </c>
      <c r="K180" s="1">
        <v>28179.0</v>
      </c>
      <c r="L180" s="1">
        <v>100.0</v>
      </c>
      <c r="M180" s="23">
        <v>15.431</v>
      </c>
    </row>
    <row r="181">
      <c r="A181" s="1">
        <v>344.0</v>
      </c>
      <c r="B181" s="1">
        <v>18794.0</v>
      </c>
      <c r="C181" s="23">
        <v>19.233</v>
      </c>
      <c r="D181" s="26">
        <v>15.56</v>
      </c>
      <c r="E181" s="23">
        <v>3.122</v>
      </c>
      <c r="F181" s="61">
        <v>1040.8</v>
      </c>
      <c r="G181" s="23">
        <v>0.588</v>
      </c>
      <c r="H181" s="23">
        <v>0.383</v>
      </c>
      <c r="I181" s="1">
        <v>298.6</v>
      </c>
      <c r="J181" s="1">
        <v>447.8</v>
      </c>
      <c r="K181" s="1">
        <v>28179.0</v>
      </c>
      <c r="L181" s="1">
        <v>100.0</v>
      </c>
      <c r="M181" s="23">
        <v>15.372</v>
      </c>
    </row>
    <row r="182">
      <c r="A182" s="1">
        <v>346.0</v>
      </c>
      <c r="B182" s="1">
        <v>18794.0</v>
      </c>
      <c r="C182" s="23">
        <v>19.199</v>
      </c>
      <c r="D182" s="23">
        <v>15.56</v>
      </c>
      <c r="E182" s="23">
        <v>3.122</v>
      </c>
      <c r="F182" s="53">
        <v>1025.8</v>
      </c>
      <c r="G182" s="23">
        <v>0.588</v>
      </c>
      <c r="H182" s="23">
        <v>0.383</v>
      </c>
      <c r="I182" s="1">
        <v>298.6</v>
      </c>
      <c r="J182" s="1">
        <v>447.8</v>
      </c>
      <c r="K182" s="1">
        <v>28179.0</v>
      </c>
      <c r="L182" s="1">
        <v>100.0</v>
      </c>
      <c r="M182" s="23">
        <v>15.372</v>
      </c>
    </row>
    <row r="183">
      <c r="A183" s="1">
        <v>348.0</v>
      </c>
      <c r="B183" s="1">
        <v>18794.0</v>
      </c>
      <c r="C183" s="23">
        <v>19.199</v>
      </c>
      <c r="D183" s="23">
        <v>15.589</v>
      </c>
      <c r="E183" s="23">
        <v>3.73</v>
      </c>
      <c r="F183" s="53">
        <v>1025.8</v>
      </c>
      <c r="G183" s="23">
        <v>0.588</v>
      </c>
      <c r="H183" s="23">
        <v>0.383</v>
      </c>
      <c r="I183" s="1">
        <v>298.6</v>
      </c>
      <c r="J183" s="1">
        <v>447.8</v>
      </c>
      <c r="K183" s="1">
        <v>28179.0</v>
      </c>
      <c r="L183" s="1">
        <v>100.0</v>
      </c>
      <c r="M183" s="23">
        <v>15.415</v>
      </c>
    </row>
    <row r="184">
      <c r="A184" s="1">
        <v>350.0</v>
      </c>
      <c r="B184" s="1">
        <v>18794.0</v>
      </c>
      <c r="C184" s="23">
        <v>18.439</v>
      </c>
      <c r="D184" s="23">
        <v>15.589</v>
      </c>
      <c r="E184" s="23">
        <v>3.73</v>
      </c>
      <c r="F184" s="53">
        <v>990.8</v>
      </c>
      <c r="G184" s="23">
        <v>0.576</v>
      </c>
      <c r="H184" s="23">
        <v>0.383</v>
      </c>
      <c r="I184" s="1">
        <v>298.6</v>
      </c>
      <c r="J184" s="1">
        <v>412.8</v>
      </c>
      <c r="K184" s="1">
        <v>28179.0</v>
      </c>
      <c r="L184" s="1">
        <v>100.0</v>
      </c>
      <c r="M184" s="23">
        <v>15.415</v>
      </c>
    </row>
    <row r="185">
      <c r="A185" s="1">
        <v>352.0</v>
      </c>
      <c r="B185" s="1">
        <v>24039.0</v>
      </c>
      <c r="C185" s="23">
        <v>18.582</v>
      </c>
      <c r="D185" s="23">
        <v>17.738</v>
      </c>
      <c r="E185" s="23">
        <v>3.992</v>
      </c>
      <c r="F185" s="1">
        <v>990.8</v>
      </c>
      <c r="G185" s="23">
        <v>0.576</v>
      </c>
      <c r="H185" s="23">
        <v>0.383</v>
      </c>
      <c r="I185" s="1">
        <v>298.6</v>
      </c>
      <c r="J185" s="1">
        <v>412.8</v>
      </c>
      <c r="K185" s="1">
        <v>36043.0</v>
      </c>
      <c r="L185" s="1">
        <v>100.0</v>
      </c>
      <c r="M185" s="23">
        <v>15.514</v>
      </c>
    </row>
    <row r="186">
      <c r="A186" s="1">
        <v>354.0</v>
      </c>
      <c r="B186" s="1">
        <v>25787.0</v>
      </c>
      <c r="C186" s="23">
        <v>20.692</v>
      </c>
      <c r="D186" s="23">
        <v>18.776</v>
      </c>
      <c r="E186" s="23">
        <v>4.068</v>
      </c>
      <c r="F186" s="53">
        <v>990.8</v>
      </c>
      <c r="G186" s="23">
        <v>0.576</v>
      </c>
      <c r="H186" s="23">
        <v>0.383</v>
      </c>
      <c r="I186" s="1">
        <v>298.6</v>
      </c>
      <c r="J186" s="1">
        <v>412.8</v>
      </c>
      <c r="K186" s="1">
        <v>38664.0</v>
      </c>
      <c r="L186" s="1">
        <v>100.0</v>
      </c>
      <c r="M186" s="23">
        <v>15.514</v>
      </c>
    </row>
    <row r="187">
      <c r="A187" s="1">
        <v>356.0</v>
      </c>
      <c r="B187" s="1">
        <v>25787.0</v>
      </c>
      <c r="C187" s="23">
        <v>20.664</v>
      </c>
      <c r="D187" s="23">
        <v>18.809</v>
      </c>
      <c r="E187" s="23">
        <v>4.068</v>
      </c>
      <c r="F187" s="53">
        <v>1025.8</v>
      </c>
      <c r="G187" s="23">
        <v>0.588</v>
      </c>
      <c r="H187" s="23">
        <v>0.383</v>
      </c>
      <c r="I187" s="1">
        <v>298.6</v>
      </c>
      <c r="J187" s="1">
        <v>447.8</v>
      </c>
      <c r="K187" s="1">
        <v>38664.0</v>
      </c>
      <c r="L187" s="1">
        <v>100.0</v>
      </c>
      <c r="M187" s="23">
        <v>15.663</v>
      </c>
    </row>
    <row r="188">
      <c r="A188" s="1">
        <v>358.0</v>
      </c>
      <c r="B188" s="1">
        <v>25787.0</v>
      </c>
      <c r="C188" s="23">
        <v>20.439</v>
      </c>
      <c r="D188" s="23">
        <v>18.809</v>
      </c>
      <c r="E188" s="23">
        <v>4.068</v>
      </c>
      <c r="F188" s="53">
        <v>1025.8</v>
      </c>
      <c r="G188" s="23">
        <v>0.588</v>
      </c>
      <c r="H188" s="23">
        <v>0.393</v>
      </c>
      <c r="I188" s="1">
        <v>298.6</v>
      </c>
      <c r="J188" s="1">
        <v>447.8</v>
      </c>
      <c r="K188" s="1">
        <v>38664.0</v>
      </c>
      <c r="L188" s="1">
        <v>100.0</v>
      </c>
      <c r="M188" s="23">
        <v>15.663</v>
      </c>
    </row>
    <row r="189">
      <c r="A189" s="1">
        <v>360.0</v>
      </c>
      <c r="B189" s="1">
        <v>25787.0</v>
      </c>
      <c r="C189" s="26">
        <v>20.603</v>
      </c>
      <c r="D189" s="23">
        <v>19.692</v>
      </c>
      <c r="E189" s="23">
        <v>4.068</v>
      </c>
      <c r="F189" s="53">
        <v>1040.8</v>
      </c>
      <c r="G189" s="23">
        <v>0.614</v>
      </c>
      <c r="H189" s="23">
        <v>0.393</v>
      </c>
      <c r="I189" s="1">
        <v>298.6</v>
      </c>
      <c r="J189" s="1">
        <v>529.8</v>
      </c>
      <c r="K189" s="1">
        <v>38664.0</v>
      </c>
      <c r="L189" s="1">
        <v>100.0</v>
      </c>
      <c r="M189" s="23">
        <v>15.672</v>
      </c>
    </row>
    <row r="190">
      <c r="A190" s="1">
        <v>362.0</v>
      </c>
      <c r="B190" s="1">
        <v>25362.0</v>
      </c>
      <c r="C190" s="26">
        <v>20.603</v>
      </c>
      <c r="D190" s="23">
        <v>19.692</v>
      </c>
      <c r="E190" s="23">
        <v>4.068</v>
      </c>
      <c r="F190" s="53">
        <v>1040.8</v>
      </c>
      <c r="G190" s="23">
        <v>0.614</v>
      </c>
      <c r="H190" s="23">
        <v>0.393</v>
      </c>
      <c r="I190" s="1">
        <v>298.6</v>
      </c>
      <c r="J190" s="1">
        <v>529.8</v>
      </c>
      <c r="K190" s="1">
        <v>38664.0</v>
      </c>
      <c r="L190" s="1">
        <v>100.0</v>
      </c>
      <c r="M190" s="23">
        <v>15.672</v>
      </c>
    </row>
    <row r="191">
      <c r="A191" s="1">
        <v>364.0</v>
      </c>
      <c r="B191" s="1">
        <v>25362.0</v>
      </c>
      <c r="C191" s="26">
        <v>20.537</v>
      </c>
      <c r="D191" s="23">
        <v>19.648</v>
      </c>
      <c r="E191" s="23">
        <v>4.068</v>
      </c>
      <c r="F191" s="53">
        <v>1040.8</v>
      </c>
      <c r="G191" s="23">
        <v>0.614</v>
      </c>
      <c r="H191" s="23">
        <v>0.393</v>
      </c>
      <c r="I191" s="1">
        <v>298.6</v>
      </c>
      <c r="J191" s="1">
        <v>529.8</v>
      </c>
      <c r="K191" s="1">
        <v>38664.0</v>
      </c>
      <c r="L191" s="1">
        <v>100.0</v>
      </c>
      <c r="M191" s="23">
        <v>15.672</v>
      </c>
    </row>
    <row r="192">
      <c r="A192" s="1">
        <v>366.0</v>
      </c>
      <c r="B192" s="1">
        <v>25787.0</v>
      </c>
      <c r="C192" s="23">
        <v>19.426</v>
      </c>
      <c r="D192" s="23">
        <v>17.219</v>
      </c>
      <c r="E192" s="23">
        <v>4.199</v>
      </c>
      <c r="F192" s="53">
        <v>1040.8</v>
      </c>
      <c r="G192" s="23">
        <v>0.614</v>
      </c>
      <c r="H192" s="23">
        <v>0.393</v>
      </c>
      <c r="I192" s="1">
        <v>298.6</v>
      </c>
      <c r="J192" s="1">
        <v>529.8</v>
      </c>
      <c r="K192" s="1">
        <v>38664.0</v>
      </c>
      <c r="L192" s="1">
        <v>100.0</v>
      </c>
      <c r="M192" s="23">
        <v>15.593</v>
      </c>
    </row>
    <row r="193">
      <c r="A193" s="1">
        <v>368.0</v>
      </c>
      <c r="B193" s="1">
        <v>18794.0</v>
      </c>
      <c r="C193" s="23">
        <v>18.156</v>
      </c>
      <c r="D193" s="23">
        <v>16.222</v>
      </c>
      <c r="E193" s="23">
        <v>3.422</v>
      </c>
      <c r="F193" s="61">
        <v>1040.8</v>
      </c>
      <c r="G193" s="23">
        <v>0.614</v>
      </c>
      <c r="H193" s="23">
        <v>0.393</v>
      </c>
      <c r="I193" s="1">
        <v>298.6</v>
      </c>
      <c r="J193" s="1">
        <v>529.8</v>
      </c>
      <c r="K193" s="1">
        <v>28179.0</v>
      </c>
      <c r="L193" s="1">
        <v>100.0</v>
      </c>
      <c r="M193" s="23">
        <v>15.593</v>
      </c>
    </row>
    <row r="194">
      <c r="A194" s="1">
        <v>370.0</v>
      </c>
      <c r="B194" s="1">
        <v>18794.0</v>
      </c>
      <c r="C194" s="23">
        <v>17.963</v>
      </c>
      <c r="D194" s="23">
        <v>16.033</v>
      </c>
      <c r="E194" s="23">
        <v>3.342</v>
      </c>
      <c r="F194" s="53">
        <v>1040.8</v>
      </c>
      <c r="G194" s="23">
        <v>0.614</v>
      </c>
      <c r="H194" s="23">
        <v>0.393</v>
      </c>
      <c r="I194" s="1">
        <v>298.6</v>
      </c>
      <c r="J194" s="1">
        <v>529.8</v>
      </c>
      <c r="K194" s="1">
        <v>28179.0</v>
      </c>
      <c r="L194" s="1">
        <v>100.0</v>
      </c>
      <c r="M194" s="23">
        <v>15.415</v>
      </c>
    </row>
    <row r="195">
      <c r="A195" s="1">
        <v>372.0</v>
      </c>
      <c r="B195" s="1">
        <v>18794.0</v>
      </c>
      <c r="C195" s="23">
        <v>18.62</v>
      </c>
      <c r="D195" s="23">
        <v>15.201</v>
      </c>
      <c r="E195" s="23">
        <v>3.592</v>
      </c>
      <c r="F195" s="53">
        <v>1025.8</v>
      </c>
      <c r="G195" s="23">
        <v>0.614</v>
      </c>
      <c r="H195" s="23">
        <v>0.393</v>
      </c>
      <c r="I195" s="1">
        <v>298.6</v>
      </c>
      <c r="J195" s="1">
        <v>529.8</v>
      </c>
      <c r="K195" s="1">
        <v>28179.0</v>
      </c>
      <c r="L195" s="1">
        <v>100.0</v>
      </c>
      <c r="M195" s="23">
        <v>15.415</v>
      </c>
    </row>
    <row r="196">
      <c r="A196" s="1">
        <v>374.0</v>
      </c>
      <c r="B196" s="1">
        <v>18794.0</v>
      </c>
      <c r="C196" s="26">
        <v>18.206</v>
      </c>
      <c r="D196" s="23">
        <v>14.87</v>
      </c>
      <c r="E196" s="23">
        <v>3.592</v>
      </c>
      <c r="F196" s="61">
        <v>1025.8</v>
      </c>
      <c r="G196" s="23">
        <v>0.614</v>
      </c>
      <c r="H196" s="23">
        <v>0.393</v>
      </c>
      <c r="I196" s="1">
        <v>298.6</v>
      </c>
      <c r="J196" s="1">
        <v>529.8</v>
      </c>
      <c r="K196" s="1">
        <v>28179.0</v>
      </c>
      <c r="L196" s="1">
        <v>100.0</v>
      </c>
      <c r="M196" s="23">
        <v>15.342</v>
      </c>
    </row>
    <row r="197">
      <c r="A197" s="1">
        <v>376.0</v>
      </c>
      <c r="B197" s="1">
        <v>18794.0</v>
      </c>
      <c r="C197" s="26">
        <v>18.62</v>
      </c>
      <c r="D197" s="23">
        <v>15.185</v>
      </c>
      <c r="E197" s="23">
        <v>3.592</v>
      </c>
      <c r="F197" s="53">
        <v>1025.8</v>
      </c>
      <c r="G197" s="23">
        <v>0.588</v>
      </c>
      <c r="H197" s="23">
        <v>0.393</v>
      </c>
      <c r="I197" s="1">
        <v>298.6</v>
      </c>
      <c r="J197" s="1">
        <v>447.8</v>
      </c>
      <c r="K197" s="1">
        <v>28179.0</v>
      </c>
      <c r="L197" s="1">
        <v>100.0</v>
      </c>
      <c r="M197" s="23">
        <v>15.342</v>
      </c>
    </row>
    <row r="198">
      <c r="A198" s="1">
        <v>379.0</v>
      </c>
      <c r="B198" s="1">
        <v>18794.0</v>
      </c>
      <c r="C198" s="26">
        <v>18.195</v>
      </c>
      <c r="D198" s="23">
        <v>14.869</v>
      </c>
      <c r="E198" s="23">
        <v>3.592</v>
      </c>
      <c r="F198" s="53">
        <v>990.8</v>
      </c>
      <c r="G198" s="23">
        <v>0.576</v>
      </c>
      <c r="H198" s="23">
        <v>0.383</v>
      </c>
      <c r="I198" s="1">
        <v>298.6</v>
      </c>
      <c r="J198" s="1">
        <v>412.8</v>
      </c>
      <c r="K198" s="1">
        <v>28179.0</v>
      </c>
      <c r="L198" s="1">
        <v>100.0</v>
      </c>
      <c r="M198" s="23">
        <v>15.339</v>
      </c>
    </row>
    <row r="199">
      <c r="A199" s="1">
        <v>381.0</v>
      </c>
      <c r="B199" s="1">
        <v>18794.0</v>
      </c>
      <c r="C199" s="26">
        <v>16.627</v>
      </c>
      <c r="D199" s="23">
        <v>15.18</v>
      </c>
      <c r="E199" s="23">
        <v>3.472</v>
      </c>
      <c r="F199" s="61">
        <v>1005.8</v>
      </c>
      <c r="G199" s="23">
        <v>0.576</v>
      </c>
      <c r="H199" s="23">
        <v>0.383</v>
      </c>
      <c r="I199" s="1">
        <v>298.6</v>
      </c>
      <c r="J199" s="1">
        <v>412.8</v>
      </c>
      <c r="K199" s="1">
        <v>28179.0</v>
      </c>
      <c r="L199" s="1">
        <v>100.0</v>
      </c>
      <c r="M199" s="23">
        <v>15.339</v>
      </c>
    </row>
    <row r="200">
      <c r="A200" s="1">
        <v>383.0</v>
      </c>
      <c r="B200" s="1">
        <v>18794.0</v>
      </c>
      <c r="C200" s="26">
        <v>16.651</v>
      </c>
      <c r="D200" s="23">
        <v>16.236</v>
      </c>
      <c r="E200" s="23">
        <v>3.472</v>
      </c>
      <c r="F200" s="53">
        <v>1005.8</v>
      </c>
      <c r="G200" s="23">
        <v>0.576</v>
      </c>
      <c r="H200" s="23">
        <v>0.383</v>
      </c>
      <c r="I200" s="1">
        <v>298.6</v>
      </c>
      <c r="J200" s="1">
        <v>412.8</v>
      </c>
      <c r="K200" s="1">
        <v>28179.0</v>
      </c>
      <c r="L200" s="1">
        <v>100.0</v>
      </c>
      <c r="M200" s="23">
        <v>15.411</v>
      </c>
    </row>
    <row r="201">
      <c r="A201" s="1">
        <v>385.0</v>
      </c>
      <c r="B201" s="1">
        <v>18794.0</v>
      </c>
      <c r="C201" s="26">
        <v>16.808</v>
      </c>
      <c r="D201" s="23">
        <v>16.236</v>
      </c>
      <c r="E201" s="23">
        <v>3.472</v>
      </c>
      <c r="F201" s="53">
        <v>1001.5</v>
      </c>
      <c r="G201" s="23">
        <v>0.575</v>
      </c>
      <c r="H201" s="23">
        <v>0.383</v>
      </c>
      <c r="I201" s="1">
        <v>298.6</v>
      </c>
      <c r="J201" s="1">
        <v>408.6</v>
      </c>
      <c r="K201" s="1">
        <v>28179.0</v>
      </c>
      <c r="L201" s="1">
        <v>100.0</v>
      </c>
      <c r="M201" s="23">
        <v>15.411</v>
      </c>
    </row>
    <row r="202">
      <c r="A202" s="1">
        <v>387.0</v>
      </c>
      <c r="B202" s="1">
        <v>18794.0</v>
      </c>
      <c r="C202" s="23">
        <v>17.511</v>
      </c>
      <c r="D202" s="23">
        <v>16.236</v>
      </c>
      <c r="E202" s="23">
        <v>3.472</v>
      </c>
      <c r="F202" s="53">
        <v>1040.8</v>
      </c>
      <c r="G202" s="23">
        <v>0.588</v>
      </c>
      <c r="H202" s="23">
        <v>1.384</v>
      </c>
      <c r="I202" s="1">
        <v>298.6</v>
      </c>
      <c r="J202" s="1">
        <v>447.8</v>
      </c>
      <c r="K202" s="1">
        <v>28179.0</v>
      </c>
      <c r="L202" s="1">
        <v>100.0</v>
      </c>
      <c r="M202" s="23">
        <v>15.411</v>
      </c>
    </row>
    <row r="203">
      <c r="A203" s="1">
        <v>389.0</v>
      </c>
      <c r="B203" s="1">
        <v>18794.0</v>
      </c>
      <c r="C203" s="26">
        <v>18.839</v>
      </c>
      <c r="D203" s="26">
        <v>17.282</v>
      </c>
      <c r="E203" s="23">
        <v>3.372</v>
      </c>
      <c r="F203" s="61">
        <v>1040.8</v>
      </c>
      <c r="G203" s="23">
        <v>0.588</v>
      </c>
      <c r="H203" s="23">
        <v>1.394</v>
      </c>
      <c r="I203" s="1">
        <v>298.6</v>
      </c>
      <c r="J203" s="1">
        <v>447.8</v>
      </c>
      <c r="K203" s="1">
        <v>28179.0</v>
      </c>
      <c r="L203" s="1">
        <v>100.0</v>
      </c>
      <c r="M203" s="23">
        <v>15.411</v>
      </c>
    </row>
    <row r="204">
      <c r="A204" s="1">
        <v>391.0</v>
      </c>
      <c r="B204" s="1">
        <v>17920.0</v>
      </c>
      <c r="C204" s="26">
        <v>18.259</v>
      </c>
      <c r="D204" s="23">
        <v>17.733</v>
      </c>
      <c r="E204" s="23">
        <v>3.452</v>
      </c>
      <c r="F204" s="53">
        <v>1040.8</v>
      </c>
      <c r="G204" s="23">
        <v>0.588</v>
      </c>
      <c r="H204" s="23">
        <v>1.394</v>
      </c>
      <c r="I204" s="1">
        <v>298.6</v>
      </c>
      <c r="J204" s="1">
        <v>447.8</v>
      </c>
      <c r="K204" s="1">
        <v>26868.0</v>
      </c>
      <c r="L204" s="1">
        <v>100.0</v>
      </c>
      <c r="M204" s="23">
        <v>15.589</v>
      </c>
    </row>
    <row r="205">
      <c r="A205" s="1">
        <v>393.0</v>
      </c>
      <c r="B205" s="1">
        <v>17920.0</v>
      </c>
      <c r="C205" s="23">
        <v>17.997</v>
      </c>
      <c r="D205" s="23">
        <v>17.494</v>
      </c>
      <c r="E205" s="23">
        <v>3.332</v>
      </c>
      <c r="F205" s="1">
        <v>990.8</v>
      </c>
      <c r="G205" s="23">
        <v>0.603</v>
      </c>
      <c r="H205" s="23">
        <v>0.393</v>
      </c>
      <c r="I205" s="1">
        <v>298.6</v>
      </c>
      <c r="J205" s="1">
        <v>494.8</v>
      </c>
      <c r="K205" s="1">
        <v>26868.0</v>
      </c>
      <c r="L205" s="1">
        <v>100.0</v>
      </c>
      <c r="M205" s="23">
        <v>15.589</v>
      </c>
    </row>
    <row r="206">
      <c r="A206" s="1">
        <v>395.0</v>
      </c>
      <c r="B206" s="1">
        <v>17920.0</v>
      </c>
      <c r="C206" s="23">
        <v>18.01</v>
      </c>
      <c r="D206" s="23">
        <v>17.494</v>
      </c>
      <c r="E206" s="23">
        <v>3.332</v>
      </c>
      <c r="F206" s="53">
        <v>990.8</v>
      </c>
      <c r="G206" s="23">
        <v>0.603</v>
      </c>
      <c r="H206" s="23">
        <v>0.393</v>
      </c>
      <c r="I206" s="1">
        <v>298.6</v>
      </c>
      <c r="J206" s="1">
        <v>494.8</v>
      </c>
      <c r="K206" s="1">
        <v>26868.0</v>
      </c>
      <c r="L206" s="1">
        <v>100.0</v>
      </c>
      <c r="M206" s="23">
        <v>15.589</v>
      </c>
    </row>
    <row r="207">
      <c r="A207" s="1">
        <v>397.0</v>
      </c>
      <c r="B207" s="1">
        <v>17920.0</v>
      </c>
      <c r="C207" s="23">
        <v>17.404</v>
      </c>
      <c r="D207" s="23">
        <v>18.385</v>
      </c>
      <c r="E207" s="23">
        <v>3.332</v>
      </c>
      <c r="F207" s="53">
        <v>990.8</v>
      </c>
      <c r="G207" s="23">
        <v>0.597</v>
      </c>
      <c r="H207" s="23">
        <v>0.393</v>
      </c>
      <c r="I207" s="1">
        <v>298.6</v>
      </c>
      <c r="J207" s="1">
        <v>475.0</v>
      </c>
      <c r="K207" s="1">
        <v>26868.0</v>
      </c>
      <c r="L207" s="1">
        <v>100.0</v>
      </c>
      <c r="M207" s="23">
        <v>15.637</v>
      </c>
    </row>
    <row r="208">
      <c r="A208" s="1">
        <v>399.0</v>
      </c>
      <c r="B208" s="1">
        <v>17920.0</v>
      </c>
      <c r="C208" s="26">
        <v>17.433</v>
      </c>
      <c r="D208" s="23">
        <v>18.385</v>
      </c>
      <c r="E208" s="23">
        <v>3.332</v>
      </c>
      <c r="F208" s="53">
        <v>1040.8</v>
      </c>
      <c r="G208" s="23">
        <v>0.614</v>
      </c>
      <c r="H208" s="23">
        <v>1.384</v>
      </c>
      <c r="I208" s="1">
        <v>298.6</v>
      </c>
      <c r="J208" s="1">
        <v>529.8</v>
      </c>
      <c r="K208" s="1">
        <v>26868.0</v>
      </c>
      <c r="L208" s="1">
        <v>100.0</v>
      </c>
      <c r="M208" s="23">
        <v>15.637</v>
      </c>
    </row>
    <row r="209">
      <c r="A209" s="1">
        <v>401.0</v>
      </c>
      <c r="B209" s="1">
        <v>17920.0</v>
      </c>
      <c r="C209" s="26">
        <v>17.433</v>
      </c>
      <c r="D209" s="23">
        <v>18.409</v>
      </c>
      <c r="E209" s="23">
        <v>3.332</v>
      </c>
      <c r="F209" s="61">
        <v>1040.8</v>
      </c>
      <c r="G209" s="23">
        <v>0.614</v>
      </c>
      <c r="H209" s="23">
        <v>1.384</v>
      </c>
      <c r="I209" s="1">
        <v>298.6</v>
      </c>
      <c r="J209" s="1">
        <v>529.8</v>
      </c>
      <c r="K209" s="1">
        <v>26868.0</v>
      </c>
      <c r="L209" s="1">
        <v>99.0</v>
      </c>
      <c r="M209" s="23">
        <v>15.749</v>
      </c>
    </row>
    <row r="210">
      <c r="A210" s="1">
        <v>403.0</v>
      </c>
      <c r="B210" s="1">
        <v>17920.0</v>
      </c>
      <c r="C210" s="23">
        <v>15.26</v>
      </c>
      <c r="D210" s="23">
        <v>18.079</v>
      </c>
      <c r="E210" s="23">
        <v>3.332</v>
      </c>
      <c r="F210" s="53">
        <v>1040.8</v>
      </c>
      <c r="G210" s="23">
        <v>0.614</v>
      </c>
      <c r="H210" s="23">
        <v>1.394</v>
      </c>
      <c r="I210" s="1">
        <v>298.6</v>
      </c>
      <c r="J210" s="1">
        <v>529.8</v>
      </c>
      <c r="K210" s="1">
        <v>26868.0</v>
      </c>
      <c r="L210" s="1">
        <v>100.0</v>
      </c>
      <c r="M210" s="23">
        <v>15.749</v>
      </c>
    </row>
    <row r="211">
      <c r="A211" s="1">
        <v>405.0</v>
      </c>
      <c r="B211" s="1">
        <v>18794.0</v>
      </c>
      <c r="C211" s="23">
        <v>14.871</v>
      </c>
      <c r="D211" s="23">
        <v>16.407</v>
      </c>
      <c r="E211" s="23">
        <v>3.332</v>
      </c>
      <c r="F211" s="53">
        <v>1040.8</v>
      </c>
      <c r="G211" s="23">
        <v>0.614</v>
      </c>
      <c r="H211" s="23">
        <v>0.393</v>
      </c>
      <c r="I211" s="1">
        <v>298.6</v>
      </c>
      <c r="J211" s="1">
        <v>529.8</v>
      </c>
      <c r="K211" s="1">
        <v>28179.0</v>
      </c>
      <c r="L211" s="1">
        <v>100.0</v>
      </c>
      <c r="M211" s="23">
        <v>15.549</v>
      </c>
    </row>
    <row r="212">
      <c r="A212" s="1">
        <v>407.0</v>
      </c>
      <c r="B212" s="1">
        <v>18794.0</v>
      </c>
      <c r="C212" s="23">
        <v>14.215</v>
      </c>
      <c r="D212" s="23">
        <v>16.487</v>
      </c>
      <c r="E212" s="23">
        <v>3.372</v>
      </c>
      <c r="F212" s="61">
        <v>1001.5</v>
      </c>
      <c r="G212" s="23">
        <v>0.602</v>
      </c>
      <c r="H212" s="23">
        <v>0.393</v>
      </c>
      <c r="I212" s="1">
        <v>298.6</v>
      </c>
      <c r="J212" s="1">
        <v>490.5</v>
      </c>
      <c r="K212" s="1">
        <v>28179.0</v>
      </c>
      <c r="L212" s="1">
        <v>100.0</v>
      </c>
      <c r="M212" s="23">
        <v>15.549</v>
      </c>
    </row>
    <row r="213">
      <c r="A213" s="1">
        <v>409.0</v>
      </c>
      <c r="B213" s="1">
        <v>18794.0</v>
      </c>
      <c r="C213" s="23">
        <v>13.715</v>
      </c>
      <c r="D213" s="23">
        <v>15.233</v>
      </c>
      <c r="E213" s="23">
        <v>3.372</v>
      </c>
      <c r="F213" s="53">
        <v>966.5</v>
      </c>
      <c r="G213" s="23">
        <v>0.563</v>
      </c>
      <c r="H213" s="23">
        <v>0.393</v>
      </c>
      <c r="I213" s="1">
        <v>298.6</v>
      </c>
      <c r="J213" s="1">
        <v>373.6</v>
      </c>
      <c r="K213" s="1">
        <v>28179.0</v>
      </c>
      <c r="L213" s="1">
        <v>100.0</v>
      </c>
      <c r="M213" s="23">
        <v>15.346</v>
      </c>
    </row>
    <row r="214">
      <c r="A214" s="1">
        <v>411.0</v>
      </c>
      <c r="B214" s="1">
        <v>18484.0</v>
      </c>
      <c r="C214" s="26">
        <v>14.776</v>
      </c>
      <c r="D214" s="23">
        <v>15.521</v>
      </c>
      <c r="E214" s="23">
        <v>3.122</v>
      </c>
      <c r="F214" s="53">
        <v>966.5</v>
      </c>
      <c r="G214" s="23">
        <v>0.563</v>
      </c>
      <c r="H214" s="23">
        <v>0.393</v>
      </c>
      <c r="I214" s="1">
        <v>298.6</v>
      </c>
      <c r="J214" s="1">
        <v>373.6</v>
      </c>
      <c r="K214" s="1">
        <v>28179.0</v>
      </c>
      <c r="L214" s="1">
        <v>100.0</v>
      </c>
      <c r="M214" s="23">
        <v>15.346</v>
      </c>
    </row>
    <row r="215">
      <c r="A215" s="1">
        <v>413.0</v>
      </c>
      <c r="B215" s="1">
        <v>18794.0</v>
      </c>
      <c r="C215" s="26">
        <v>15.259</v>
      </c>
      <c r="D215" s="23">
        <v>15.892</v>
      </c>
      <c r="E215" s="23">
        <v>3.122</v>
      </c>
      <c r="F215" s="53">
        <v>1040.8</v>
      </c>
      <c r="G215" s="23">
        <v>0.588</v>
      </c>
      <c r="H215" s="23">
        <v>0.383</v>
      </c>
      <c r="I215" s="1">
        <v>298.6</v>
      </c>
      <c r="J215" s="1">
        <v>447.8</v>
      </c>
      <c r="K215" s="1">
        <v>28179.0</v>
      </c>
      <c r="L215" s="1">
        <v>100.0</v>
      </c>
      <c r="M215" s="23">
        <v>15.383</v>
      </c>
    </row>
    <row r="216">
      <c r="A216" s="1">
        <v>415.0</v>
      </c>
      <c r="B216" s="1">
        <v>18794.0</v>
      </c>
      <c r="C216" s="23">
        <v>15.055</v>
      </c>
      <c r="D216" s="23">
        <v>15.562</v>
      </c>
      <c r="E216" s="23">
        <v>3.122</v>
      </c>
      <c r="F216" s="53">
        <v>1025.8</v>
      </c>
      <c r="G216" s="23">
        <v>0.588</v>
      </c>
      <c r="H216" s="23">
        <v>0.383</v>
      </c>
      <c r="I216" s="1">
        <v>298.6</v>
      </c>
      <c r="J216" s="1">
        <v>447.8</v>
      </c>
      <c r="K216" s="1">
        <v>28179.0</v>
      </c>
      <c r="L216" s="1">
        <v>100.0</v>
      </c>
      <c r="M216" s="23">
        <v>15.383</v>
      </c>
    </row>
    <row r="217">
      <c r="A217" s="1">
        <v>417.0</v>
      </c>
      <c r="B217" s="1">
        <v>18794.0</v>
      </c>
      <c r="C217" s="26">
        <v>15.032</v>
      </c>
      <c r="D217" s="23">
        <v>15.558</v>
      </c>
      <c r="E217" s="23">
        <v>3.122</v>
      </c>
      <c r="F217" s="61">
        <v>1025.8</v>
      </c>
      <c r="G217" s="23">
        <v>0.588</v>
      </c>
      <c r="H217" s="23">
        <v>0.393</v>
      </c>
      <c r="I217" s="1">
        <v>298.6</v>
      </c>
      <c r="J217" s="1">
        <v>447.8</v>
      </c>
      <c r="K217" s="1">
        <v>28179.0</v>
      </c>
      <c r="L217" s="1">
        <v>100.0</v>
      </c>
      <c r="M217" s="23">
        <v>15.364</v>
      </c>
    </row>
    <row r="218">
      <c r="A218" s="1">
        <v>419.0</v>
      </c>
      <c r="B218" s="1">
        <v>18794.0</v>
      </c>
      <c r="C218" s="26">
        <v>15.558</v>
      </c>
      <c r="D218" s="23">
        <v>15.558</v>
      </c>
      <c r="E218" s="23">
        <v>3.122</v>
      </c>
      <c r="F218" s="53">
        <v>1025.8</v>
      </c>
      <c r="G218" s="23">
        <v>0.588</v>
      </c>
      <c r="H218" s="23">
        <v>0.393</v>
      </c>
      <c r="I218" s="1">
        <v>298.6</v>
      </c>
      <c r="J218" s="1">
        <v>447.8</v>
      </c>
      <c r="K218" s="1">
        <v>28179.0</v>
      </c>
      <c r="L218" s="1">
        <v>100.0</v>
      </c>
      <c r="M218" s="23">
        <v>15.364</v>
      </c>
    </row>
    <row r="219">
      <c r="A219" s="1">
        <v>421.0</v>
      </c>
      <c r="B219" s="1">
        <v>18794.0</v>
      </c>
      <c r="C219" s="23">
        <v>15.189</v>
      </c>
      <c r="D219" s="26">
        <v>15.223</v>
      </c>
      <c r="E219" s="23">
        <v>3.122</v>
      </c>
      <c r="F219" s="53">
        <v>1040.8</v>
      </c>
      <c r="G219" s="23">
        <v>0.588</v>
      </c>
      <c r="H219" s="23">
        <v>0.393</v>
      </c>
      <c r="I219" s="1">
        <v>298.6</v>
      </c>
      <c r="J219" s="1">
        <v>447.8</v>
      </c>
      <c r="K219" s="1">
        <v>28179.0</v>
      </c>
      <c r="L219" s="1">
        <v>100.0</v>
      </c>
      <c r="M219" s="23">
        <v>15.344</v>
      </c>
    </row>
    <row r="220">
      <c r="A220" s="1">
        <v>423.0</v>
      </c>
      <c r="B220" s="1">
        <v>18794.0</v>
      </c>
      <c r="C220" s="23">
        <v>15.516</v>
      </c>
      <c r="D220" s="23">
        <v>15.553</v>
      </c>
      <c r="E220" s="23">
        <v>3.122</v>
      </c>
      <c r="F220" s="53">
        <v>1005.8</v>
      </c>
      <c r="G220" s="23">
        <v>0.576</v>
      </c>
      <c r="H220" s="23">
        <v>0.393</v>
      </c>
      <c r="I220" s="1">
        <v>298.6</v>
      </c>
      <c r="J220" s="1">
        <v>412.8</v>
      </c>
      <c r="K220" s="1">
        <v>28179.0</v>
      </c>
      <c r="L220" s="1">
        <v>100.0</v>
      </c>
      <c r="M220" s="23">
        <v>15.344</v>
      </c>
    </row>
    <row r="221">
      <c r="A221" s="1">
        <v>425.0</v>
      </c>
      <c r="B221" s="1">
        <v>20542.0</v>
      </c>
      <c r="C221" s="23">
        <v>15.505</v>
      </c>
      <c r="D221" s="23">
        <v>15.559</v>
      </c>
      <c r="E221" s="23">
        <v>3.122</v>
      </c>
      <c r="F221" s="61">
        <v>1040.8</v>
      </c>
      <c r="G221" s="23">
        <v>0.614</v>
      </c>
      <c r="H221" s="23">
        <v>0.393</v>
      </c>
      <c r="I221" s="1">
        <v>298.6</v>
      </c>
      <c r="J221" s="1">
        <v>529.8</v>
      </c>
      <c r="K221" s="1">
        <v>30800.0</v>
      </c>
      <c r="L221" s="1">
        <v>100.0</v>
      </c>
      <c r="M221" s="23">
        <v>15.365</v>
      </c>
    </row>
    <row r="222">
      <c r="A222" s="1">
        <v>427.0</v>
      </c>
      <c r="B222" s="1">
        <v>22291.0</v>
      </c>
      <c r="C222" s="23">
        <v>17.997</v>
      </c>
      <c r="D222" s="23">
        <v>18.957</v>
      </c>
      <c r="E222" s="23">
        <v>3.282</v>
      </c>
      <c r="F222" s="53">
        <v>1040.8</v>
      </c>
      <c r="G222" s="23">
        <v>0.614</v>
      </c>
      <c r="H222" s="23">
        <v>0.393</v>
      </c>
      <c r="I222" s="1">
        <v>298.6</v>
      </c>
      <c r="J222" s="1">
        <v>529.8</v>
      </c>
      <c r="K222" s="1">
        <v>33421.0</v>
      </c>
      <c r="L222" s="1">
        <v>100.0</v>
      </c>
      <c r="M222" s="23">
        <v>15.365</v>
      </c>
    </row>
    <row r="223">
      <c r="A223" s="1">
        <v>429.0</v>
      </c>
      <c r="B223" s="1">
        <v>25787.0</v>
      </c>
      <c r="C223" s="23">
        <v>19.418</v>
      </c>
      <c r="D223" s="23">
        <v>19.279</v>
      </c>
      <c r="E223" s="23">
        <v>3.552</v>
      </c>
      <c r="F223" s="53">
        <v>1040.8</v>
      </c>
      <c r="G223" s="23">
        <v>0.614</v>
      </c>
      <c r="H223" s="23">
        <v>0.386</v>
      </c>
      <c r="I223" s="1">
        <v>298.6</v>
      </c>
      <c r="J223" s="1">
        <v>529.8</v>
      </c>
      <c r="K223" s="1">
        <v>38664.0</v>
      </c>
      <c r="L223" s="1">
        <v>100.0</v>
      </c>
      <c r="M223" s="23">
        <v>15.365</v>
      </c>
    </row>
    <row r="224">
      <c r="A224" s="1">
        <v>431.0</v>
      </c>
      <c r="B224" s="1">
        <v>25787.0</v>
      </c>
      <c r="C224" s="23">
        <v>19.418</v>
      </c>
      <c r="D224" s="23">
        <v>18.45</v>
      </c>
      <c r="E224" s="26">
        <v>3.741</v>
      </c>
      <c r="F224" s="61">
        <v>1040.8</v>
      </c>
      <c r="G224" s="23">
        <v>0.614</v>
      </c>
      <c r="H224" s="23">
        <v>0.376</v>
      </c>
      <c r="I224" s="1">
        <v>298.6</v>
      </c>
      <c r="J224" s="1">
        <v>529.8</v>
      </c>
      <c r="K224" s="1">
        <v>38664.0</v>
      </c>
      <c r="L224" s="1">
        <v>100.0</v>
      </c>
      <c r="M224" s="23">
        <v>15.581</v>
      </c>
    </row>
    <row r="225">
      <c r="A225" s="1">
        <v>433.0</v>
      </c>
      <c r="B225" s="1">
        <v>25787.0</v>
      </c>
      <c r="C225" s="23">
        <v>19.044</v>
      </c>
      <c r="D225" s="23">
        <v>18.135</v>
      </c>
      <c r="E225" s="23">
        <v>3.741</v>
      </c>
      <c r="F225" s="53">
        <v>1025.8</v>
      </c>
      <c r="G225" s="23">
        <v>0.614</v>
      </c>
      <c r="H225" s="23">
        <v>0.376</v>
      </c>
      <c r="I225" s="1">
        <v>298.6</v>
      </c>
      <c r="J225" s="1">
        <v>529.8</v>
      </c>
      <c r="K225" s="1">
        <v>38664.0</v>
      </c>
      <c r="L225" s="1">
        <v>100.0</v>
      </c>
      <c r="M225" s="23">
        <v>15.581</v>
      </c>
    </row>
    <row r="226">
      <c r="A226" s="1">
        <v>435.0</v>
      </c>
      <c r="B226" s="1">
        <v>25787.0</v>
      </c>
      <c r="C226" s="23">
        <v>19.044</v>
      </c>
      <c r="D226" s="23">
        <v>18.144</v>
      </c>
      <c r="E226" s="23">
        <v>3.741</v>
      </c>
      <c r="F226" s="53">
        <v>1025.8</v>
      </c>
      <c r="G226" s="23">
        <v>0.614</v>
      </c>
      <c r="H226" s="23">
        <v>0.386</v>
      </c>
      <c r="I226" s="1">
        <v>298.6</v>
      </c>
      <c r="J226" s="1">
        <v>529.8</v>
      </c>
      <c r="K226" s="1">
        <v>38664.0</v>
      </c>
      <c r="L226" s="1">
        <v>100.0</v>
      </c>
      <c r="M226" s="23">
        <v>15.625</v>
      </c>
    </row>
    <row r="227">
      <c r="A227" s="1">
        <v>437.0</v>
      </c>
      <c r="B227" s="1">
        <v>25787.0</v>
      </c>
      <c r="C227" s="26">
        <v>19.181</v>
      </c>
      <c r="D227" s="23">
        <v>18.459</v>
      </c>
      <c r="E227" s="23">
        <v>3.741</v>
      </c>
      <c r="F227" s="53">
        <v>1025.8</v>
      </c>
      <c r="G227" s="23">
        <v>0.614</v>
      </c>
      <c r="H227" s="23">
        <v>0.393</v>
      </c>
      <c r="I227" s="1">
        <v>298.6</v>
      </c>
      <c r="J227" s="1">
        <v>529.8</v>
      </c>
      <c r="K227" s="1">
        <v>38664.0</v>
      </c>
      <c r="L227" s="1">
        <v>100.0</v>
      </c>
      <c r="M227" s="23">
        <v>15.625</v>
      </c>
    </row>
    <row r="228">
      <c r="A228" s="1">
        <v>439.0</v>
      </c>
      <c r="B228" s="1">
        <v>25787.0</v>
      </c>
      <c r="C228" s="23">
        <v>19.207</v>
      </c>
      <c r="D228" s="23">
        <v>17.611</v>
      </c>
      <c r="E228" s="23">
        <v>3.741</v>
      </c>
      <c r="F228" s="61">
        <v>1025.8</v>
      </c>
      <c r="G228" s="23">
        <v>0.614</v>
      </c>
      <c r="H228" s="23">
        <v>0.393</v>
      </c>
      <c r="I228" s="1">
        <v>298.6</v>
      </c>
      <c r="J228" s="1">
        <v>529.8</v>
      </c>
      <c r="K228" s="1">
        <v>38664.0</v>
      </c>
      <c r="L228" s="1">
        <v>100.0</v>
      </c>
      <c r="M228" s="23">
        <v>15.589</v>
      </c>
    </row>
    <row r="229">
      <c r="A229" s="1">
        <v>441.0</v>
      </c>
      <c r="B229" s="1">
        <v>24039.0</v>
      </c>
      <c r="C229" s="23">
        <v>17.977</v>
      </c>
      <c r="D229" s="23">
        <v>16.436</v>
      </c>
      <c r="E229" s="23">
        <v>4.122</v>
      </c>
      <c r="F229" s="53">
        <v>1025.8</v>
      </c>
      <c r="G229" s="23">
        <v>0.588</v>
      </c>
      <c r="H229" s="23">
        <v>0.393</v>
      </c>
      <c r="I229" s="1">
        <v>298.6</v>
      </c>
      <c r="J229" s="1">
        <v>447.8</v>
      </c>
      <c r="K229" s="1">
        <v>36043.0</v>
      </c>
      <c r="L229" s="1">
        <v>100.0</v>
      </c>
      <c r="M229" s="23">
        <v>15.589</v>
      </c>
    </row>
    <row r="230">
      <c r="A230" s="1">
        <v>444.0</v>
      </c>
      <c r="B230" s="1">
        <v>20542.0</v>
      </c>
      <c r="C230" s="23">
        <v>16.407</v>
      </c>
      <c r="D230" s="23">
        <v>15.187</v>
      </c>
      <c r="E230" s="23">
        <v>4.035</v>
      </c>
      <c r="F230" s="53">
        <v>1040.8</v>
      </c>
      <c r="G230" s="23">
        <v>0.588</v>
      </c>
      <c r="H230" s="23">
        <v>0.393</v>
      </c>
      <c r="I230" s="1">
        <v>298.6</v>
      </c>
      <c r="J230" s="1">
        <v>447.8</v>
      </c>
      <c r="K230" s="1">
        <v>30800.0</v>
      </c>
      <c r="L230" s="1">
        <v>100.0</v>
      </c>
      <c r="M230" s="23">
        <v>15.364</v>
      </c>
    </row>
    <row r="231">
      <c r="A231" s="1">
        <v>446.0</v>
      </c>
      <c r="B231" s="1">
        <v>18794.0</v>
      </c>
      <c r="C231" s="23">
        <v>16.088</v>
      </c>
      <c r="D231" s="23">
        <v>14.879</v>
      </c>
      <c r="E231" s="23">
        <v>3.73</v>
      </c>
      <c r="F231" s="61">
        <v>1005.8</v>
      </c>
      <c r="G231" s="23">
        <v>0.576</v>
      </c>
      <c r="H231" s="23">
        <v>0.383</v>
      </c>
      <c r="I231" s="1">
        <v>298.6</v>
      </c>
      <c r="J231" s="1">
        <v>412.8</v>
      </c>
      <c r="K231" s="1">
        <v>28179.0</v>
      </c>
      <c r="L231" s="1">
        <v>100.0</v>
      </c>
      <c r="M231" s="23">
        <v>15.364</v>
      </c>
    </row>
    <row r="232">
      <c r="A232" s="1">
        <v>448.0</v>
      </c>
      <c r="B232" s="1">
        <v>18794.0</v>
      </c>
      <c r="C232" s="23">
        <v>16.884</v>
      </c>
      <c r="D232" s="26">
        <v>14.871</v>
      </c>
      <c r="E232" s="23">
        <v>3.73</v>
      </c>
      <c r="F232" s="53">
        <v>1005.8</v>
      </c>
      <c r="G232" s="23">
        <v>0.576</v>
      </c>
      <c r="H232" s="23">
        <v>0.383</v>
      </c>
      <c r="I232" s="1">
        <v>298.6</v>
      </c>
      <c r="J232" s="1">
        <v>412.8</v>
      </c>
      <c r="K232" s="1">
        <v>28179.0</v>
      </c>
      <c r="L232" s="1">
        <v>100.0</v>
      </c>
      <c r="M232" s="23">
        <v>15.327</v>
      </c>
    </row>
    <row r="233">
      <c r="A233" s="1">
        <v>450.0</v>
      </c>
      <c r="B233" s="1">
        <v>18794.0</v>
      </c>
      <c r="C233" s="23">
        <v>16.937</v>
      </c>
      <c r="D233" s="23">
        <v>14.871</v>
      </c>
      <c r="E233" s="23">
        <v>3.73</v>
      </c>
      <c r="F233" s="53">
        <v>1005.8</v>
      </c>
      <c r="G233" s="23">
        <v>0.576</v>
      </c>
      <c r="H233" s="23">
        <v>0.383</v>
      </c>
      <c r="I233" s="1">
        <v>298.6</v>
      </c>
      <c r="J233" s="1">
        <v>412.8</v>
      </c>
      <c r="K233" s="1">
        <v>28179.0</v>
      </c>
      <c r="L233" s="1">
        <v>100.0</v>
      </c>
      <c r="M233" s="23">
        <v>15.327</v>
      </c>
    </row>
    <row r="234">
      <c r="A234" s="1">
        <v>452.0</v>
      </c>
      <c r="B234" s="1">
        <v>18794.0</v>
      </c>
      <c r="C234" s="23">
        <v>16.962</v>
      </c>
      <c r="D234" s="23">
        <v>14.851</v>
      </c>
      <c r="E234" s="23">
        <v>3.122</v>
      </c>
      <c r="F234" s="53">
        <v>1005.8</v>
      </c>
      <c r="G234" s="23">
        <v>0.576</v>
      </c>
      <c r="H234" s="23">
        <v>0.393</v>
      </c>
      <c r="I234" s="1">
        <v>298.6</v>
      </c>
      <c r="J234" s="1">
        <v>412.8</v>
      </c>
      <c r="K234" s="1">
        <v>28179.0</v>
      </c>
      <c r="L234" s="1">
        <v>100.0</v>
      </c>
      <c r="M234" s="26">
        <v>15.32</v>
      </c>
    </row>
    <row r="235">
      <c r="A235" s="1">
        <v>454.0</v>
      </c>
      <c r="B235" s="1">
        <v>18794.0</v>
      </c>
      <c r="C235" s="23">
        <v>17.382</v>
      </c>
      <c r="D235" s="23">
        <v>15.166</v>
      </c>
      <c r="E235" s="23">
        <v>3.122</v>
      </c>
      <c r="F235" s="53">
        <v>1025.8</v>
      </c>
      <c r="G235" s="23">
        <v>0.588</v>
      </c>
      <c r="H235" s="23">
        <v>0.393</v>
      </c>
      <c r="I235" s="1">
        <v>298.6</v>
      </c>
      <c r="J235" s="1">
        <v>447.8</v>
      </c>
      <c r="K235" s="1">
        <v>28179.0</v>
      </c>
      <c r="L235" s="1">
        <v>100.0</v>
      </c>
      <c r="M235" s="26">
        <v>15.32</v>
      </c>
    </row>
    <row r="236">
      <c r="A236" s="1">
        <v>456.0</v>
      </c>
      <c r="B236" s="1">
        <v>18794.0</v>
      </c>
      <c r="C236" s="23">
        <v>17.435</v>
      </c>
      <c r="D236" s="23">
        <v>15.139</v>
      </c>
      <c r="E236" s="23">
        <v>2.702</v>
      </c>
      <c r="F236" s="61">
        <v>1025.8</v>
      </c>
      <c r="G236" s="23">
        <v>0.588</v>
      </c>
      <c r="H236" s="23">
        <v>0.393</v>
      </c>
      <c r="I236" s="1">
        <v>298.6</v>
      </c>
      <c r="J236" s="1">
        <v>447.8</v>
      </c>
      <c r="K236" s="1">
        <v>28179.0</v>
      </c>
      <c r="L236" s="1">
        <v>100.0</v>
      </c>
      <c r="M236" s="26">
        <v>15.32</v>
      </c>
    </row>
    <row r="237">
      <c r="A237" s="1">
        <v>458.0</v>
      </c>
      <c r="B237" s="1">
        <v>18484.0</v>
      </c>
      <c r="C237" s="23">
        <v>18.08</v>
      </c>
      <c r="D237" s="23">
        <v>15.635</v>
      </c>
      <c r="E237" s="23">
        <v>2.702</v>
      </c>
      <c r="F237" s="53">
        <v>1025.8</v>
      </c>
      <c r="G237" s="23">
        <v>0.614</v>
      </c>
      <c r="H237" s="23">
        <v>0.393</v>
      </c>
      <c r="I237" s="1">
        <v>298.6</v>
      </c>
      <c r="J237" s="1">
        <v>529.8</v>
      </c>
      <c r="K237" s="1">
        <v>28179.0</v>
      </c>
      <c r="L237" s="1">
        <v>100.0</v>
      </c>
      <c r="M237" s="23">
        <v>15.339</v>
      </c>
    </row>
    <row r="238">
      <c r="A238" s="1">
        <v>460.0</v>
      </c>
      <c r="B238" s="1">
        <v>18484.0</v>
      </c>
      <c r="C238" s="23">
        <v>17.44</v>
      </c>
      <c r="D238" s="23">
        <v>16.402</v>
      </c>
      <c r="E238" s="23">
        <v>3.222</v>
      </c>
      <c r="F238" s="61">
        <v>1040.8</v>
      </c>
      <c r="G238" s="23">
        <v>0.614</v>
      </c>
      <c r="H238" s="23">
        <v>0.393</v>
      </c>
      <c r="I238" s="1">
        <v>298.6</v>
      </c>
      <c r="J238" s="1">
        <v>529.8</v>
      </c>
      <c r="K238" s="1">
        <v>28179.0</v>
      </c>
      <c r="L238" s="1">
        <v>100.0</v>
      </c>
      <c r="M238" s="23">
        <v>15.339</v>
      </c>
    </row>
    <row r="239">
      <c r="A239" s="1">
        <v>462.0</v>
      </c>
      <c r="B239" s="1">
        <v>20542.0</v>
      </c>
      <c r="C239" s="23">
        <v>17.337</v>
      </c>
      <c r="D239" s="23">
        <v>16.357</v>
      </c>
      <c r="E239" s="23">
        <v>3.222</v>
      </c>
      <c r="F239" s="53">
        <v>1040.8</v>
      </c>
      <c r="G239" s="23">
        <v>0.614</v>
      </c>
      <c r="H239" s="23">
        <v>1.394</v>
      </c>
      <c r="I239" s="1">
        <v>298.6</v>
      </c>
      <c r="J239" s="1">
        <v>529.8</v>
      </c>
      <c r="K239" s="1">
        <v>30800.0</v>
      </c>
      <c r="L239" s="1">
        <v>100.0</v>
      </c>
      <c r="M239" s="23">
        <v>15.484</v>
      </c>
    </row>
    <row r="240">
      <c r="A240" s="1">
        <v>464.0</v>
      </c>
      <c r="B240" s="1">
        <v>17920.0</v>
      </c>
      <c r="C240" s="23">
        <v>17.302</v>
      </c>
      <c r="D240" s="23">
        <v>16.278</v>
      </c>
      <c r="E240" s="23">
        <v>3.182</v>
      </c>
      <c r="F240" s="53">
        <v>1005.8</v>
      </c>
      <c r="G240" s="23">
        <v>0.603</v>
      </c>
      <c r="H240" s="23">
        <v>1.394</v>
      </c>
      <c r="I240" s="1">
        <v>298.6</v>
      </c>
      <c r="J240" s="1">
        <v>494.8</v>
      </c>
      <c r="K240" s="1">
        <v>26868.0</v>
      </c>
      <c r="L240" s="1">
        <v>100.0</v>
      </c>
      <c r="M240" s="23">
        <v>15.484</v>
      </c>
    </row>
    <row r="241">
      <c r="A241" s="1">
        <v>466.0</v>
      </c>
      <c r="B241" s="1">
        <v>17920.0</v>
      </c>
      <c r="C241" s="23">
        <v>14.956</v>
      </c>
      <c r="D241" s="23">
        <v>16.309</v>
      </c>
      <c r="E241" s="23">
        <v>3.432</v>
      </c>
      <c r="F241" s="53">
        <v>1005.8</v>
      </c>
      <c r="G241" s="23">
        <v>0.603</v>
      </c>
      <c r="H241" s="23">
        <v>0.383</v>
      </c>
      <c r="I241" s="1">
        <v>298.6</v>
      </c>
      <c r="J241" s="1">
        <v>494.8</v>
      </c>
      <c r="K241" s="1">
        <v>26868.0</v>
      </c>
      <c r="L241" s="1">
        <v>100.0</v>
      </c>
      <c r="M241" s="23">
        <v>15.587</v>
      </c>
    </row>
    <row r="242">
      <c r="A242" s="1">
        <v>468.0</v>
      </c>
      <c r="B242" s="1">
        <v>17920.0</v>
      </c>
      <c r="C242" s="23">
        <v>16.285</v>
      </c>
      <c r="D242" s="23">
        <v>16.309</v>
      </c>
      <c r="E242" s="23">
        <v>3.432</v>
      </c>
      <c r="F242" s="61">
        <v>1040.8</v>
      </c>
      <c r="G242" s="23">
        <v>0.614</v>
      </c>
      <c r="H242" s="23">
        <v>0.383</v>
      </c>
      <c r="I242" s="1">
        <v>298.6</v>
      </c>
      <c r="J242" s="1">
        <v>529.8</v>
      </c>
      <c r="K242" s="1">
        <v>26868.0</v>
      </c>
      <c r="L242" s="1">
        <v>100.0</v>
      </c>
      <c r="M242" s="23">
        <v>15.587</v>
      </c>
    </row>
    <row r="243">
      <c r="A243" s="1">
        <v>470.0</v>
      </c>
      <c r="B243" s="1">
        <v>17920.0</v>
      </c>
      <c r="C243" s="23">
        <v>15.934</v>
      </c>
      <c r="D243" s="23">
        <v>15.98</v>
      </c>
      <c r="E243" s="23">
        <v>3.432</v>
      </c>
      <c r="F243" s="53">
        <v>1040.8</v>
      </c>
      <c r="G243" s="23">
        <v>0.614</v>
      </c>
      <c r="H243" s="23">
        <v>0.383</v>
      </c>
      <c r="I243" s="1">
        <v>298.6</v>
      </c>
      <c r="J243" s="1">
        <v>529.8</v>
      </c>
      <c r="K243" s="1">
        <v>26868.0</v>
      </c>
      <c r="L243" s="1">
        <v>100.0</v>
      </c>
      <c r="M243" s="23">
        <v>15.591</v>
      </c>
    </row>
    <row r="244">
      <c r="A244" s="1">
        <v>472.0</v>
      </c>
      <c r="B244" s="1">
        <v>17920.0</v>
      </c>
      <c r="C244" s="23">
        <v>17.945</v>
      </c>
      <c r="D244" s="23">
        <v>15.98</v>
      </c>
      <c r="E244" s="23">
        <v>3.432</v>
      </c>
      <c r="F244" s="53">
        <v>1040.8</v>
      </c>
      <c r="G244" s="23">
        <v>0.614</v>
      </c>
      <c r="H244" s="23">
        <v>0.383</v>
      </c>
      <c r="I244" s="1">
        <v>298.6</v>
      </c>
      <c r="J244" s="1">
        <v>529.8</v>
      </c>
      <c r="K244" s="1">
        <v>26868.0</v>
      </c>
      <c r="L244" s="1">
        <v>100.0</v>
      </c>
      <c r="M244" s="23">
        <v>15.591</v>
      </c>
    </row>
    <row r="245">
      <c r="A245" s="1">
        <v>474.0</v>
      </c>
      <c r="B245" s="1">
        <v>17920.0</v>
      </c>
      <c r="C245" s="23">
        <v>17.721</v>
      </c>
      <c r="D245" s="23">
        <v>15.735</v>
      </c>
      <c r="E245" s="23">
        <v>3.432</v>
      </c>
      <c r="F245" s="61">
        <v>1040.8</v>
      </c>
      <c r="G245" s="23">
        <v>0.614</v>
      </c>
      <c r="H245" s="23">
        <v>0.383</v>
      </c>
      <c r="I245" s="1">
        <v>298.6</v>
      </c>
      <c r="J245" s="1">
        <v>529.8</v>
      </c>
      <c r="K245" s="1">
        <v>26868.0</v>
      </c>
      <c r="L245" s="1">
        <v>100.0</v>
      </c>
      <c r="M245" s="23">
        <v>15.476</v>
      </c>
    </row>
    <row r="246">
      <c r="A246" s="1">
        <v>476.0</v>
      </c>
      <c r="B246" s="1">
        <v>17920.0</v>
      </c>
      <c r="C246" s="26">
        <v>18.221</v>
      </c>
      <c r="D246" s="23">
        <v>15.519</v>
      </c>
      <c r="E246" s="23">
        <v>3.552</v>
      </c>
      <c r="F246" s="53">
        <v>1040.8</v>
      </c>
      <c r="G246" s="23">
        <v>0.581</v>
      </c>
      <c r="H246" s="23">
        <v>0.393</v>
      </c>
      <c r="I246" s="1">
        <v>298.6</v>
      </c>
      <c r="J246" s="1">
        <v>428.0</v>
      </c>
      <c r="K246" s="1">
        <v>26868.0</v>
      </c>
      <c r="L246" s="1">
        <v>100.0</v>
      </c>
      <c r="M246" s="23">
        <v>15.476</v>
      </c>
    </row>
    <row r="247">
      <c r="A247" s="1">
        <v>478.0</v>
      </c>
      <c r="B247" s="1">
        <v>18794.0</v>
      </c>
      <c r="C247" s="26">
        <v>18.29</v>
      </c>
      <c r="D247" s="23">
        <v>15.574</v>
      </c>
      <c r="E247" s="23">
        <v>3.592</v>
      </c>
      <c r="F247" s="61">
        <v>1040.8</v>
      </c>
      <c r="G247" s="23">
        <v>0.588</v>
      </c>
      <c r="H247" s="23">
        <v>0.393</v>
      </c>
      <c r="I247" s="1">
        <v>298.6</v>
      </c>
      <c r="J247" s="1">
        <v>447.8</v>
      </c>
      <c r="K247" s="1">
        <v>28179.0</v>
      </c>
      <c r="L247" s="1">
        <v>100.0</v>
      </c>
      <c r="M247" s="23">
        <v>15.368</v>
      </c>
    </row>
    <row r="248">
      <c r="A248" s="1">
        <v>480.0</v>
      </c>
      <c r="B248" s="1">
        <v>18794.0</v>
      </c>
      <c r="C248" s="26">
        <v>18.29</v>
      </c>
      <c r="D248" s="23">
        <v>15.571</v>
      </c>
      <c r="E248" s="23">
        <v>3.492</v>
      </c>
      <c r="F248" s="61">
        <v>1040.8</v>
      </c>
      <c r="G248" s="23">
        <v>0.588</v>
      </c>
      <c r="H248" s="23">
        <v>0.393</v>
      </c>
      <c r="I248" s="1">
        <v>298.6</v>
      </c>
      <c r="J248" s="1">
        <v>447.8</v>
      </c>
      <c r="K248" s="1">
        <v>28179.0</v>
      </c>
      <c r="L248" s="1">
        <v>100.0</v>
      </c>
      <c r="M248" s="23">
        <v>15.368</v>
      </c>
    </row>
    <row r="249">
      <c r="A249" s="1">
        <v>482.0</v>
      </c>
      <c r="B249" s="1">
        <v>18794.0</v>
      </c>
      <c r="C249" s="26">
        <v>18.278</v>
      </c>
      <c r="D249" s="23">
        <v>15.545</v>
      </c>
      <c r="E249" s="23">
        <v>3.072</v>
      </c>
      <c r="F249" s="61">
        <v>1040.8</v>
      </c>
      <c r="G249" s="23">
        <v>0.588</v>
      </c>
      <c r="H249" s="23">
        <v>0.393</v>
      </c>
      <c r="I249" s="1">
        <v>298.6</v>
      </c>
      <c r="J249" s="1">
        <v>447.8</v>
      </c>
      <c r="K249" s="1">
        <v>28179.0</v>
      </c>
      <c r="L249" s="1">
        <v>100.0</v>
      </c>
      <c r="M249" s="23">
        <v>15.371</v>
      </c>
    </row>
    <row r="250">
      <c r="A250" s="1">
        <v>484.0</v>
      </c>
      <c r="B250" s="1">
        <v>18794.0</v>
      </c>
      <c r="C250" s="26">
        <v>17.171</v>
      </c>
      <c r="D250" s="23">
        <v>15.215</v>
      </c>
      <c r="E250" s="23">
        <v>3.072</v>
      </c>
      <c r="F250" s="1">
        <v>990.8</v>
      </c>
      <c r="G250" s="23">
        <v>0.576</v>
      </c>
      <c r="H250" s="23">
        <v>0.393</v>
      </c>
      <c r="I250" s="1">
        <v>298.6</v>
      </c>
      <c r="J250" s="1">
        <v>412.8</v>
      </c>
      <c r="K250" s="1">
        <v>28179.0</v>
      </c>
      <c r="L250" s="1">
        <v>100.0</v>
      </c>
      <c r="M250" s="23">
        <v>15.371</v>
      </c>
    </row>
    <row r="251">
      <c r="A251" s="1">
        <v>486.0</v>
      </c>
      <c r="B251" s="1">
        <v>18794.0</v>
      </c>
      <c r="C251" s="26">
        <v>18.245</v>
      </c>
      <c r="D251" s="23">
        <v>15.545</v>
      </c>
      <c r="E251" s="23">
        <v>3.072</v>
      </c>
      <c r="F251" s="61">
        <v>1025.8</v>
      </c>
      <c r="G251" s="23">
        <v>0.588</v>
      </c>
      <c r="H251" s="23">
        <v>0.383</v>
      </c>
      <c r="I251" s="1">
        <v>298.6</v>
      </c>
      <c r="J251" s="1">
        <v>447.8</v>
      </c>
      <c r="K251" s="1">
        <v>28179.0</v>
      </c>
      <c r="L251" s="1">
        <v>100.0</v>
      </c>
      <c r="M251" s="23">
        <v>15.371</v>
      </c>
    </row>
    <row r="252">
      <c r="A252" s="1">
        <v>488.0</v>
      </c>
      <c r="B252" s="1">
        <v>18794.0</v>
      </c>
      <c r="C252" s="26">
        <v>18.604</v>
      </c>
      <c r="D252" s="23">
        <v>15.875</v>
      </c>
      <c r="E252" s="23">
        <v>3.072</v>
      </c>
      <c r="F252" s="61">
        <v>1025.8</v>
      </c>
      <c r="G252" s="23">
        <v>0.588</v>
      </c>
      <c r="H252" s="23">
        <v>0.386</v>
      </c>
      <c r="I252" s="1">
        <v>298.6</v>
      </c>
      <c r="J252" s="1">
        <v>447.8</v>
      </c>
      <c r="K252" s="1">
        <v>28179.0</v>
      </c>
      <c r="L252" s="1">
        <v>100.0</v>
      </c>
      <c r="M252" s="23">
        <v>15.372</v>
      </c>
    </row>
    <row r="253">
      <c r="A253" s="1">
        <v>490.0</v>
      </c>
      <c r="B253" s="1">
        <v>18794.0</v>
      </c>
      <c r="C253" s="26">
        <v>20.075</v>
      </c>
      <c r="D253" s="23">
        <v>16.425</v>
      </c>
      <c r="E253" s="23">
        <v>3.072</v>
      </c>
      <c r="F253" s="61">
        <v>1025.8</v>
      </c>
      <c r="G253" s="23">
        <v>0.588</v>
      </c>
      <c r="H253" s="23">
        <v>0.393</v>
      </c>
      <c r="I253" s="1">
        <v>298.6</v>
      </c>
      <c r="J253" s="1">
        <v>447.8</v>
      </c>
      <c r="K253" s="1">
        <v>28179.0</v>
      </c>
      <c r="L253" s="1">
        <v>100.0</v>
      </c>
      <c r="M253" s="23">
        <v>15.372</v>
      </c>
    </row>
    <row r="254">
      <c r="A254" s="1">
        <v>492.0</v>
      </c>
      <c r="B254" s="1">
        <v>22291.0</v>
      </c>
      <c r="C254" s="26">
        <v>21.721</v>
      </c>
      <c r="D254" s="23">
        <v>17.869</v>
      </c>
      <c r="E254" s="23">
        <v>3.112</v>
      </c>
      <c r="F254" s="61">
        <v>1040.8</v>
      </c>
      <c r="G254" s="23">
        <v>0.588</v>
      </c>
      <c r="H254" s="23">
        <v>0.393</v>
      </c>
      <c r="I254" s="1">
        <v>298.6</v>
      </c>
      <c r="J254" s="1">
        <v>447.8</v>
      </c>
      <c r="K254" s="1">
        <v>33421.0</v>
      </c>
      <c r="L254" s="1">
        <v>100.0</v>
      </c>
      <c r="M254" s="23">
        <v>15.506</v>
      </c>
    </row>
    <row r="255">
      <c r="A255" s="1">
        <v>494.0</v>
      </c>
      <c r="B255" s="1">
        <v>24039.0</v>
      </c>
      <c r="C255" s="26">
        <v>22.844</v>
      </c>
      <c r="D255" s="23">
        <v>18.578</v>
      </c>
      <c r="E255" s="23">
        <v>3.192</v>
      </c>
      <c r="F255" s="61">
        <v>1040.8</v>
      </c>
      <c r="G255" s="23">
        <v>0.614</v>
      </c>
      <c r="H255" s="23">
        <v>0.393</v>
      </c>
      <c r="I255" s="1">
        <v>298.6</v>
      </c>
      <c r="J255" s="1">
        <v>529.8</v>
      </c>
      <c r="K255" s="1">
        <v>36043.0</v>
      </c>
      <c r="L255" s="1">
        <v>100.0</v>
      </c>
      <c r="M255" s="23">
        <v>15.506</v>
      </c>
    </row>
    <row r="256">
      <c r="A256" s="1">
        <v>496.0</v>
      </c>
      <c r="B256" s="1">
        <v>24039.0</v>
      </c>
      <c r="C256" s="26">
        <v>22.833</v>
      </c>
      <c r="D256" s="23">
        <v>18.599</v>
      </c>
      <c r="E256" s="23">
        <v>3.192</v>
      </c>
      <c r="F256" s="61">
        <v>1005.8</v>
      </c>
      <c r="G256" s="23">
        <v>0.603</v>
      </c>
      <c r="H256" s="23">
        <v>0.393</v>
      </c>
      <c r="I256" s="1">
        <v>298.6</v>
      </c>
      <c r="J256" s="1">
        <v>494.8</v>
      </c>
      <c r="K256" s="1">
        <v>36043.0</v>
      </c>
      <c r="L256" s="1">
        <v>100.0</v>
      </c>
      <c r="M256" s="26">
        <v>15.6</v>
      </c>
    </row>
    <row r="257">
      <c r="A257" s="1">
        <v>498.0</v>
      </c>
      <c r="B257" s="1">
        <v>24039.0</v>
      </c>
      <c r="C257" s="26">
        <v>20.489</v>
      </c>
      <c r="D257" s="23">
        <v>18.599</v>
      </c>
      <c r="E257" s="23">
        <v>3.192</v>
      </c>
      <c r="F257" s="61">
        <v>1005.8</v>
      </c>
      <c r="G257" s="23">
        <v>0.703</v>
      </c>
      <c r="H257" s="23">
        <v>0.423</v>
      </c>
      <c r="I257" s="1">
        <v>298.6</v>
      </c>
      <c r="J257" s="1">
        <v>494.8</v>
      </c>
      <c r="K257" s="1">
        <v>36043.0</v>
      </c>
      <c r="L257" s="1">
        <v>100.0</v>
      </c>
      <c r="M257" s="26">
        <v>15.6</v>
      </c>
    </row>
    <row r="258">
      <c r="A258" s="1">
        <v>500.0</v>
      </c>
      <c r="B258" s="1">
        <v>25787.0</v>
      </c>
      <c r="C258" s="23">
        <v>20.67</v>
      </c>
      <c r="D258" s="23">
        <v>17.906</v>
      </c>
      <c r="E258" s="23">
        <v>3.262</v>
      </c>
      <c r="F258" s="61">
        <v>1005.8</v>
      </c>
      <c r="G258" s="23">
        <v>0.703</v>
      </c>
      <c r="H258" s="23">
        <v>0.423</v>
      </c>
      <c r="I258" s="1">
        <v>298.6</v>
      </c>
      <c r="J258" s="1">
        <v>494.8</v>
      </c>
      <c r="K258" s="1">
        <v>38664.0</v>
      </c>
      <c r="L258" s="1">
        <v>100.0</v>
      </c>
      <c r="M258" s="23">
        <v>15.566</v>
      </c>
    </row>
    <row r="259">
      <c r="A259" s="1">
        <v>502.0</v>
      </c>
      <c r="B259" s="1">
        <v>25787.0</v>
      </c>
      <c r="C259" s="23">
        <v>20.066</v>
      </c>
      <c r="D259" s="23">
        <v>17.619</v>
      </c>
      <c r="E259" s="23">
        <v>3.682</v>
      </c>
      <c r="F259" s="61">
        <v>1005.8</v>
      </c>
      <c r="G259" s="23">
        <v>0.703</v>
      </c>
      <c r="H259" s="23">
        <v>0.423</v>
      </c>
      <c r="I259" s="1">
        <v>298.6</v>
      </c>
      <c r="J259" s="1">
        <v>494.8</v>
      </c>
      <c r="K259" s="1">
        <v>38664.0</v>
      </c>
      <c r="L259" s="1">
        <v>100.0</v>
      </c>
      <c r="M259" s="23">
        <v>15.566</v>
      </c>
    </row>
    <row r="260">
      <c r="A260" s="1">
        <v>505.0</v>
      </c>
      <c r="B260" s="1">
        <v>25787.0</v>
      </c>
      <c r="C260" s="23">
        <v>20.078</v>
      </c>
      <c r="D260" s="23">
        <v>18.88</v>
      </c>
      <c r="E260" s="23">
        <v>3.682</v>
      </c>
      <c r="F260" s="61">
        <v>1040.8</v>
      </c>
      <c r="G260" s="23">
        <v>0.714</v>
      </c>
      <c r="H260" s="23">
        <v>0.413</v>
      </c>
      <c r="I260" s="1">
        <v>298.6</v>
      </c>
      <c r="J260" s="1">
        <v>529.8</v>
      </c>
      <c r="K260" s="1">
        <v>38664.0</v>
      </c>
      <c r="L260" s="1">
        <v>100.0</v>
      </c>
      <c r="M260" s="23">
        <v>15.473</v>
      </c>
    </row>
    <row r="261">
      <c r="A261" s="1">
        <v>507.0</v>
      </c>
      <c r="B261" s="1">
        <v>23643.0</v>
      </c>
      <c r="C261" s="23">
        <v>18.118</v>
      </c>
      <c r="D261" s="23">
        <v>17.953</v>
      </c>
      <c r="E261" s="23">
        <v>3.362</v>
      </c>
      <c r="F261" s="61">
        <v>1040.8</v>
      </c>
      <c r="G261" s="23">
        <v>0.714</v>
      </c>
      <c r="H261" s="23">
        <v>0.413</v>
      </c>
      <c r="I261" s="1">
        <v>298.6</v>
      </c>
      <c r="J261" s="1">
        <v>529.8</v>
      </c>
      <c r="K261" s="1">
        <v>36043.0</v>
      </c>
      <c r="L261" s="1">
        <v>100.0</v>
      </c>
      <c r="M261" s="23">
        <v>15.473</v>
      </c>
    </row>
    <row r="262">
      <c r="A262" s="1">
        <v>509.0</v>
      </c>
      <c r="B262" s="1">
        <v>20204.0</v>
      </c>
      <c r="C262" s="23">
        <v>16.984</v>
      </c>
      <c r="D262" s="23">
        <v>17.126</v>
      </c>
      <c r="E262" s="23">
        <v>3.202</v>
      </c>
      <c r="F262" s="61">
        <v>1040.8</v>
      </c>
      <c r="G262" s="23">
        <v>0.614</v>
      </c>
      <c r="H262" s="23">
        <v>0.383</v>
      </c>
      <c r="I262" s="1">
        <v>298.6</v>
      </c>
      <c r="J262" s="1">
        <v>529.8</v>
      </c>
      <c r="K262" s="1">
        <v>30800.0</v>
      </c>
      <c r="L262" s="1">
        <v>100.0</v>
      </c>
      <c r="M262" s="23">
        <v>15.481</v>
      </c>
    </row>
    <row r="263">
      <c r="A263" s="1">
        <v>511.0</v>
      </c>
      <c r="B263" s="1">
        <v>20542.0</v>
      </c>
      <c r="C263" s="23">
        <v>14.754</v>
      </c>
      <c r="D263" s="23">
        <v>16.832</v>
      </c>
      <c r="E263" s="23">
        <v>3.202</v>
      </c>
      <c r="F263" s="61">
        <v>1040.8</v>
      </c>
      <c r="G263" s="23">
        <v>0.588</v>
      </c>
      <c r="H263" s="23">
        <v>0.383</v>
      </c>
      <c r="I263" s="1">
        <v>298.6</v>
      </c>
      <c r="J263" s="1">
        <v>447.8</v>
      </c>
      <c r="K263" s="1">
        <v>30800.0</v>
      </c>
      <c r="L263" s="1">
        <v>100.0</v>
      </c>
      <c r="M263" s="23">
        <v>15.481</v>
      </c>
    </row>
    <row r="264">
      <c r="A264" s="1">
        <v>513.0</v>
      </c>
      <c r="B264" s="1">
        <v>20542.0</v>
      </c>
      <c r="C264" s="23">
        <v>14.776</v>
      </c>
      <c r="D264" s="23">
        <v>16.864</v>
      </c>
      <c r="E264" s="23">
        <v>3.202</v>
      </c>
      <c r="F264" s="61">
        <v>1040.8</v>
      </c>
      <c r="G264" s="23">
        <v>0.588</v>
      </c>
      <c r="H264" s="23">
        <v>0.383</v>
      </c>
      <c r="I264" s="1">
        <v>298.6</v>
      </c>
      <c r="J264" s="1">
        <v>447.8</v>
      </c>
      <c r="K264" s="1">
        <v>30800.0</v>
      </c>
      <c r="L264" s="1">
        <v>100.0</v>
      </c>
      <c r="M264" s="23">
        <v>15.481</v>
      </c>
    </row>
    <row r="265">
      <c r="A265" s="1">
        <v>515.0</v>
      </c>
      <c r="B265" s="1">
        <v>18794.0</v>
      </c>
      <c r="C265" s="23">
        <v>15.64</v>
      </c>
      <c r="D265" s="23">
        <v>16.886</v>
      </c>
      <c r="E265" s="23">
        <v>3.817</v>
      </c>
      <c r="F265" s="61">
        <v>1040.8</v>
      </c>
      <c r="G265" s="23">
        <v>0.588</v>
      </c>
      <c r="H265" s="23">
        <v>0.393</v>
      </c>
      <c r="I265" s="1">
        <v>298.6</v>
      </c>
      <c r="J265" s="1">
        <v>447.8</v>
      </c>
      <c r="K265" s="1">
        <v>28179.0</v>
      </c>
      <c r="L265" s="1">
        <v>100.0</v>
      </c>
      <c r="M265" s="23">
        <v>15.496</v>
      </c>
    </row>
    <row r="266">
      <c r="A266" s="1">
        <v>517.0</v>
      </c>
      <c r="B266" s="1">
        <v>18794.0</v>
      </c>
      <c r="C266" s="26">
        <v>15.839</v>
      </c>
      <c r="D266" s="23">
        <v>17.102</v>
      </c>
      <c r="E266" s="23">
        <v>3.73</v>
      </c>
      <c r="F266" s="61">
        <v>1005.8</v>
      </c>
      <c r="G266" s="23">
        <v>0.576</v>
      </c>
      <c r="H266" s="23">
        <v>0.393</v>
      </c>
      <c r="I266" s="1">
        <v>298.6</v>
      </c>
      <c r="J266" s="1">
        <v>412.8</v>
      </c>
      <c r="K266" s="1">
        <v>28179.0</v>
      </c>
      <c r="L266" s="1">
        <v>100.0</v>
      </c>
      <c r="M266" s="23">
        <v>15.496</v>
      </c>
    </row>
    <row r="267">
      <c r="A267" s="1">
        <v>519.0</v>
      </c>
      <c r="B267" s="1">
        <v>18794.0</v>
      </c>
      <c r="C267" s="26">
        <v>15.846</v>
      </c>
      <c r="D267" s="23">
        <v>16.236</v>
      </c>
      <c r="E267" s="23">
        <v>3.272</v>
      </c>
      <c r="F267" s="1">
        <v>990.8</v>
      </c>
      <c r="G267" s="23">
        <v>0.576</v>
      </c>
      <c r="H267" s="23">
        <v>0.393</v>
      </c>
      <c r="I267" s="1">
        <v>298.6</v>
      </c>
      <c r="J267" s="1">
        <v>412.8</v>
      </c>
      <c r="K267" s="1">
        <v>28179.0</v>
      </c>
      <c r="L267" s="1">
        <v>100.0</v>
      </c>
      <c r="M267" s="23">
        <v>15.508</v>
      </c>
    </row>
    <row r="268">
      <c r="A268" s="1">
        <v>521.0</v>
      </c>
      <c r="B268" s="1">
        <v>18794.0</v>
      </c>
      <c r="C268" s="26">
        <v>15.209</v>
      </c>
      <c r="D268" s="23">
        <v>17.001</v>
      </c>
      <c r="E268" s="23">
        <v>3.272</v>
      </c>
      <c r="F268" s="1">
        <v>966.5</v>
      </c>
      <c r="G268" s="23">
        <v>0.563</v>
      </c>
      <c r="H268" s="23">
        <v>0.393</v>
      </c>
      <c r="I268" s="1">
        <v>298.6</v>
      </c>
      <c r="J268" s="1">
        <v>373.6</v>
      </c>
      <c r="K268" s="1">
        <v>28179.0</v>
      </c>
      <c r="L268" s="1">
        <v>100.0</v>
      </c>
      <c r="M268" s="23">
        <v>15.508</v>
      </c>
    </row>
    <row r="269">
      <c r="A269" s="1">
        <v>523.0</v>
      </c>
      <c r="B269" s="1">
        <v>18794.0</v>
      </c>
      <c r="C269" s="26">
        <v>15.243</v>
      </c>
      <c r="D269" s="23">
        <v>16.99</v>
      </c>
      <c r="E269" s="23">
        <v>3.272</v>
      </c>
      <c r="F269" s="1">
        <v>966.5</v>
      </c>
      <c r="G269" s="23">
        <v>0.563</v>
      </c>
      <c r="H269" s="23">
        <v>1.394</v>
      </c>
      <c r="I269" s="1">
        <v>298.6</v>
      </c>
      <c r="J269" s="1">
        <v>373.6</v>
      </c>
      <c r="K269" s="1">
        <v>28179.0</v>
      </c>
      <c r="L269" s="1">
        <v>100.0</v>
      </c>
      <c r="M269" s="23">
        <v>15.455</v>
      </c>
    </row>
    <row r="270">
      <c r="A270" s="1">
        <v>525.0</v>
      </c>
      <c r="B270" s="1">
        <v>18794.0</v>
      </c>
      <c r="C270" s="23">
        <v>15.254</v>
      </c>
      <c r="D270" s="23">
        <v>17.017</v>
      </c>
      <c r="E270" s="23">
        <v>3.73</v>
      </c>
      <c r="F270" s="1">
        <v>966.5</v>
      </c>
      <c r="G270" s="23">
        <v>0.563</v>
      </c>
      <c r="H270" s="23">
        <v>1.394</v>
      </c>
      <c r="I270" s="1">
        <v>298.6</v>
      </c>
      <c r="J270" s="1">
        <v>373.6</v>
      </c>
      <c r="K270" s="1">
        <v>28179.0</v>
      </c>
      <c r="L270" s="1">
        <v>100.0</v>
      </c>
      <c r="M270" s="23">
        <v>15.455</v>
      </c>
    </row>
    <row r="271">
      <c r="A271" s="1">
        <v>527.0</v>
      </c>
      <c r="B271" s="1">
        <v>18794.0</v>
      </c>
      <c r="C271" s="23">
        <v>15.502</v>
      </c>
      <c r="D271" s="23">
        <v>17.256</v>
      </c>
      <c r="E271" s="23">
        <v>3.73</v>
      </c>
      <c r="F271" s="1">
        <v>966.5</v>
      </c>
      <c r="G271" s="23">
        <v>0.59</v>
      </c>
      <c r="H271" s="23">
        <v>0.393</v>
      </c>
      <c r="I271" s="1">
        <v>298.6</v>
      </c>
      <c r="J271" s="1">
        <v>455.5</v>
      </c>
      <c r="K271" s="1">
        <v>28179.0</v>
      </c>
      <c r="L271" s="1">
        <v>100.0</v>
      </c>
      <c r="M271" s="23">
        <v>15.544</v>
      </c>
    </row>
    <row r="272">
      <c r="A272" s="1">
        <v>529.0</v>
      </c>
      <c r="B272" s="1">
        <v>20542.0</v>
      </c>
      <c r="C272" s="23">
        <v>16.087</v>
      </c>
      <c r="D272" s="23">
        <v>16.057</v>
      </c>
      <c r="E272" s="23">
        <v>3.73</v>
      </c>
      <c r="F272" s="61">
        <v>1040.8</v>
      </c>
      <c r="G272" s="23">
        <v>0.614</v>
      </c>
      <c r="H272" s="23">
        <v>0.393</v>
      </c>
      <c r="I272" s="1">
        <v>298.6</v>
      </c>
      <c r="J272" s="1">
        <v>529.8</v>
      </c>
      <c r="K272" s="1">
        <v>30800.0</v>
      </c>
      <c r="L272" s="1">
        <v>100.0</v>
      </c>
      <c r="M272" s="23">
        <v>15.544</v>
      </c>
    </row>
    <row r="273">
      <c r="A273" s="1">
        <v>531.0</v>
      </c>
      <c r="B273" s="1">
        <v>17920.0</v>
      </c>
      <c r="C273" s="23">
        <v>15.619</v>
      </c>
      <c r="D273" s="23">
        <v>15.643</v>
      </c>
      <c r="E273" s="23">
        <v>3.686</v>
      </c>
      <c r="F273" s="61">
        <v>1040.8</v>
      </c>
      <c r="G273" s="23">
        <v>0.614</v>
      </c>
      <c r="H273" s="23">
        <v>0.393</v>
      </c>
      <c r="I273" s="1">
        <v>298.6</v>
      </c>
      <c r="J273" s="1">
        <v>529.8</v>
      </c>
      <c r="K273" s="1">
        <v>26868.0</v>
      </c>
      <c r="L273" s="1">
        <v>100.0</v>
      </c>
      <c r="M273" s="23">
        <v>15.523</v>
      </c>
    </row>
    <row r="274">
      <c r="A274" s="1">
        <v>533.0</v>
      </c>
      <c r="B274" s="1">
        <v>17920.0</v>
      </c>
      <c r="C274" s="23">
        <v>15.99</v>
      </c>
      <c r="D274" s="23">
        <v>15.973</v>
      </c>
      <c r="E274" s="23">
        <v>3.686</v>
      </c>
      <c r="F274" s="61">
        <v>1025.8</v>
      </c>
      <c r="G274" s="23">
        <v>0.614</v>
      </c>
      <c r="H274" s="23">
        <v>0.393</v>
      </c>
      <c r="I274" s="1">
        <v>298.6</v>
      </c>
      <c r="J274" s="1">
        <v>529.8</v>
      </c>
      <c r="K274" s="1">
        <v>26868.0</v>
      </c>
      <c r="L274" s="1">
        <v>100.0</v>
      </c>
      <c r="M274" s="23">
        <v>15.523</v>
      </c>
    </row>
    <row r="275">
      <c r="A275" s="1">
        <v>535.0</v>
      </c>
      <c r="B275" s="1">
        <v>17920.0</v>
      </c>
      <c r="C275" s="23">
        <v>16.423</v>
      </c>
      <c r="D275" s="23">
        <v>15.611</v>
      </c>
      <c r="E275" s="23">
        <v>3.202</v>
      </c>
      <c r="F275" s="61">
        <v>1025.8</v>
      </c>
      <c r="G275" s="23">
        <v>0.614</v>
      </c>
      <c r="H275" s="23">
        <v>0.393</v>
      </c>
      <c r="I275" s="1">
        <v>298.6</v>
      </c>
      <c r="J275" s="1">
        <v>529.8</v>
      </c>
      <c r="K275" s="1">
        <v>26868.0</v>
      </c>
      <c r="L275" s="1">
        <v>99.0</v>
      </c>
      <c r="M275" s="23">
        <v>15.445</v>
      </c>
    </row>
    <row r="276">
      <c r="A276" s="1">
        <v>537.0</v>
      </c>
      <c r="B276" s="1">
        <v>17920.0</v>
      </c>
      <c r="C276" s="23">
        <v>16.289</v>
      </c>
      <c r="D276" s="23">
        <v>15.611</v>
      </c>
      <c r="E276" s="23">
        <v>3.202</v>
      </c>
      <c r="F276" s="61">
        <v>1025.8</v>
      </c>
      <c r="G276" s="23">
        <v>0.614</v>
      </c>
      <c r="H276" s="23">
        <v>0.393</v>
      </c>
      <c r="I276" s="1">
        <v>298.6</v>
      </c>
      <c r="J276" s="1">
        <v>529.8</v>
      </c>
      <c r="K276" s="1">
        <v>26868.0</v>
      </c>
      <c r="L276" s="1">
        <v>100.0</v>
      </c>
      <c r="M276" s="23">
        <v>15.445</v>
      </c>
    </row>
    <row r="277">
      <c r="A277" s="1">
        <v>539.0</v>
      </c>
      <c r="B277" s="1">
        <v>17920.0</v>
      </c>
      <c r="C277" s="23">
        <v>16.425</v>
      </c>
      <c r="D277" s="23">
        <v>15.606</v>
      </c>
      <c r="E277" s="23">
        <v>3.202</v>
      </c>
      <c r="F277" s="1">
        <v>990.8</v>
      </c>
      <c r="G277" s="23">
        <v>0.603</v>
      </c>
      <c r="H277" s="23">
        <v>0.393</v>
      </c>
      <c r="I277" s="1">
        <v>298.6</v>
      </c>
      <c r="J277" s="1">
        <v>494.8</v>
      </c>
      <c r="K277" s="1">
        <v>26868.0</v>
      </c>
      <c r="L277" s="1">
        <v>100.0</v>
      </c>
      <c r="M277" s="23">
        <v>15.428</v>
      </c>
    </row>
    <row r="278">
      <c r="A278" s="1">
        <v>541.0</v>
      </c>
      <c r="B278" s="1">
        <v>17920.0</v>
      </c>
      <c r="C278" s="23">
        <v>16.4</v>
      </c>
      <c r="D278" s="23">
        <v>15.606</v>
      </c>
      <c r="E278" s="23">
        <v>3.202</v>
      </c>
      <c r="F278" s="61">
        <v>1025.8</v>
      </c>
      <c r="G278" s="23">
        <v>0.614</v>
      </c>
      <c r="H278" s="23">
        <v>0.393</v>
      </c>
      <c r="I278" s="1">
        <v>298.6</v>
      </c>
      <c r="J278" s="1">
        <v>529.8</v>
      </c>
      <c r="K278" s="1">
        <v>26868.0</v>
      </c>
      <c r="L278" s="1">
        <v>100.0</v>
      </c>
      <c r="M278" s="23">
        <v>15.428</v>
      </c>
    </row>
    <row r="279">
      <c r="A279" s="1">
        <v>543.0</v>
      </c>
      <c r="B279" s="1">
        <v>17920.0</v>
      </c>
      <c r="C279" s="23">
        <v>16.265</v>
      </c>
      <c r="D279" s="26">
        <v>15.496</v>
      </c>
      <c r="E279" s="23">
        <v>3.202</v>
      </c>
      <c r="F279" s="61">
        <v>1025.8</v>
      </c>
      <c r="G279" s="23">
        <v>0.614</v>
      </c>
      <c r="H279" s="23">
        <v>0.393</v>
      </c>
      <c r="I279" s="1">
        <v>298.6</v>
      </c>
      <c r="J279" s="1">
        <v>529.8</v>
      </c>
      <c r="K279" s="1">
        <v>26868.0</v>
      </c>
      <c r="L279" s="1">
        <v>100.0</v>
      </c>
      <c r="M279" s="23">
        <v>15.428</v>
      </c>
    </row>
    <row r="280">
      <c r="A280" s="1">
        <v>545.0</v>
      </c>
      <c r="B280" s="1">
        <v>18794.0</v>
      </c>
      <c r="C280" s="23">
        <v>16.338</v>
      </c>
      <c r="D280" s="23">
        <v>15.565</v>
      </c>
      <c r="E280" s="26">
        <v>3.242</v>
      </c>
      <c r="F280" s="61">
        <v>1025.8</v>
      </c>
      <c r="G280" s="23">
        <v>0.588</v>
      </c>
      <c r="H280" s="23">
        <v>0.393</v>
      </c>
      <c r="I280" s="1">
        <v>298.6</v>
      </c>
      <c r="J280" s="1">
        <v>447.8</v>
      </c>
      <c r="K280" s="1">
        <v>28179.0</v>
      </c>
      <c r="L280" s="1">
        <v>100.0</v>
      </c>
      <c r="M280" s="23">
        <v>15.378</v>
      </c>
    </row>
    <row r="281">
      <c r="A281" s="1">
        <v>547.0</v>
      </c>
      <c r="B281" s="1">
        <v>18794.0</v>
      </c>
      <c r="C281" s="23">
        <v>17.111</v>
      </c>
      <c r="D281" s="23">
        <v>15.565</v>
      </c>
      <c r="E281" s="26">
        <v>3.242</v>
      </c>
      <c r="F281" s="61">
        <v>1040.8</v>
      </c>
      <c r="G281" s="23">
        <v>0.588</v>
      </c>
      <c r="H281" s="23">
        <v>0.393</v>
      </c>
      <c r="I281" s="1">
        <v>298.6</v>
      </c>
      <c r="J281" s="1">
        <v>447.8</v>
      </c>
      <c r="K281" s="1">
        <v>28179.0</v>
      </c>
      <c r="L281" s="1">
        <v>100.0</v>
      </c>
      <c r="M281" s="23">
        <v>15.378</v>
      </c>
    </row>
    <row r="282">
      <c r="A282" s="1">
        <v>549.0</v>
      </c>
      <c r="B282" s="1">
        <v>18794.0</v>
      </c>
      <c r="C282" s="23">
        <v>17.098</v>
      </c>
      <c r="D282" s="23">
        <v>15.559</v>
      </c>
      <c r="E282" s="23">
        <v>3.122</v>
      </c>
      <c r="F282" s="61">
        <v>1040.8</v>
      </c>
      <c r="G282" s="23">
        <v>0.588</v>
      </c>
      <c r="H282" s="23">
        <v>0.393</v>
      </c>
      <c r="I282" s="1">
        <v>298.6</v>
      </c>
      <c r="J282" s="1">
        <v>447.8</v>
      </c>
      <c r="K282" s="1">
        <v>28179.0</v>
      </c>
      <c r="L282" s="1">
        <v>100.0</v>
      </c>
      <c r="M282" s="23">
        <v>15.365</v>
      </c>
    </row>
    <row r="283">
      <c r="A283" s="1">
        <v>551.0</v>
      </c>
      <c r="B283" s="1">
        <v>18794.0</v>
      </c>
      <c r="C283" s="23">
        <v>17.072</v>
      </c>
      <c r="D283" s="23">
        <v>15.535</v>
      </c>
      <c r="E283" s="23">
        <v>2.802</v>
      </c>
      <c r="F283" s="61">
        <v>1040.8</v>
      </c>
      <c r="G283" s="23">
        <v>0.588</v>
      </c>
      <c r="H283" s="23">
        <v>0.393</v>
      </c>
      <c r="I283" s="1">
        <v>298.6</v>
      </c>
      <c r="J283" s="1">
        <v>447.8</v>
      </c>
      <c r="K283" s="1">
        <v>28179.0</v>
      </c>
      <c r="L283" s="1">
        <v>100.0</v>
      </c>
      <c r="M283" s="23">
        <v>15.365</v>
      </c>
    </row>
    <row r="284">
      <c r="A284" s="1">
        <v>553.0</v>
      </c>
      <c r="B284" s="1">
        <v>18794.0</v>
      </c>
      <c r="C284" s="23">
        <v>17.046</v>
      </c>
      <c r="D284" s="23">
        <v>15.56</v>
      </c>
      <c r="E284" s="26">
        <v>3.222</v>
      </c>
      <c r="F284" s="61">
        <v>1040.8</v>
      </c>
      <c r="G284" s="23">
        <v>0.581</v>
      </c>
      <c r="H284" s="23">
        <v>0.386</v>
      </c>
      <c r="I284" s="1">
        <v>298.6</v>
      </c>
      <c r="J284" s="1">
        <v>428.0</v>
      </c>
      <c r="K284" s="1">
        <v>28179.0</v>
      </c>
      <c r="L284" s="1">
        <v>100.0</v>
      </c>
      <c r="M284" s="23">
        <v>15.359</v>
      </c>
    </row>
    <row r="285">
      <c r="A285" s="1">
        <v>555.0</v>
      </c>
      <c r="B285" s="1">
        <v>18484.0</v>
      </c>
      <c r="C285" s="23">
        <v>16.758</v>
      </c>
      <c r="D285" s="23">
        <v>15.89</v>
      </c>
      <c r="E285" s="26">
        <v>3.222</v>
      </c>
      <c r="F285" s="61">
        <v>1001.5</v>
      </c>
      <c r="G285" s="23">
        <v>0.568</v>
      </c>
      <c r="H285" s="23">
        <v>0.386</v>
      </c>
      <c r="I285" s="1">
        <v>298.6</v>
      </c>
      <c r="J285" s="1">
        <v>388.8</v>
      </c>
      <c r="K285" s="1">
        <v>28179.0</v>
      </c>
      <c r="L285" s="1">
        <v>100.0</v>
      </c>
      <c r="M285" s="23">
        <v>15.359</v>
      </c>
    </row>
    <row r="286">
      <c r="A286" s="1">
        <v>557.0</v>
      </c>
      <c r="B286" s="1">
        <v>18484.0</v>
      </c>
      <c r="C286" s="23">
        <v>16.337</v>
      </c>
      <c r="D286" s="23">
        <v>15.546</v>
      </c>
      <c r="E286" s="26">
        <v>3.472</v>
      </c>
      <c r="F286" s="1">
        <v>966.5</v>
      </c>
      <c r="G286" s="23">
        <v>0.563</v>
      </c>
      <c r="H286" s="23">
        <v>0.376</v>
      </c>
      <c r="I286" s="1">
        <v>298.6</v>
      </c>
      <c r="J286" s="1">
        <v>373.6</v>
      </c>
      <c r="K286" s="1">
        <v>28179.0</v>
      </c>
      <c r="L286" s="1">
        <v>100.0</v>
      </c>
      <c r="M286" s="23">
        <v>15.408</v>
      </c>
    </row>
    <row r="287">
      <c r="A287" s="1">
        <v>559.0</v>
      </c>
      <c r="B287" s="1">
        <v>18794.0</v>
      </c>
      <c r="C287" s="23">
        <v>16.381</v>
      </c>
      <c r="D287" s="23">
        <v>15.579</v>
      </c>
      <c r="E287" s="23">
        <v>3.472</v>
      </c>
      <c r="F287" s="1">
        <v>986.5</v>
      </c>
      <c r="G287" s="23">
        <v>0.602</v>
      </c>
      <c r="H287" s="23">
        <v>0.376</v>
      </c>
      <c r="I287" s="1">
        <v>298.6</v>
      </c>
      <c r="J287" s="1">
        <v>490.5</v>
      </c>
      <c r="K287" s="1">
        <v>28179.0</v>
      </c>
      <c r="L287" s="1">
        <v>100.0</v>
      </c>
      <c r="M287" s="23">
        <v>15.408</v>
      </c>
    </row>
    <row r="288">
      <c r="A288" s="1">
        <v>561.0</v>
      </c>
      <c r="B288" s="1">
        <v>18794.0</v>
      </c>
      <c r="C288" s="23">
        <v>17.299</v>
      </c>
      <c r="D288" s="23">
        <v>15.089</v>
      </c>
      <c r="E288" s="23">
        <v>3.472</v>
      </c>
      <c r="F288" s="61">
        <v>1025.8</v>
      </c>
      <c r="G288" s="23">
        <v>0.614</v>
      </c>
      <c r="H288" s="23">
        <v>0.376</v>
      </c>
      <c r="I288" s="1">
        <v>298.6</v>
      </c>
      <c r="J288" s="1">
        <v>529.8</v>
      </c>
      <c r="K288" s="1">
        <v>28179.0</v>
      </c>
      <c r="L288" s="1">
        <v>100.0</v>
      </c>
      <c r="M288" s="26">
        <v>15.4</v>
      </c>
    </row>
    <row r="289">
      <c r="A289" s="1">
        <v>563.0</v>
      </c>
      <c r="B289" s="1">
        <v>22291.0</v>
      </c>
      <c r="C289" s="23">
        <v>18.77</v>
      </c>
      <c r="D289" s="23">
        <v>16.291</v>
      </c>
      <c r="E289" s="26">
        <v>3.552</v>
      </c>
      <c r="F289" s="61">
        <v>1025.8</v>
      </c>
      <c r="G289" s="23">
        <v>0.614</v>
      </c>
      <c r="H289" s="23">
        <v>0.383</v>
      </c>
      <c r="I289" s="1">
        <v>298.6</v>
      </c>
      <c r="J289" s="1">
        <v>529.8</v>
      </c>
      <c r="K289" s="1">
        <v>33421.0</v>
      </c>
      <c r="L289" s="1">
        <v>100.0</v>
      </c>
      <c r="M289" s="26">
        <v>15.4</v>
      </c>
    </row>
    <row r="290">
      <c r="A290" s="1">
        <v>565.0</v>
      </c>
      <c r="B290" s="1">
        <v>25787.0</v>
      </c>
      <c r="C290" s="23">
        <v>19.957</v>
      </c>
      <c r="D290" s="23">
        <v>17.298</v>
      </c>
      <c r="E290" s="26">
        <v>3.782</v>
      </c>
      <c r="F290" s="61">
        <v>1025.8</v>
      </c>
      <c r="G290" s="23">
        <v>0.614</v>
      </c>
      <c r="H290" s="23">
        <v>0.383</v>
      </c>
      <c r="I290" s="1">
        <v>298.6</v>
      </c>
      <c r="J290" s="1">
        <v>529.8</v>
      </c>
      <c r="K290" s="1">
        <v>38664.0</v>
      </c>
      <c r="L290" s="1">
        <v>100.0</v>
      </c>
      <c r="M290" s="23">
        <v>15.528</v>
      </c>
    </row>
    <row r="291">
      <c r="A291" s="1">
        <v>567.0</v>
      </c>
      <c r="B291" s="1">
        <v>25787.0</v>
      </c>
      <c r="C291" s="23">
        <v>17.22</v>
      </c>
      <c r="D291" s="23">
        <v>17.298</v>
      </c>
      <c r="E291" s="26">
        <v>3.782</v>
      </c>
      <c r="F291" s="61">
        <v>1025.8</v>
      </c>
      <c r="G291" s="23">
        <v>0.614</v>
      </c>
      <c r="H291" s="23">
        <v>0.383</v>
      </c>
      <c r="I291" s="1">
        <v>298.6</v>
      </c>
      <c r="J291" s="1">
        <v>529.8</v>
      </c>
      <c r="K291" s="1">
        <v>38664.0</v>
      </c>
      <c r="L291" s="1">
        <v>100.0</v>
      </c>
      <c r="M291" s="23">
        <v>15.528</v>
      </c>
    </row>
    <row r="292">
      <c r="A292" s="1">
        <v>569.0</v>
      </c>
      <c r="B292" s="1">
        <v>25787.0</v>
      </c>
      <c r="C292" s="23">
        <v>17.231</v>
      </c>
      <c r="D292" s="23">
        <v>17.295</v>
      </c>
      <c r="E292" s="26">
        <v>3.782</v>
      </c>
      <c r="F292" s="61">
        <v>1025.8</v>
      </c>
      <c r="G292" s="23">
        <v>0.614</v>
      </c>
      <c r="H292" s="23">
        <v>0.383</v>
      </c>
      <c r="I292" s="1">
        <v>298.6</v>
      </c>
      <c r="J292" s="1">
        <v>529.8</v>
      </c>
      <c r="K292" s="1">
        <v>38664.0</v>
      </c>
      <c r="L292" s="1">
        <v>100.0</v>
      </c>
      <c r="M292" s="23">
        <v>15.511</v>
      </c>
    </row>
    <row r="293">
      <c r="A293" s="1">
        <v>571.0</v>
      </c>
      <c r="B293" s="1">
        <v>25787.0</v>
      </c>
      <c r="C293" s="26">
        <v>17.574</v>
      </c>
      <c r="D293" s="23">
        <v>18.447</v>
      </c>
      <c r="E293" s="26">
        <v>3.682</v>
      </c>
      <c r="F293" s="1">
        <v>990.8</v>
      </c>
      <c r="G293" s="23">
        <v>0.603</v>
      </c>
      <c r="H293" s="23">
        <v>0.383</v>
      </c>
      <c r="I293" s="1">
        <v>298.6</v>
      </c>
      <c r="J293" s="1">
        <v>494.8</v>
      </c>
      <c r="K293" s="1">
        <v>38664.0</v>
      </c>
      <c r="L293" s="1">
        <v>100.0</v>
      </c>
      <c r="M293" s="23">
        <v>15.511</v>
      </c>
    </row>
    <row r="294">
      <c r="A294" s="1">
        <v>573.0</v>
      </c>
      <c r="B294" s="1">
        <v>25787.0</v>
      </c>
      <c r="C294" s="26">
        <v>18.098</v>
      </c>
      <c r="D294" s="23">
        <v>18.784</v>
      </c>
      <c r="E294" s="26">
        <v>3.682</v>
      </c>
      <c r="F294" s="1">
        <v>986.5</v>
      </c>
      <c r="G294" s="23">
        <v>0.602</v>
      </c>
      <c r="H294" s="23">
        <v>0.376</v>
      </c>
      <c r="I294" s="1">
        <v>298.6</v>
      </c>
      <c r="J294" s="1">
        <v>490.5</v>
      </c>
      <c r="K294" s="1">
        <v>38664.0</v>
      </c>
      <c r="L294" s="1">
        <v>100.0</v>
      </c>
      <c r="M294" s="23">
        <v>15.617</v>
      </c>
    </row>
    <row r="295">
      <c r="A295" s="1">
        <v>576.0</v>
      </c>
      <c r="B295" s="1">
        <v>25787.0</v>
      </c>
      <c r="C295" s="23">
        <v>18.916</v>
      </c>
      <c r="D295" s="23">
        <v>18.784</v>
      </c>
      <c r="E295" s="26">
        <v>3.682</v>
      </c>
      <c r="F295" s="61">
        <v>1025.8</v>
      </c>
      <c r="G295" s="23">
        <v>0.588</v>
      </c>
      <c r="H295" s="23">
        <v>0.376</v>
      </c>
      <c r="I295" s="1">
        <v>298.6</v>
      </c>
      <c r="J295" s="1">
        <v>447.8</v>
      </c>
      <c r="K295" s="1">
        <v>38664.0</v>
      </c>
      <c r="L295" s="1">
        <v>100.0</v>
      </c>
      <c r="M295" s="23">
        <v>15.617</v>
      </c>
    </row>
    <row r="296">
      <c r="A296" s="1">
        <v>578.0</v>
      </c>
      <c r="B296" s="1">
        <v>25787.0</v>
      </c>
      <c r="C296" s="23">
        <v>17.189</v>
      </c>
      <c r="D296" s="23">
        <v>17.209</v>
      </c>
      <c r="E296" s="26">
        <v>3.682</v>
      </c>
      <c r="F296" s="61">
        <v>1040.8</v>
      </c>
      <c r="G296" s="23">
        <v>0.688</v>
      </c>
      <c r="H296" s="23">
        <v>0.413</v>
      </c>
      <c r="I296" s="1">
        <v>298.6</v>
      </c>
      <c r="J296" s="1">
        <v>447.8</v>
      </c>
      <c r="K296" s="1">
        <v>38664.0</v>
      </c>
      <c r="L296" s="1">
        <v>100.0</v>
      </c>
      <c r="M296" s="23">
        <v>15.617</v>
      </c>
    </row>
    <row r="297">
      <c r="A297" s="1">
        <v>580.0</v>
      </c>
      <c r="B297" s="1">
        <v>18794.0</v>
      </c>
      <c r="C297" s="23">
        <v>16.125</v>
      </c>
      <c r="D297" s="23">
        <v>16.198</v>
      </c>
      <c r="E297" s="26">
        <v>3.452</v>
      </c>
      <c r="F297" s="61">
        <v>1040.8</v>
      </c>
      <c r="G297" s="23">
        <v>0.688</v>
      </c>
      <c r="H297" s="23">
        <v>0.413</v>
      </c>
      <c r="I297" s="1">
        <v>298.6</v>
      </c>
      <c r="J297" s="1">
        <v>447.8</v>
      </c>
      <c r="K297" s="1">
        <v>28179.0</v>
      </c>
      <c r="L297" s="1">
        <v>100.0</v>
      </c>
      <c r="M297" s="23">
        <v>15.472</v>
      </c>
    </row>
    <row r="298">
      <c r="A298" s="1">
        <v>582.0</v>
      </c>
      <c r="B298" s="1">
        <v>18794.0</v>
      </c>
      <c r="C298" s="23">
        <v>15.973</v>
      </c>
      <c r="D298" s="23">
        <v>16.045</v>
      </c>
      <c r="E298" s="23">
        <v>3.372</v>
      </c>
      <c r="F298" s="61">
        <v>1040.8</v>
      </c>
      <c r="G298" s="23">
        <v>0.688</v>
      </c>
      <c r="H298" s="23">
        <v>0.413</v>
      </c>
      <c r="I298" s="1">
        <v>298.6</v>
      </c>
      <c r="J298" s="1">
        <v>447.8</v>
      </c>
      <c r="K298" s="1">
        <v>28179.0</v>
      </c>
      <c r="L298" s="1">
        <v>100.0</v>
      </c>
      <c r="M298" s="23">
        <v>15.472</v>
      </c>
    </row>
    <row r="299">
      <c r="A299" s="1">
        <v>584.0</v>
      </c>
      <c r="B299" s="1">
        <v>18794.0</v>
      </c>
      <c r="C299" s="23">
        <v>16.417</v>
      </c>
      <c r="D299" s="23">
        <v>14.872</v>
      </c>
      <c r="E299" s="26">
        <v>3.492</v>
      </c>
      <c r="F299" s="61">
        <v>1040.8</v>
      </c>
      <c r="G299" s="23">
        <v>0.688</v>
      </c>
      <c r="H299" s="23">
        <v>0.413</v>
      </c>
      <c r="I299" s="1">
        <v>298.6</v>
      </c>
      <c r="J299" s="1">
        <v>447.8</v>
      </c>
      <c r="K299" s="1">
        <v>28179.0</v>
      </c>
      <c r="L299" s="1">
        <v>100.0</v>
      </c>
      <c r="M299" s="23">
        <v>15.365</v>
      </c>
    </row>
    <row r="300">
      <c r="A300" s="1">
        <v>586.0</v>
      </c>
      <c r="B300" s="1">
        <v>18794.0</v>
      </c>
      <c r="C300" s="23">
        <v>16.085</v>
      </c>
      <c r="D300" s="23">
        <v>15.241</v>
      </c>
      <c r="E300" s="26">
        <v>3.492</v>
      </c>
      <c r="F300" s="61">
        <v>1040.8</v>
      </c>
      <c r="G300" s="23">
        <v>0.688</v>
      </c>
      <c r="H300" s="23">
        <v>1.414</v>
      </c>
      <c r="I300" s="1">
        <v>298.6</v>
      </c>
      <c r="J300" s="1">
        <v>447.8</v>
      </c>
      <c r="K300" s="1">
        <v>28179.0</v>
      </c>
      <c r="L300" s="1">
        <v>100.0</v>
      </c>
      <c r="M300" s="23">
        <v>15.365</v>
      </c>
    </row>
    <row r="301">
      <c r="A301" s="1">
        <v>588.0</v>
      </c>
      <c r="B301" s="1">
        <v>18794.0</v>
      </c>
      <c r="C301" s="23">
        <v>16.454</v>
      </c>
      <c r="D301" s="23">
        <v>15.557</v>
      </c>
      <c r="E301" s="26">
        <v>3.072</v>
      </c>
      <c r="F301" s="61">
        <v>1040.8</v>
      </c>
      <c r="G301" s="23">
        <v>0.588</v>
      </c>
      <c r="H301" s="23">
        <v>1.384</v>
      </c>
      <c r="I301" s="1">
        <v>298.6</v>
      </c>
      <c r="J301" s="1">
        <v>447.8</v>
      </c>
      <c r="K301" s="1">
        <v>28179.0</v>
      </c>
      <c r="L301" s="1">
        <v>100.0</v>
      </c>
      <c r="M301" s="23">
        <v>15.425</v>
      </c>
    </row>
    <row r="302">
      <c r="A302" s="1">
        <v>590.0</v>
      </c>
      <c r="B302" s="1">
        <v>18794.0</v>
      </c>
      <c r="C302" s="23">
        <v>18.4</v>
      </c>
      <c r="D302" s="23">
        <v>15.557</v>
      </c>
      <c r="E302" s="26">
        <v>3.072</v>
      </c>
      <c r="F302" s="61">
        <v>1025.8</v>
      </c>
      <c r="G302" s="23">
        <v>0.614</v>
      </c>
      <c r="H302" s="23">
        <v>0.383</v>
      </c>
      <c r="I302" s="1">
        <v>298.6</v>
      </c>
      <c r="J302" s="1">
        <v>529.8</v>
      </c>
      <c r="K302" s="1">
        <v>28179.0</v>
      </c>
      <c r="L302" s="1">
        <v>100.0</v>
      </c>
      <c r="M302" s="23">
        <v>15.425</v>
      </c>
    </row>
    <row r="303">
      <c r="A303" s="1">
        <v>592.0</v>
      </c>
      <c r="B303" s="1">
        <v>18794.0</v>
      </c>
      <c r="C303" s="26">
        <v>18.841</v>
      </c>
      <c r="D303" s="23">
        <v>15.892</v>
      </c>
      <c r="E303" s="26">
        <v>3.072</v>
      </c>
      <c r="F303" s="61">
        <v>1025.8</v>
      </c>
      <c r="G303" s="23">
        <v>0.614</v>
      </c>
      <c r="H303" s="23">
        <v>0.383</v>
      </c>
      <c r="I303" s="1">
        <v>298.6</v>
      </c>
      <c r="J303" s="1">
        <v>529.8</v>
      </c>
      <c r="K303" s="1">
        <v>28179.0</v>
      </c>
      <c r="L303" s="1">
        <v>100.0</v>
      </c>
      <c r="M303" s="23">
        <v>15.452</v>
      </c>
    </row>
    <row r="304">
      <c r="A304" s="1">
        <v>594.0</v>
      </c>
      <c r="B304" s="1">
        <v>18794.0</v>
      </c>
      <c r="C304" s="23">
        <v>19.517</v>
      </c>
      <c r="D304" s="26">
        <v>16.442</v>
      </c>
      <c r="E304" s="26">
        <v>3.072</v>
      </c>
      <c r="F304" s="61">
        <v>1025.8</v>
      </c>
      <c r="G304" s="23">
        <v>0.614</v>
      </c>
      <c r="H304" s="23">
        <v>0.393</v>
      </c>
      <c r="I304" s="1">
        <v>298.6</v>
      </c>
      <c r="J304" s="1">
        <v>529.8</v>
      </c>
      <c r="K304" s="1">
        <v>28179.0</v>
      </c>
      <c r="L304" s="1">
        <v>100.0</v>
      </c>
      <c r="M304" s="23">
        <v>15.452</v>
      </c>
    </row>
    <row r="305">
      <c r="A305" s="1">
        <v>596.0</v>
      </c>
      <c r="B305" s="1">
        <v>20542.0</v>
      </c>
      <c r="C305" s="23">
        <v>19.586</v>
      </c>
      <c r="D305" s="23">
        <v>16.509</v>
      </c>
      <c r="E305" s="26">
        <v>3.763</v>
      </c>
      <c r="F305" s="61">
        <v>1025.8</v>
      </c>
      <c r="G305" s="23">
        <v>0.614</v>
      </c>
      <c r="H305" s="23">
        <v>0.393</v>
      </c>
      <c r="I305" s="1">
        <v>298.6</v>
      </c>
      <c r="J305" s="1">
        <v>529.8</v>
      </c>
      <c r="K305" s="1">
        <v>30800.0</v>
      </c>
      <c r="L305" s="1">
        <v>100.0</v>
      </c>
      <c r="M305" s="23">
        <v>15.442</v>
      </c>
    </row>
    <row r="306">
      <c r="A306" s="1">
        <v>598.0</v>
      </c>
      <c r="B306" s="1">
        <v>17920.0</v>
      </c>
      <c r="C306" s="23">
        <v>19.297</v>
      </c>
      <c r="D306" s="23">
        <v>16.289</v>
      </c>
      <c r="E306" s="26">
        <v>3.817</v>
      </c>
      <c r="F306" s="61">
        <v>1025.8</v>
      </c>
      <c r="G306" s="23">
        <v>0.614</v>
      </c>
      <c r="H306" s="23">
        <v>0.393</v>
      </c>
      <c r="I306" s="1">
        <v>298.6</v>
      </c>
      <c r="J306" s="1">
        <v>529.8</v>
      </c>
      <c r="K306" s="1">
        <v>26868.0</v>
      </c>
      <c r="L306" s="1">
        <v>100.0</v>
      </c>
      <c r="M306" s="23">
        <v>15.442</v>
      </c>
    </row>
    <row r="307">
      <c r="A307" s="1">
        <v>600.0</v>
      </c>
      <c r="B307" s="1">
        <v>17920.0</v>
      </c>
      <c r="C307" s="23">
        <v>20.135</v>
      </c>
      <c r="D307" s="23">
        <v>16.298</v>
      </c>
      <c r="E307" s="26">
        <v>3.686</v>
      </c>
      <c r="F307" s="61">
        <v>1025.8</v>
      </c>
      <c r="G307" s="23">
        <v>0.714</v>
      </c>
      <c r="H307" s="23">
        <v>0.423</v>
      </c>
      <c r="I307" s="1">
        <v>298.6</v>
      </c>
      <c r="J307" s="1">
        <v>529.8</v>
      </c>
      <c r="K307" s="1">
        <v>26868.0</v>
      </c>
      <c r="L307" s="1">
        <v>100.0</v>
      </c>
      <c r="M307" s="23">
        <v>15.501</v>
      </c>
    </row>
    <row r="308">
      <c r="A308" s="1">
        <v>602.0</v>
      </c>
      <c r="B308" s="1">
        <v>17920.0</v>
      </c>
      <c r="C308" s="23">
        <v>20.092</v>
      </c>
      <c r="D308" s="23">
        <v>16.298</v>
      </c>
      <c r="E308" s="23">
        <v>3.686</v>
      </c>
      <c r="F308" s="61">
        <v>1025.8</v>
      </c>
      <c r="G308" s="23">
        <v>0.714</v>
      </c>
      <c r="H308" s="23">
        <v>0.423</v>
      </c>
      <c r="I308" s="1">
        <v>298.6</v>
      </c>
      <c r="J308" s="1">
        <v>529.8</v>
      </c>
      <c r="K308" s="1">
        <v>26868.0</v>
      </c>
      <c r="L308" s="1">
        <v>100.0</v>
      </c>
      <c r="M308" s="23">
        <v>15.501</v>
      </c>
    </row>
    <row r="309">
      <c r="A309" s="1">
        <v>604.0</v>
      </c>
      <c r="B309" s="1">
        <v>17625.0</v>
      </c>
      <c r="C309" s="23">
        <v>20.008</v>
      </c>
      <c r="D309" s="23">
        <v>16.276</v>
      </c>
      <c r="E309" s="26">
        <v>3.686</v>
      </c>
      <c r="F309" s="1">
        <v>990.8</v>
      </c>
      <c r="G309" s="23">
        <v>0.703</v>
      </c>
      <c r="H309" s="23">
        <v>0.423</v>
      </c>
      <c r="I309" s="1">
        <v>298.6</v>
      </c>
      <c r="J309" s="1">
        <v>494.8</v>
      </c>
      <c r="K309" s="1">
        <v>26868.0</v>
      </c>
      <c r="L309" s="1">
        <v>100.0</v>
      </c>
      <c r="M309" s="26">
        <v>15.5</v>
      </c>
    </row>
    <row r="310">
      <c r="A310" s="1">
        <v>606.0</v>
      </c>
      <c r="B310" s="1">
        <v>17920.0</v>
      </c>
      <c r="C310" s="23">
        <v>20.023</v>
      </c>
      <c r="D310" s="23">
        <v>16.298</v>
      </c>
      <c r="E310" s="26">
        <v>3.686</v>
      </c>
      <c r="F310" s="1">
        <v>990.8</v>
      </c>
      <c r="G310" s="23">
        <v>0.703</v>
      </c>
      <c r="H310" s="23">
        <v>0.423</v>
      </c>
      <c r="I310" s="1">
        <v>298.6</v>
      </c>
      <c r="J310" s="1">
        <v>494.8</v>
      </c>
      <c r="K310" s="1">
        <v>26868.0</v>
      </c>
      <c r="L310" s="1">
        <v>100.0</v>
      </c>
      <c r="M310" s="26">
        <v>15.5</v>
      </c>
    </row>
    <row r="311">
      <c r="A311" s="1"/>
      <c r="B311" s="1"/>
      <c r="C311" s="23"/>
      <c r="D311" s="23"/>
      <c r="E311" s="26"/>
      <c r="F311" s="1"/>
      <c r="G311" s="23"/>
      <c r="H311" s="23"/>
      <c r="I311" s="1"/>
      <c r="J311" s="1"/>
      <c r="K311" s="1"/>
    </row>
    <row r="312">
      <c r="A312" s="1"/>
      <c r="B312" s="1"/>
      <c r="C312" s="23"/>
      <c r="D312" s="23"/>
      <c r="E312" s="26"/>
      <c r="F312" s="1"/>
      <c r="G312" s="23"/>
      <c r="H312" s="23"/>
      <c r="I312" s="1"/>
      <c r="J312" s="1"/>
      <c r="K312" s="1"/>
    </row>
    <row r="313">
      <c r="A313" s="1"/>
      <c r="B313" s="1"/>
      <c r="C313" s="23"/>
      <c r="D313" s="23"/>
      <c r="E313" s="26"/>
      <c r="F313" s="1"/>
      <c r="G313" s="23"/>
      <c r="H313" s="23"/>
      <c r="I313" s="1"/>
      <c r="J313" s="1"/>
      <c r="K313" s="1"/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  <c r="K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  <c r="K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  <c r="K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  <c r="K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  <c r="K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  <c r="K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  <c r="K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  <c r="K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  <c r="K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  <c r="K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  <c r="K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  <c r="K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  <c r="K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  <c r="K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  <c r="K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  <c r="K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  <c r="K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  <c r="K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  <c r="K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  <c r="K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  <c r="K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  <c r="K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  <c r="K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  <c r="K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  <c r="K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  <c r="K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  <c r="K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  <c r="K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  <c r="K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  <c r="K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  <c r="K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  <c r="K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  <c r="K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  <c r="K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  <c r="K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  <c r="K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  <c r="K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  <c r="K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  <c r="K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  <c r="K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  <c r="K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  <c r="K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  <c r="K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  <c r="K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  <c r="K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  <c r="K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  <c r="K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  <c r="K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  <c r="K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  <c r="K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  <c r="K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  <c r="K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  <c r="K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  <c r="K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  <c r="K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  <c r="K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  <c r="K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  <c r="K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  <c r="K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  <c r="K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  <c r="K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  <c r="K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  <c r="K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  <c r="K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  <c r="K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  <c r="K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  <c r="K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  <c r="K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  <c r="K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  <c r="K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  <c r="K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  <c r="K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  <c r="K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  <c r="K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  <c r="K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  <c r="K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  <c r="K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  <c r="K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  <c r="K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  <c r="K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  <c r="K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  <c r="K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  <c r="K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  <c r="K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  <c r="K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  <c r="K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  <c r="K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  <c r="K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  <c r="K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  <c r="K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  <c r="K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  <c r="K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  <c r="K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  <c r="K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  <c r="K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  <c r="K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  <c r="K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  <c r="K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  <c r="K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  <c r="K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  <c r="K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  <c r="K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  <c r="K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  <c r="K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  <c r="K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  <c r="K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  <c r="K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  <c r="K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  <c r="K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  <c r="K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  <c r="K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  <c r="K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  <c r="K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  <c r="K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  <c r="K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  <c r="K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  <c r="K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  <c r="K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  <c r="K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  <c r="K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  <c r="K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  <c r="K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  <c r="K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  <c r="K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  <c r="K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  <c r="K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  <c r="K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  <c r="K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  <c r="K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  <c r="K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  <c r="K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  <c r="K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  <c r="K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  <c r="K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  <c r="K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  <c r="K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  <c r="K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  <c r="K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  <c r="K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  <c r="K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  <c r="K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  <c r="K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  <c r="K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  <c r="K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  <c r="K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  <c r="K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  <c r="K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  <c r="K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  <c r="K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  <c r="K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  <c r="K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  <c r="K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  <c r="K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  <c r="K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  <c r="K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  <c r="K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  <c r="K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  <c r="K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  <c r="K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  <c r="K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  <c r="K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  <c r="K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  <c r="K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  <c r="K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  <c r="K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  <c r="K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  <c r="K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  <c r="K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  <c r="K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  <c r="K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  <c r="K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  <c r="K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  <c r="K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  <c r="K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  <c r="K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  <c r="K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  <c r="K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  <c r="K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  <c r="K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  <c r="K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  <c r="K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  <c r="K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  <c r="K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  <c r="K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  <c r="K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  <c r="K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  <c r="K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  <c r="K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  <c r="K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  <c r="K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  <c r="K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  <c r="K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  <c r="K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  <c r="K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  <c r="K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  <c r="K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  <c r="K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  <c r="K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  <c r="K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  <c r="K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  <c r="K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  <c r="K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  <c r="K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  <c r="K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  <c r="K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  <c r="K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  <c r="K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  <c r="K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  <c r="K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  <c r="K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  <c r="K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  <c r="K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  <c r="K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  <c r="K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  <c r="K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  <c r="K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  <c r="K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  <c r="K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  <c r="K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  <c r="K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  <c r="K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  <c r="K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  <c r="K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  <c r="K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  <c r="K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  <c r="K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  <c r="K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  <c r="K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  <c r="K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  <c r="K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  <c r="K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  <c r="K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  <c r="K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  <c r="K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  <c r="K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  <c r="K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  <c r="K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  <c r="K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  <c r="K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  <c r="K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  <c r="K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  <c r="K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  <c r="K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  <c r="K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  <c r="K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  <c r="K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  <c r="K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  <c r="K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  <c r="K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  <c r="K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  <c r="K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  <c r="K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  <c r="K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  <c r="K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  <c r="K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  <c r="K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  <c r="K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  <c r="K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  <c r="K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  <c r="K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  <c r="K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  <c r="K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  <c r="K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  <c r="K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  <c r="K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  <c r="K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  <c r="K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  <c r="K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  <c r="K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  <c r="K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7</v>
      </c>
      <c r="B1" s="40" t="str">
        <f t="shared" ref="B1:L1" si="1">B9</f>
        <v>Strength</v>
      </c>
      <c r="C1" s="40" t="str">
        <f t="shared" si="1"/>
        <v>Cb</v>
      </c>
      <c r="D1" s="40" t="str">
        <f t="shared" si="1"/>
        <v>Pot</v>
      </c>
      <c r="E1" s="40" t="str">
        <f t="shared" si="1"/>
        <v>Wdb</v>
      </c>
      <c r="F1" s="40" t="str">
        <f t="shared" si="1"/>
        <v>Dps</v>
      </c>
      <c r="G1" s="40" t="str">
        <f t="shared" si="1"/>
        <v>Flurry</v>
      </c>
      <c r="H1" s="40" t="str">
        <f t="shared" si="1"/>
        <v>SDA</v>
      </c>
      <c r="I1" s="40" t="str">
        <f t="shared" si="1"/>
        <v>MA</v>
      </c>
      <c r="J1" s="40" t="str">
        <f t="shared" si="1"/>
        <v>Haste</v>
      </c>
      <c r="K1" s="40" t="str">
        <f t="shared" si="1"/>
        <v>ShieldEff</v>
      </c>
      <c r="L1" s="40" t="str">
        <f t="shared" si="1"/>
        <v>Mit</v>
      </c>
    </row>
    <row r="2">
      <c r="A2" s="41" t="s">
        <v>111</v>
      </c>
      <c r="B2" s="42">
        <f t="shared" ref="B2:L2" si="2">Average(B7:B1001)</f>
        <v>20982.72667</v>
      </c>
      <c r="C2" s="43">
        <f t="shared" si="2"/>
        <v>15.61704333</v>
      </c>
      <c r="D2" s="43">
        <f t="shared" si="2"/>
        <v>18.69858333</v>
      </c>
      <c r="E2" s="43">
        <f t="shared" si="2"/>
        <v>3.510013333</v>
      </c>
      <c r="F2" s="42">
        <f t="shared" si="2"/>
        <v>1077.433333</v>
      </c>
      <c r="G2" s="43">
        <f t="shared" si="2"/>
        <v>0.7122033333</v>
      </c>
      <c r="H2" s="43">
        <f t="shared" si="2"/>
        <v>0.48918</v>
      </c>
      <c r="I2" s="42">
        <f t="shared" si="2"/>
        <v>429.64</v>
      </c>
      <c r="J2" s="42">
        <f t="shared" si="2"/>
        <v>848.2166667</v>
      </c>
      <c r="K2" s="42">
        <f t="shared" si="2"/>
        <v>0.5436</v>
      </c>
      <c r="L2" s="42">
        <f t="shared" si="2"/>
        <v>11388.56</v>
      </c>
    </row>
    <row r="3">
      <c r="A3" s="41" t="s">
        <v>112</v>
      </c>
      <c r="B3" s="42">
        <f t="shared" ref="B3:L3" si="3">Min(B7:B1001)</f>
        <v>18897</v>
      </c>
      <c r="C3" s="43">
        <f t="shared" si="3"/>
        <v>12.49</v>
      </c>
      <c r="D3" s="43">
        <f t="shared" si="3"/>
        <v>16.314</v>
      </c>
      <c r="E3" s="43">
        <f t="shared" si="3"/>
        <v>2.324</v>
      </c>
      <c r="F3" s="42">
        <f t="shared" si="3"/>
        <v>1061.6</v>
      </c>
      <c r="G3" s="43">
        <f t="shared" si="3"/>
        <v>0.677</v>
      </c>
      <c r="H3" s="43">
        <f t="shared" si="3"/>
        <v>0.357</v>
      </c>
      <c r="I3" s="42">
        <f t="shared" si="3"/>
        <v>392.6</v>
      </c>
      <c r="J3" s="42">
        <f t="shared" si="3"/>
        <v>750.6</v>
      </c>
      <c r="K3" s="42">
        <f t="shared" si="3"/>
        <v>0.375</v>
      </c>
      <c r="L3" s="42">
        <f t="shared" si="3"/>
        <v>9614</v>
      </c>
    </row>
    <row r="4">
      <c r="A4" s="41" t="s">
        <v>113</v>
      </c>
      <c r="B4" s="42">
        <f t="shared" ref="B4:L4" si="4">Median(B7:B1001)</f>
        <v>19562</v>
      </c>
      <c r="C4" s="43">
        <f t="shared" si="4"/>
        <v>15.198</v>
      </c>
      <c r="D4" s="43">
        <f t="shared" si="4"/>
        <v>18.4445</v>
      </c>
      <c r="E4" s="43">
        <f t="shared" si="4"/>
        <v>3.476</v>
      </c>
      <c r="F4" s="42">
        <f t="shared" si="4"/>
        <v>1076.6</v>
      </c>
      <c r="G4" s="43">
        <f t="shared" si="4"/>
        <v>0.708</v>
      </c>
      <c r="H4" s="43">
        <f t="shared" si="4"/>
        <v>0.393</v>
      </c>
      <c r="I4" s="42">
        <f t="shared" si="4"/>
        <v>432.6</v>
      </c>
      <c r="J4" s="42">
        <f t="shared" si="4"/>
        <v>855</v>
      </c>
      <c r="K4" s="42">
        <f t="shared" si="4"/>
        <v>0.615</v>
      </c>
      <c r="L4" s="42">
        <f t="shared" si="4"/>
        <v>11618</v>
      </c>
    </row>
    <row r="5">
      <c r="A5" s="41" t="s">
        <v>114</v>
      </c>
      <c r="B5" s="42">
        <f t="shared" ref="B5:L5" si="5">Max(B7:B1001)</f>
        <v>26840</v>
      </c>
      <c r="C5" s="43">
        <f t="shared" si="5"/>
        <v>19.701</v>
      </c>
      <c r="D5" s="43">
        <f t="shared" si="5"/>
        <v>22.431</v>
      </c>
      <c r="E5" s="43">
        <f t="shared" si="5"/>
        <v>4.618</v>
      </c>
      <c r="F5" s="42">
        <f t="shared" si="5"/>
        <v>1086.6</v>
      </c>
      <c r="G5" s="43">
        <f t="shared" si="5"/>
        <v>0.81</v>
      </c>
      <c r="H5" s="43">
        <f t="shared" si="5"/>
        <v>1.423</v>
      </c>
      <c r="I5" s="42">
        <f t="shared" si="5"/>
        <v>432.6</v>
      </c>
      <c r="J5" s="42">
        <f t="shared" si="5"/>
        <v>941.8</v>
      </c>
      <c r="K5" s="42">
        <f t="shared" si="5"/>
        <v>0.795</v>
      </c>
      <c r="L5" s="42">
        <f t="shared" si="5"/>
        <v>12392</v>
      </c>
    </row>
    <row r="6">
      <c r="A6" s="1"/>
      <c r="B6" s="1"/>
      <c r="C6" s="23"/>
      <c r="D6" s="23"/>
      <c r="E6" s="23"/>
      <c r="F6" s="1"/>
      <c r="G6" s="23"/>
      <c r="H6" s="23"/>
      <c r="I6" s="1"/>
      <c r="J6" s="1"/>
    </row>
    <row r="7">
      <c r="A7" s="1"/>
      <c r="B7" s="1"/>
      <c r="C7" s="23"/>
      <c r="D7" s="23"/>
      <c r="E7" s="23"/>
      <c r="F7" s="1"/>
      <c r="G7" s="23"/>
      <c r="H7" s="23"/>
      <c r="I7" s="1"/>
      <c r="J7" s="1"/>
    </row>
    <row r="8">
      <c r="A8" s="1" t="s">
        <v>521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 t="s">
        <v>482</v>
      </c>
      <c r="B9" s="1" t="s">
        <v>522</v>
      </c>
      <c r="C9" s="1" t="s">
        <v>23</v>
      </c>
      <c r="D9" s="1" t="s">
        <v>12</v>
      </c>
      <c r="E9" s="1" t="s">
        <v>24</v>
      </c>
      <c r="F9" s="1" t="s">
        <v>25</v>
      </c>
      <c r="G9" s="1" t="s">
        <v>26</v>
      </c>
      <c r="H9" s="1" t="s">
        <v>483</v>
      </c>
      <c r="I9" s="1" t="s">
        <v>484</v>
      </c>
      <c r="J9" s="1" t="s">
        <v>485</v>
      </c>
      <c r="K9" s="1" t="s">
        <v>523</v>
      </c>
      <c r="L9" s="1" t="s">
        <v>524</v>
      </c>
      <c r="M9" s="1" t="s">
        <v>486</v>
      </c>
      <c r="N9" s="1" t="s">
        <v>498</v>
      </c>
      <c r="O9" s="1" t="s">
        <v>499</v>
      </c>
      <c r="P9" s="1" t="s">
        <v>525</v>
      </c>
    </row>
    <row r="10">
      <c r="A10" s="1">
        <v>0.0</v>
      </c>
      <c r="B10" s="1">
        <v>19336.0</v>
      </c>
      <c r="C10" s="23">
        <v>12.49</v>
      </c>
      <c r="D10" s="23">
        <v>17.206</v>
      </c>
      <c r="E10" s="23">
        <v>2.324</v>
      </c>
      <c r="F10" s="61">
        <v>1061.6</v>
      </c>
      <c r="G10" s="23">
        <v>0.702</v>
      </c>
      <c r="H10" s="23">
        <v>0.357</v>
      </c>
      <c r="I10" s="1">
        <v>392.6</v>
      </c>
      <c r="J10" s="1">
        <v>832.6</v>
      </c>
      <c r="K10" s="23">
        <v>0.375</v>
      </c>
      <c r="L10" s="1">
        <v>10388.0</v>
      </c>
      <c r="M10" s="1">
        <v>29905.0</v>
      </c>
      <c r="N10" s="1">
        <v>97.0</v>
      </c>
      <c r="O10" s="26">
        <v>15.84</v>
      </c>
      <c r="P10" s="26">
        <f t="shared" ref="P10:P310" si="6">if(H10&gt;100%,100%,H10)</f>
        <v>0.357</v>
      </c>
    </row>
    <row r="11">
      <c r="A11" s="1">
        <v>2.0</v>
      </c>
      <c r="B11" s="1">
        <v>19336.0</v>
      </c>
      <c r="C11" s="23">
        <v>12.512</v>
      </c>
      <c r="D11" s="23">
        <v>17.215</v>
      </c>
      <c r="E11" s="23">
        <v>2.428</v>
      </c>
      <c r="F11" s="27">
        <v>1061.6</v>
      </c>
      <c r="G11" s="23">
        <v>0.702</v>
      </c>
      <c r="H11" s="23">
        <v>0.357</v>
      </c>
      <c r="I11" s="1">
        <v>400.6</v>
      </c>
      <c r="J11" s="1">
        <v>832.6</v>
      </c>
      <c r="K11" s="23">
        <v>0.615</v>
      </c>
      <c r="L11" s="1">
        <v>10388.0</v>
      </c>
      <c r="M11" s="1">
        <v>29905.0</v>
      </c>
      <c r="N11" s="1">
        <v>90.0</v>
      </c>
      <c r="O11" s="23">
        <v>15.844</v>
      </c>
      <c r="P11" s="26">
        <f t="shared" si="6"/>
        <v>0.357</v>
      </c>
    </row>
    <row r="12">
      <c r="A12" s="1">
        <v>4.0</v>
      </c>
      <c r="B12" s="1">
        <v>19336.0</v>
      </c>
      <c r="C12" s="26">
        <v>13.763</v>
      </c>
      <c r="D12" s="23">
        <v>19.343</v>
      </c>
      <c r="E12" s="23">
        <v>2.678</v>
      </c>
      <c r="F12" s="27">
        <v>1061.6</v>
      </c>
      <c r="G12" s="23">
        <v>0.718</v>
      </c>
      <c r="H12" s="23">
        <v>0.357</v>
      </c>
      <c r="I12" s="1">
        <v>400.6</v>
      </c>
      <c r="J12" s="1">
        <v>887.0</v>
      </c>
      <c r="K12" s="23">
        <v>0.635</v>
      </c>
      <c r="L12" s="1">
        <v>10388.0</v>
      </c>
      <c r="M12" s="1">
        <v>29905.0</v>
      </c>
      <c r="N12" s="1">
        <v>73.0</v>
      </c>
      <c r="O12" s="23">
        <v>15.844</v>
      </c>
      <c r="P12" s="26">
        <f t="shared" si="6"/>
        <v>0.357</v>
      </c>
    </row>
    <row r="13">
      <c r="A13" s="1">
        <v>6.0</v>
      </c>
      <c r="B13" s="1">
        <v>22933.0</v>
      </c>
      <c r="C13" s="26">
        <v>13.274</v>
      </c>
      <c r="D13" s="23">
        <v>18.79</v>
      </c>
      <c r="E13" s="23">
        <v>2.68</v>
      </c>
      <c r="F13" s="27">
        <v>1061.6</v>
      </c>
      <c r="G13" s="23">
        <v>0.699</v>
      </c>
      <c r="H13" s="23">
        <v>0.364</v>
      </c>
      <c r="I13" s="1">
        <v>404.6</v>
      </c>
      <c r="J13" s="1">
        <v>824.8</v>
      </c>
      <c r="K13" s="23">
        <v>0.635</v>
      </c>
      <c r="L13" s="1">
        <v>10388.0</v>
      </c>
      <c r="M13" s="1">
        <v>35468.0</v>
      </c>
      <c r="N13" s="1">
        <v>44.0</v>
      </c>
      <c r="O13" s="23">
        <v>16.012</v>
      </c>
      <c r="P13" s="26">
        <f t="shared" si="6"/>
        <v>0.364</v>
      </c>
    </row>
    <row r="14">
      <c r="A14" s="1">
        <v>8.0</v>
      </c>
      <c r="B14" s="1">
        <v>23833.0</v>
      </c>
      <c r="C14" s="26">
        <v>14.946</v>
      </c>
      <c r="D14" s="23">
        <v>18.997</v>
      </c>
      <c r="E14" s="23">
        <v>2.768</v>
      </c>
      <c r="F14" s="27">
        <v>1061.6</v>
      </c>
      <c r="G14" s="23">
        <v>0.699</v>
      </c>
      <c r="H14" s="23">
        <v>1.364</v>
      </c>
      <c r="I14" s="1">
        <v>404.6</v>
      </c>
      <c r="J14" s="1">
        <v>824.8</v>
      </c>
      <c r="K14" s="23">
        <v>0.655</v>
      </c>
      <c r="L14" s="1">
        <v>9614.0</v>
      </c>
      <c r="M14" s="1">
        <v>36859.0</v>
      </c>
      <c r="N14" s="1">
        <v>20.0</v>
      </c>
      <c r="O14" s="23">
        <v>16.012</v>
      </c>
      <c r="P14" s="26">
        <f t="shared" si="6"/>
        <v>1</v>
      </c>
    </row>
    <row r="15">
      <c r="A15" s="1">
        <v>10.0</v>
      </c>
      <c r="B15" s="1">
        <v>23833.0</v>
      </c>
      <c r="C15" s="23">
        <v>17.804</v>
      </c>
      <c r="D15" s="23">
        <v>19.516</v>
      </c>
      <c r="E15" s="23">
        <v>2.975</v>
      </c>
      <c r="F15" s="61">
        <v>1076.6</v>
      </c>
      <c r="G15" s="23">
        <v>0.697</v>
      </c>
      <c r="H15" s="23">
        <v>1.364</v>
      </c>
      <c r="I15" s="1">
        <v>404.6</v>
      </c>
      <c r="J15" s="1">
        <v>817.4</v>
      </c>
      <c r="K15" s="23">
        <v>0.655</v>
      </c>
      <c r="L15" s="1">
        <v>11618.0</v>
      </c>
      <c r="M15" s="1">
        <v>36859.0</v>
      </c>
      <c r="N15" s="1">
        <v>18.0</v>
      </c>
      <c r="O15" s="23">
        <v>16.012</v>
      </c>
      <c r="P15" s="26">
        <f t="shared" si="6"/>
        <v>1</v>
      </c>
    </row>
    <row r="16">
      <c r="A16" s="1">
        <v>12.0</v>
      </c>
      <c r="B16" s="1">
        <v>24111.0</v>
      </c>
      <c r="C16" s="23">
        <v>17.882</v>
      </c>
      <c r="D16" s="23">
        <v>21.161</v>
      </c>
      <c r="E16" s="23">
        <v>2.975</v>
      </c>
      <c r="F16" s="61">
        <v>1086.6</v>
      </c>
      <c r="G16" s="23">
        <v>0.697</v>
      </c>
      <c r="H16" s="23">
        <v>0.364</v>
      </c>
      <c r="I16" s="1">
        <v>404.6</v>
      </c>
      <c r="J16" s="1">
        <v>817.4</v>
      </c>
      <c r="K16" s="23">
        <v>0.675</v>
      </c>
      <c r="L16" s="1">
        <v>11618.0</v>
      </c>
      <c r="M16" s="1">
        <v>36859.0</v>
      </c>
      <c r="N16" s="1">
        <v>75.0</v>
      </c>
      <c r="O16" s="23">
        <v>16.282</v>
      </c>
      <c r="P16" s="26">
        <f t="shared" si="6"/>
        <v>0.364</v>
      </c>
    </row>
    <row r="17">
      <c r="A17" s="1">
        <v>14.0</v>
      </c>
      <c r="B17" s="1">
        <v>24111.0</v>
      </c>
      <c r="C17" s="23">
        <v>18.219</v>
      </c>
      <c r="D17" s="23">
        <v>21.454</v>
      </c>
      <c r="E17" s="23">
        <v>3.132</v>
      </c>
      <c r="F17" s="61">
        <v>1086.6</v>
      </c>
      <c r="G17" s="23">
        <v>0.697</v>
      </c>
      <c r="H17" s="23">
        <v>0.364</v>
      </c>
      <c r="I17" s="1">
        <v>404.6</v>
      </c>
      <c r="J17" s="1">
        <v>817.4</v>
      </c>
      <c r="K17" s="23">
        <v>0.695</v>
      </c>
      <c r="L17" s="1">
        <v>11618.0</v>
      </c>
      <c r="M17" s="1">
        <v>36859.0</v>
      </c>
      <c r="N17" s="1">
        <v>25.0</v>
      </c>
      <c r="O17" s="23">
        <v>16.282</v>
      </c>
      <c r="P17" s="26">
        <f t="shared" si="6"/>
        <v>0.364</v>
      </c>
    </row>
    <row r="18">
      <c r="A18" s="1">
        <v>16.0</v>
      </c>
      <c r="B18" s="1">
        <v>24111.0</v>
      </c>
      <c r="C18" s="23">
        <v>18.384</v>
      </c>
      <c r="D18" s="23">
        <v>21.505</v>
      </c>
      <c r="E18" s="23">
        <v>3.781</v>
      </c>
      <c r="F18" s="61">
        <v>1086.6</v>
      </c>
      <c r="G18" s="23">
        <v>0.697</v>
      </c>
      <c r="H18" s="23">
        <v>0.357</v>
      </c>
      <c r="I18" s="1">
        <v>404.6</v>
      </c>
      <c r="J18" s="1">
        <v>817.4</v>
      </c>
      <c r="K18" s="23">
        <v>0.715</v>
      </c>
      <c r="L18" s="1">
        <v>11618.0</v>
      </c>
      <c r="M18" s="1">
        <v>36859.0</v>
      </c>
      <c r="N18" s="1">
        <v>64.0</v>
      </c>
      <c r="O18" s="23">
        <v>16.371</v>
      </c>
      <c r="P18" s="26">
        <f t="shared" si="6"/>
        <v>0.357</v>
      </c>
    </row>
    <row r="19">
      <c r="A19" s="1">
        <v>18.0</v>
      </c>
      <c r="B19" s="1">
        <v>24111.0</v>
      </c>
      <c r="C19" s="26">
        <v>18.371</v>
      </c>
      <c r="D19" s="23">
        <v>21.646</v>
      </c>
      <c r="E19" s="23">
        <v>3.771</v>
      </c>
      <c r="F19" s="27">
        <v>1086.6</v>
      </c>
      <c r="G19" s="23">
        <v>0.697</v>
      </c>
      <c r="H19" s="23">
        <v>0.357</v>
      </c>
      <c r="I19" s="1">
        <v>408.6</v>
      </c>
      <c r="J19" s="1">
        <v>817.4</v>
      </c>
      <c r="K19" s="23">
        <v>0.715</v>
      </c>
      <c r="L19" s="1">
        <v>11618.0</v>
      </c>
      <c r="M19" s="1">
        <v>36859.0</v>
      </c>
      <c r="N19" s="1">
        <v>25.0</v>
      </c>
      <c r="O19" s="23">
        <v>16.371</v>
      </c>
      <c r="P19" s="26">
        <f t="shared" si="6"/>
        <v>0.357</v>
      </c>
    </row>
    <row r="20">
      <c r="A20" s="1">
        <v>20.0</v>
      </c>
      <c r="B20" s="1">
        <v>24111.0</v>
      </c>
      <c r="C20" s="26">
        <v>18.041</v>
      </c>
      <c r="D20" s="23">
        <v>21.091</v>
      </c>
      <c r="E20" s="23">
        <v>3.928</v>
      </c>
      <c r="F20" s="61">
        <v>1086.6</v>
      </c>
      <c r="G20" s="23">
        <v>0.697</v>
      </c>
      <c r="H20" s="23">
        <v>0.357</v>
      </c>
      <c r="I20" s="1">
        <v>408.6</v>
      </c>
      <c r="J20" s="1">
        <v>817.4</v>
      </c>
      <c r="K20" s="23">
        <v>0.735</v>
      </c>
      <c r="L20" s="1">
        <v>11618.0</v>
      </c>
      <c r="M20" s="1">
        <v>36859.0</v>
      </c>
      <c r="N20" s="1">
        <v>85.0</v>
      </c>
      <c r="O20" s="23">
        <v>16.251</v>
      </c>
      <c r="P20" s="26">
        <f t="shared" si="6"/>
        <v>0.357</v>
      </c>
    </row>
    <row r="21">
      <c r="A21" s="1">
        <v>22.0</v>
      </c>
      <c r="B21" s="1">
        <v>23201.0</v>
      </c>
      <c r="C21" s="23">
        <v>14.822</v>
      </c>
      <c r="D21" s="23">
        <v>19.536</v>
      </c>
      <c r="E21" s="23">
        <v>3.816</v>
      </c>
      <c r="F21" s="27">
        <v>1086.6</v>
      </c>
      <c r="G21" s="23">
        <v>0.693</v>
      </c>
      <c r="H21" s="23">
        <v>0.357</v>
      </c>
      <c r="I21" s="1">
        <v>408.6</v>
      </c>
      <c r="J21" s="1">
        <v>804.9</v>
      </c>
      <c r="K21" s="23">
        <v>0.735</v>
      </c>
      <c r="L21" s="1">
        <v>11618.0</v>
      </c>
      <c r="M21" s="1">
        <v>35468.0</v>
      </c>
      <c r="N21" s="1">
        <v>62.0</v>
      </c>
      <c r="O21" s="23">
        <v>16.251</v>
      </c>
      <c r="P21" s="26">
        <f t="shared" si="6"/>
        <v>0.357</v>
      </c>
    </row>
    <row r="22">
      <c r="A22" s="1">
        <v>24.0</v>
      </c>
      <c r="B22" s="1">
        <v>19562.0</v>
      </c>
      <c r="C22" s="26">
        <v>13.957</v>
      </c>
      <c r="D22" s="23">
        <v>18.504</v>
      </c>
      <c r="E22" s="23">
        <v>3.735</v>
      </c>
      <c r="F22" s="27">
        <v>1086.6</v>
      </c>
      <c r="G22" s="23">
        <v>0.7</v>
      </c>
      <c r="H22" s="23">
        <v>0.385</v>
      </c>
      <c r="I22" s="1">
        <v>408.6</v>
      </c>
      <c r="J22" s="1">
        <v>827.4</v>
      </c>
      <c r="K22" s="23">
        <v>0.755</v>
      </c>
      <c r="L22" s="1">
        <v>11618.0</v>
      </c>
      <c r="M22" s="1">
        <v>29905.0</v>
      </c>
      <c r="N22" s="1">
        <v>15.0</v>
      </c>
      <c r="O22" s="23">
        <v>16.251</v>
      </c>
      <c r="P22" s="26">
        <f t="shared" si="6"/>
        <v>0.385</v>
      </c>
    </row>
    <row r="23">
      <c r="A23" s="1">
        <v>26.0</v>
      </c>
      <c r="B23" s="1">
        <v>19562.0</v>
      </c>
      <c r="C23" s="23">
        <v>14.231</v>
      </c>
      <c r="D23" s="23">
        <v>18.426</v>
      </c>
      <c r="E23" s="23">
        <v>3.84</v>
      </c>
      <c r="F23" s="61">
        <v>1086.6</v>
      </c>
      <c r="G23" s="23">
        <v>0.7</v>
      </c>
      <c r="H23" s="23">
        <v>0.385</v>
      </c>
      <c r="I23" s="1">
        <v>408.6</v>
      </c>
      <c r="J23" s="1">
        <v>827.4</v>
      </c>
      <c r="K23" s="23">
        <v>0.775</v>
      </c>
      <c r="L23" s="1">
        <v>11618.0</v>
      </c>
      <c r="M23" s="1">
        <v>29905.0</v>
      </c>
      <c r="N23" s="1">
        <v>89.0</v>
      </c>
      <c r="O23" s="23">
        <v>16.124</v>
      </c>
      <c r="P23" s="26">
        <f t="shared" si="6"/>
        <v>0.385</v>
      </c>
    </row>
    <row r="24">
      <c r="A24" s="1">
        <v>28.0</v>
      </c>
      <c r="B24" s="1">
        <v>19562.0</v>
      </c>
      <c r="C24" s="23">
        <v>14.349</v>
      </c>
      <c r="D24" s="23">
        <v>18.547</v>
      </c>
      <c r="E24" s="23">
        <v>3.709</v>
      </c>
      <c r="F24" s="27">
        <v>1086.6</v>
      </c>
      <c r="G24" s="23">
        <v>0.7</v>
      </c>
      <c r="H24" s="23">
        <v>0.393</v>
      </c>
      <c r="I24" s="1">
        <v>408.6</v>
      </c>
      <c r="J24" s="1">
        <v>827.4</v>
      </c>
      <c r="K24" s="23">
        <v>0.775</v>
      </c>
      <c r="L24" s="1">
        <v>11618.0</v>
      </c>
      <c r="M24" s="1">
        <v>29905.0</v>
      </c>
      <c r="N24" s="1">
        <v>60.0</v>
      </c>
      <c r="O24" s="23">
        <v>16.124</v>
      </c>
      <c r="P24" s="26">
        <f t="shared" si="6"/>
        <v>0.393</v>
      </c>
    </row>
    <row r="25">
      <c r="A25" s="1">
        <v>30.0</v>
      </c>
      <c r="B25" s="1">
        <v>19562.0</v>
      </c>
      <c r="C25" s="23">
        <v>14.416</v>
      </c>
      <c r="D25" s="23">
        <v>18.62</v>
      </c>
      <c r="E25" s="23">
        <v>3.709</v>
      </c>
      <c r="F25" s="27">
        <v>1086.6</v>
      </c>
      <c r="G25" s="23">
        <v>0.724</v>
      </c>
      <c r="H25" s="23">
        <v>0.393</v>
      </c>
      <c r="I25" s="1">
        <v>408.6</v>
      </c>
      <c r="J25" s="1">
        <v>909.4</v>
      </c>
      <c r="K25" s="23">
        <v>0.795</v>
      </c>
      <c r="L25" s="1">
        <v>11618.0</v>
      </c>
      <c r="M25" s="1">
        <v>29905.0</v>
      </c>
      <c r="N25" s="1">
        <v>30.0</v>
      </c>
      <c r="O25" s="23">
        <v>16.104</v>
      </c>
      <c r="P25" s="26">
        <f t="shared" si="6"/>
        <v>0.393</v>
      </c>
    </row>
    <row r="26">
      <c r="A26" s="1">
        <v>32.0</v>
      </c>
      <c r="B26" s="1">
        <v>19562.0</v>
      </c>
      <c r="C26" s="23">
        <v>14.061</v>
      </c>
      <c r="D26" s="23">
        <v>18.23</v>
      </c>
      <c r="E26" s="23">
        <v>3.709</v>
      </c>
      <c r="F26" s="27">
        <v>1071.6</v>
      </c>
      <c r="G26" s="23">
        <v>0.724</v>
      </c>
      <c r="H26" s="23">
        <v>0.393</v>
      </c>
      <c r="I26" s="1">
        <v>408.6</v>
      </c>
      <c r="J26" s="1">
        <v>909.4</v>
      </c>
      <c r="K26" s="23">
        <v>0.375</v>
      </c>
      <c r="L26" s="1">
        <v>11618.0</v>
      </c>
      <c r="M26" s="1">
        <v>29905.0</v>
      </c>
      <c r="N26" s="1">
        <v>5.0</v>
      </c>
      <c r="O26" s="23">
        <v>16.104</v>
      </c>
      <c r="P26" s="26">
        <f t="shared" si="6"/>
        <v>0.393</v>
      </c>
    </row>
    <row r="27">
      <c r="A27" s="1">
        <v>34.0</v>
      </c>
      <c r="B27" s="1">
        <v>18897.0</v>
      </c>
      <c r="C27" s="23">
        <v>14.417</v>
      </c>
      <c r="D27" s="23">
        <v>18.625</v>
      </c>
      <c r="E27" s="23">
        <v>3.801</v>
      </c>
      <c r="F27" s="61">
        <v>1071.6</v>
      </c>
      <c r="G27" s="23">
        <v>0.724</v>
      </c>
      <c r="H27" s="23">
        <v>0.383</v>
      </c>
      <c r="I27" s="1">
        <v>408.6</v>
      </c>
      <c r="J27" s="1">
        <v>909.4</v>
      </c>
      <c r="K27" s="23">
        <v>0.375</v>
      </c>
      <c r="L27" s="1">
        <v>11618.0</v>
      </c>
      <c r="M27" s="1">
        <v>29905.0</v>
      </c>
      <c r="N27" s="1">
        <v>64.0</v>
      </c>
      <c r="O27" s="23">
        <v>16.106</v>
      </c>
      <c r="P27" s="26">
        <f t="shared" si="6"/>
        <v>0.383</v>
      </c>
    </row>
    <row r="28">
      <c r="A28" s="1">
        <v>36.0</v>
      </c>
      <c r="B28" s="1">
        <v>19562.0</v>
      </c>
      <c r="C28" s="23">
        <v>13.983</v>
      </c>
      <c r="D28" s="23">
        <v>17.319</v>
      </c>
      <c r="E28" s="23">
        <v>3.187</v>
      </c>
      <c r="F28" s="61">
        <v>1071.6</v>
      </c>
      <c r="G28" s="23">
        <v>0.726</v>
      </c>
      <c r="H28" s="23">
        <v>0.383</v>
      </c>
      <c r="I28" s="1">
        <v>408.6</v>
      </c>
      <c r="J28" s="1">
        <v>921.9</v>
      </c>
      <c r="K28" s="23">
        <v>0.375</v>
      </c>
      <c r="L28" s="1">
        <v>11618.0</v>
      </c>
      <c r="M28" s="1">
        <v>29905.0</v>
      </c>
      <c r="N28" s="1">
        <v>19.0</v>
      </c>
      <c r="O28" s="23">
        <v>16.106</v>
      </c>
      <c r="P28" s="26">
        <f t="shared" si="6"/>
        <v>0.383</v>
      </c>
    </row>
    <row r="29">
      <c r="A29" s="1">
        <v>38.0</v>
      </c>
      <c r="B29" s="1">
        <v>19562.0</v>
      </c>
      <c r="C29" s="23">
        <v>13.973</v>
      </c>
      <c r="D29" s="23">
        <v>17.321</v>
      </c>
      <c r="E29" s="23">
        <v>3.224</v>
      </c>
      <c r="F29" s="61">
        <v>1071.6</v>
      </c>
      <c r="G29" s="23">
        <v>0.726</v>
      </c>
      <c r="H29" s="23">
        <v>0.383</v>
      </c>
      <c r="I29" s="1">
        <v>408.6</v>
      </c>
      <c r="J29" s="1">
        <v>921.9</v>
      </c>
      <c r="K29" s="23">
        <v>0.375</v>
      </c>
      <c r="L29" s="1">
        <v>11618.0</v>
      </c>
      <c r="M29" s="1">
        <v>29905.0</v>
      </c>
      <c r="N29" s="1">
        <v>83.0</v>
      </c>
      <c r="O29" s="23">
        <v>16.106</v>
      </c>
      <c r="P29" s="26">
        <f t="shared" si="6"/>
        <v>0.383</v>
      </c>
    </row>
    <row r="30">
      <c r="A30" s="1">
        <v>40.0</v>
      </c>
      <c r="B30" s="1">
        <v>19562.0</v>
      </c>
      <c r="C30" s="23">
        <v>14.473</v>
      </c>
      <c r="D30" s="26">
        <v>17.303</v>
      </c>
      <c r="E30" s="23">
        <v>3.224</v>
      </c>
      <c r="F30" s="61">
        <v>1071.6</v>
      </c>
      <c r="G30" s="23">
        <v>0.726</v>
      </c>
      <c r="H30" s="23">
        <v>0.383</v>
      </c>
      <c r="I30" s="1">
        <v>408.6</v>
      </c>
      <c r="J30" s="1">
        <v>921.9</v>
      </c>
      <c r="K30" s="23">
        <v>0.375</v>
      </c>
      <c r="L30" s="1">
        <v>11618.0</v>
      </c>
      <c r="M30" s="1">
        <v>29905.0</v>
      </c>
      <c r="N30" s="1">
        <v>36.0</v>
      </c>
      <c r="O30" s="23">
        <v>16.036</v>
      </c>
      <c r="P30" s="26">
        <f t="shared" si="6"/>
        <v>0.383</v>
      </c>
    </row>
    <row r="31">
      <c r="A31" s="1">
        <v>42.0</v>
      </c>
      <c r="B31" s="1">
        <v>19562.0</v>
      </c>
      <c r="C31" s="23">
        <v>14.145</v>
      </c>
      <c r="D31" s="26">
        <v>17.295</v>
      </c>
      <c r="E31" s="23">
        <v>2.974</v>
      </c>
      <c r="F31" s="27">
        <v>1076.6</v>
      </c>
      <c r="G31" s="23">
        <v>0.712</v>
      </c>
      <c r="H31" s="23">
        <v>0.383</v>
      </c>
      <c r="I31" s="1">
        <v>408.6</v>
      </c>
      <c r="J31" s="1">
        <v>867.5</v>
      </c>
      <c r="K31" s="23">
        <v>0.375</v>
      </c>
      <c r="L31" s="1">
        <v>12392.0</v>
      </c>
      <c r="M31" s="1">
        <v>29905.0</v>
      </c>
      <c r="N31" s="1">
        <v>2.0</v>
      </c>
      <c r="O31" s="23">
        <v>15.886</v>
      </c>
      <c r="P31" s="26">
        <f t="shared" si="6"/>
        <v>0.383</v>
      </c>
    </row>
    <row r="32">
      <c r="A32" s="1">
        <v>45.0</v>
      </c>
      <c r="B32" s="1">
        <v>19562.0</v>
      </c>
      <c r="C32" s="26">
        <v>14.04</v>
      </c>
      <c r="D32" s="23">
        <v>16.566</v>
      </c>
      <c r="E32" s="23">
        <v>3.011</v>
      </c>
      <c r="F32" s="27">
        <v>1076.6</v>
      </c>
      <c r="G32" s="23">
        <v>0.712</v>
      </c>
      <c r="H32" s="23">
        <v>0.383</v>
      </c>
      <c r="I32" s="1">
        <v>408.6</v>
      </c>
      <c r="J32" s="1">
        <v>867.5</v>
      </c>
      <c r="K32" s="23">
        <v>0.375</v>
      </c>
      <c r="L32" s="1">
        <v>12392.0</v>
      </c>
      <c r="M32" s="1">
        <v>29905.0</v>
      </c>
      <c r="N32" s="1">
        <v>68.0</v>
      </c>
      <c r="O32" s="23">
        <v>15.879</v>
      </c>
      <c r="P32" s="26">
        <f t="shared" si="6"/>
        <v>0.383</v>
      </c>
    </row>
    <row r="33">
      <c r="A33" s="1">
        <v>47.0</v>
      </c>
      <c r="B33" s="1">
        <v>21381.0</v>
      </c>
      <c r="C33" s="26">
        <v>14.529</v>
      </c>
      <c r="D33" s="23">
        <v>17.137</v>
      </c>
      <c r="E33" s="23">
        <v>3.138</v>
      </c>
      <c r="F33" s="61">
        <v>1076.6</v>
      </c>
      <c r="G33" s="23">
        <v>0.712</v>
      </c>
      <c r="H33" s="23">
        <v>0.383</v>
      </c>
      <c r="I33" s="1">
        <v>408.6</v>
      </c>
      <c r="J33" s="1">
        <v>867.5</v>
      </c>
      <c r="K33" s="23">
        <v>0.375</v>
      </c>
      <c r="L33" s="1">
        <v>12392.0</v>
      </c>
      <c r="M33" s="1">
        <v>32687.0</v>
      </c>
      <c r="N33" s="1">
        <v>41.0</v>
      </c>
      <c r="O33" s="23">
        <v>15.879</v>
      </c>
      <c r="P33" s="26">
        <f t="shared" si="6"/>
        <v>0.383</v>
      </c>
    </row>
    <row r="34">
      <c r="A34" s="1">
        <v>49.0</v>
      </c>
      <c r="B34" s="1">
        <v>21381.0</v>
      </c>
      <c r="C34" s="23">
        <v>14.518</v>
      </c>
      <c r="D34" s="23">
        <v>17.142</v>
      </c>
      <c r="E34" s="23">
        <v>3.175</v>
      </c>
      <c r="F34" s="61">
        <v>1086.6</v>
      </c>
      <c r="G34" s="23">
        <v>0.687</v>
      </c>
      <c r="H34" s="23">
        <v>0.393</v>
      </c>
      <c r="I34" s="1">
        <v>408.6</v>
      </c>
      <c r="J34" s="1">
        <v>785.5</v>
      </c>
      <c r="K34" s="23">
        <v>0.375</v>
      </c>
      <c r="L34" s="1">
        <v>12392.0</v>
      </c>
      <c r="M34" s="1">
        <v>32687.0</v>
      </c>
      <c r="N34" s="1">
        <v>16.0</v>
      </c>
      <c r="O34" s="23">
        <v>16.038</v>
      </c>
      <c r="P34" s="26">
        <f t="shared" si="6"/>
        <v>0.393</v>
      </c>
    </row>
    <row r="35">
      <c r="A35" s="1">
        <v>51.0</v>
      </c>
      <c r="B35" s="1">
        <v>21381.0</v>
      </c>
      <c r="C35" s="23">
        <v>14.534</v>
      </c>
      <c r="D35" s="23">
        <v>17.142</v>
      </c>
      <c r="E35" s="23">
        <v>3.175</v>
      </c>
      <c r="F35" s="61">
        <v>1086.6</v>
      </c>
      <c r="G35" s="23">
        <v>0.684</v>
      </c>
      <c r="H35" s="23">
        <v>0.393</v>
      </c>
      <c r="I35" s="1">
        <v>408.6</v>
      </c>
      <c r="J35" s="1">
        <v>773.0</v>
      </c>
      <c r="K35" s="23">
        <v>0.375</v>
      </c>
      <c r="L35" s="1">
        <v>12392.0</v>
      </c>
      <c r="M35" s="1">
        <v>32687.0</v>
      </c>
      <c r="N35" s="1">
        <v>94.0</v>
      </c>
      <c r="O35" s="23">
        <v>16.038</v>
      </c>
      <c r="P35" s="26">
        <f t="shared" si="6"/>
        <v>0.393</v>
      </c>
    </row>
    <row r="36">
      <c r="A36" s="1">
        <v>53.0</v>
      </c>
      <c r="B36" s="1">
        <v>21381.0</v>
      </c>
      <c r="C36" s="23">
        <v>14.558</v>
      </c>
      <c r="D36" s="23">
        <v>17.119</v>
      </c>
      <c r="E36" s="23">
        <v>2.794</v>
      </c>
      <c r="F36" s="61">
        <v>1086.6</v>
      </c>
      <c r="G36" s="23">
        <v>0.684</v>
      </c>
      <c r="H36" s="23">
        <v>0.385</v>
      </c>
      <c r="I36" s="1">
        <v>412.6</v>
      </c>
      <c r="J36" s="1">
        <v>773.0</v>
      </c>
      <c r="K36" s="23">
        <v>0.375</v>
      </c>
      <c r="L36" s="1">
        <v>12392.0</v>
      </c>
      <c r="M36" s="1">
        <v>32687.0</v>
      </c>
      <c r="N36" s="1">
        <v>68.0</v>
      </c>
      <c r="O36" s="23">
        <v>16.038</v>
      </c>
      <c r="P36" s="26">
        <f t="shared" si="6"/>
        <v>0.385</v>
      </c>
    </row>
    <row r="37">
      <c r="A37" s="1">
        <v>55.0</v>
      </c>
      <c r="B37" s="1">
        <v>21381.0</v>
      </c>
      <c r="C37" s="26">
        <v>14.664</v>
      </c>
      <c r="D37" s="23">
        <v>18.638</v>
      </c>
      <c r="E37" s="23">
        <v>2.794</v>
      </c>
      <c r="F37" s="27">
        <v>1071.6</v>
      </c>
      <c r="G37" s="23">
        <v>0.684</v>
      </c>
      <c r="H37" s="23">
        <v>0.385</v>
      </c>
      <c r="I37" s="1">
        <v>412.6</v>
      </c>
      <c r="J37" s="1">
        <v>773.0</v>
      </c>
      <c r="K37" s="23">
        <v>0.375</v>
      </c>
      <c r="L37" s="1">
        <v>12392.0</v>
      </c>
      <c r="M37" s="1">
        <v>32687.0</v>
      </c>
      <c r="N37" s="1">
        <v>47.0</v>
      </c>
      <c r="O37" s="23">
        <v>16.049</v>
      </c>
      <c r="P37" s="26">
        <f t="shared" si="6"/>
        <v>0.385</v>
      </c>
    </row>
    <row r="38">
      <c r="A38" s="1">
        <v>57.0</v>
      </c>
      <c r="B38" s="1">
        <v>21381.0</v>
      </c>
      <c r="C38" s="26">
        <v>14.331</v>
      </c>
      <c r="D38" s="23">
        <v>18.281</v>
      </c>
      <c r="E38" s="23">
        <v>3.214</v>
      </c>
      <c r="F38" s="27">
        <v>1071.6</v>
      </c>
      <c r="G38" s="23">
        <v>0.684</v>
      </c>
      <c r="H38" s="23">
        <v>0.385</v>
      </c>
      <c r="I38" s="1">
        <v>412.6</v>
      </c>
      <c r="J38" s="1">
        <v>773.0</v>
      </c>
      <c r="K38" s="23">
        <v>0.375</v>
      </c>
      <c r="L38" s="1">
        <v>12392.0</v>
      </c>
      <c r="M38" s="1">
        <v>32687.0</v>
      </c>
      <c r="N38" s="1">
        <v>24.0</v>
      </c>
      <c r="O38" s="23">
        <v>16.049</v>
      </c>
      <c r="P38" s="26">
        <f t="shared" si="6"/>
        <v>0.385</v>
      </c>
    </row>
    <row r="39">
      <c r="A39" s="1">
        <v>59.0</v>
      </c>
      <c r="B39" s="1">
        <v>21381.0</v>
      </c>
      <c r="C39" s="23">
        <v>14.664</v>
      </c>
      <c r="D39" s="23">
        <v>18.796</v>
      </c>
      <c r="E39" s="23">
        <v>3.214</v>
      </c>
      <c r="F39" s="27">
        <v>1071.6</v>
      </c>
      <c r="G39" s="23">
        <v>0.69</v>
      </c>
      <c r="H39" s="23">
        <v>0.375</v>
      </c>
      <c r="I39" s="1">
        <v>412.6</v>
      </c>
      <c r="J39" s="1">
        <v>792.9</v>
      </c>
      <c r="K39" s="23">
        <v>0.375</v>
      </c>
      <c r="L39" s="1">
        <v>10388.0</v>
      </c>
      <c r="M39" s="1">
        <v>32687.0</v>
      </c>
      <c r="N39" s="1">
        <v>5.0</v>
      </c>
      <c r="O39" s="23">
        <v>16.043</v>
      </c>
      <c r="P39" s="26">
        <f t="shared" si="6"/>
        <v>0.375</v>
      </c>
    </row>
    <row r="40">
      <c r="A40" s="1">
        <v>61.0</v>
      </c>
      <c r="B40" s="1">
        <v>21381.0</v>
      </c>
      <c r="C40" s="26">
        <v>14.216</v>
      </c>
      <c r="D40" s="23">
        <v>18.403</v>
      </c>
      <c r="E40" s="23">
        <v>3.214</v>
      </c>
      <c r="F40" s="27">
        <v>1071.6</v>
      </c>
      <c r="G40" s="23">
        <v>0.69</v>
      </c>
      <c r="H40" s="23">
        <v>0.383</v>
      </c>
      <c r="I40" s="1">
        <v>412.6</v>
      </c>
      <c r="J40" s="1">
        <v>792.9</v>
      </c>
      <c r="K40" s="23">
        <v>0.375</v>
      </c>
      <c r="L40" s="1">
        <v>10388.0</v>
      </c>
      <c r="M40" s="1">
        <v>32687.0</v>
      </c>
      <c r="N40" s="1">
        <v>82.0</v>
      </c>
      <c r="O40" s="23">
        <v>16.043</v>
      </c>
      <c r="P40" s="26">
        <f t="shared" si="6"/>
        <v>0.383</v>
      </c>
    </row>
    <row r="41">
      <c r="A41" s="1">
        <v>63.0</v>
      </c>
      <c r="B41" s="1">
        <v>19562.0</v>
      </c>
      <c r="C41" s="26">
        <v>14.146</v>
      </c>
      <c r="D41" s="23">
        <v>18.296</v>
      </c>
      <c r="E41" s="23">
        <v>3.124</v>
      </c>
      <c r="F41" s="61">
        <v>1071.6</v>
      </c>
      <c r="G41" s="23">
        <v>0.714</v>
      </c>
      <c r="H41" s="23">
        <v>0.383</v>
      </c>
      <c r="I41" s="1">
        <v>412.6</v>
      </c>
      <c r="J41" s="1">
        <v>874.9</v>
      </c>
      <c r="K41" s="23">
        <v>0.375</v>
      </c>
      <c r="L41" s="1">
        <v>10388.0</v>
      </c>
      <c r="M41" s="1">
        <v>29905.0</v>
      </c>
      <c r="N41" s="1">
        <v>65.0</v>
      </c>
      <c r="O41" s="23">
        <v>16.043</v>
      </c>
      <c r="P41" s="26">
        <f t="shared" si="6"/>
        <v>0.383</v>
      </c>
    </row>
    <row r="42">
      <c r="A42" s="1">
        <v>65.0</v>
      </c>
      <c r="B42" s="1">
        <v>19562.0</v>
      </c>
      <c r="C42" s="26">
        <v>14.479</v>
      </c>
      <c r="D42" s="23">
        <v>18.689</v>
      </c>
      <c r="E42" s="23">
        <v>3.244</v>
      </c>
      <c r="F42" s="61">
        <v>1071.6</v>
      </c>
      <c r="G42" s="23">
        <v>0.718</v>
      </c>
      <c r="H42" s="23">
        <v>0.383</v>
      </c>
      <c r="I42" s="1">
        <v>412.6</v>
      </c>
      <c r="J42" s="1">
        <v>887.4</v>
      </c>
      <c r="K42" s="23">
        <v>0.615</v>
      </c>
      <c r="L42" s="1">
        <v>10388.0</v>
      </c>
      <c r="M42" s="1">
        <v>29905.0</v>
      </c>
      <c r="N42" s="1">
        <v>47.0</v>
      </c>
      <c r="O42" s="23">
        <v>16.041</v>
      </c>
      <c r="P42" s="26">
        <f t="shared" si="6"/>
        <v>0.383</v>
      </c>
    </row>
    <row r="43">
      <c r="A43" s="1">
        <v>67.0</v>
      </c>
      <c r="B43" s="1">
        <v>19562.0</v>
      </c>
      <c r="C43" s="23">
        <v>14.49</v>
      </c>
      <c r="D43" s="23">
        <v>18.357</v>
      </c>
      <c r="E43" s="23">
        <v>3.246</v>
      </c>
      <c r="F43" s="61">
        <v>1071.6</v>
      </c>
      <c r="G43" s="23">
        <v>0.718</v>
      </c>
      <c r="H43" s="23">
        <v>0.383</v>
      </c>
      <c r="I43" s="1">
        <v>416.6</v>
      </c>
      <c r="J43" s="1">
        <v>887.4</v>
      </c>
      <c r="K43" s="23">
        <v>0.615</v>
      </c>
      <c r="L43" s="1">
        <v>10388.0</v>
      </c>
      <c r="M43" s="1">
        <v>29905.0</v>
      </c>
      <c r="N43" s="1">
        <v>25.0</v>
      </c>
      <c r="O43" s="23">
        <v>16.041</v>
      </c>
      <c r="P43" s="26">
        <f t="shared" si="6"/>
        <v>0.383</v>
      </c>
    </row>
    <row r="44">
      <c r="A44" s="1">
        <v>69.0</v>
      </c>
      <c r="B44" s="1">
        <v>19562.0</v>
      </c>
      <c r="C44" s="26">
        <v>14.512</v>
      </c>
      <c r="D44" s="23">
        <v>17.718</v>
      </c>
      <c r="E44" s="23">
        <v>3.246</v>
      </c>
      <c r="F44" s="61">
        <v>1071.6</v>
      </c>
      <c r="G44" s="23">
        <v>0.718</v>
      </c>
      <c r="H44" s="23">
        <v>1.383</v>
      </c>
      <c r="I44" s="1">
        <v>416.6</v>
      </c>
      <c r="J44" s="1">
        <v>887.4</v>
      </c>
      <c r="K44" s="23">
        <v>0.635</v>
      </c>
      <c r="L44" s="1">
        <v>10388.0</v>
      </c>
      <c r="M44" s="1">
        <v>29905.0</v>
      </c>
      <c r="N44" s="1">
        <v>3.0</v>
      </c>
      <c r="O44" s="23">
        <v>16.095</v>
      </c>
      <c r="P44" s="26">
        <f t="shared" si="6"/>
        <v>1</v>
      </c>
    </row>
    <row r="45">
      <c r="A45" s="1">
        <v>71.0</v>
      </c>
      <c r="B45" s="1">
        <v>19562.0</v>
      </c>
      <c r="C45" s="23">
        <v>14.523</v>
      </c>
      <c r="D45" s="23">
        <v>17.718</v>
      </c>
      <c r="E45" s="23">
        <v>3.246</v>
      </c>
      <c r="F45" s="61">
        <v>1071.6</v>
      </c>
      <c r="G45" s="23">
        <v>0.714</v>
      </c>
      <c r="H45" s="23">
        <v>1.376</v>
      </c>
      <c r="I45" s="1">
        <v>416.6</v>
      </c>
      <c r="J45" s="1">
        <v>874.9</v>
      </c>
      <c r="K45" s="23">
        <v>0.635</v>
      </c>
      <c r="L45" s="1">
        <v>10388.0</v>
      </c>
      <c r="M45" s="1">
        <v>29905.0</v>
      </c>
      <c r="N45" s="1">
        <v>77.0</v>
      </c>
      <c r="O45" s="23">
        <v>16.095</v>
      </c>
      <c r="P45" s="26">
        <f t="shared" si="6"/>
        <v>1</v>
      </c>
    </row>
    <row r="46">
      <c r="A46" s="1">
        <v>73.0</v>
      </c>
      <c r="B46" s="1">
        <v>19562.0</v>
      </c>
      <c r="C46" s="23">
        <v>17.192</v>
      </c>
      <c r="D46" s="23">
        <v>17.723</v>
      </c>
      <c r="E46" s="23">
        <v>3.25</v>
      </c>
      <c r="F46" s="61">
        <v>1071.6</v>
      </c>
      <c r="G46" s="23">
        <v>0.714</v>
      </c>
      <c r="H46" s="23">
        <v>1.376</v>
      </c>
      <c r="I46" s="1">
        <v>424.6</v>
      </c>
      <c r="J46" s="1">
        <v>874.9</v>
      </c>
      <c r="K46" s="23">
        <v>0.655</v>
      </c>
      <c r="L46" s="1">
        <v>10388.0</v>
      </c>
      <c r="M46" s="1">
        <v>29905.0</v>
      </c>
      <c r="N46" s="1">
        <v>58.0</v>
      </c>
      <c r="O46" s="23">
        <v>16.095</v>
      </c>
      <c r="P46" s="26">
        <f t="shared" si="6"/>
        <v>1</v>
      </c>
    </row>
    <row r="47">
      <c r="A47" s="1">
        <v>75.0</v>
      </c>
      <c r="B47" s="1">
        <v>21381.0</v>
      </c>
      <c r="C47" s="23">
        <v>18.607</v>
      </c>
      <c r="D47" s="23">
        <v>18.874</v>
      </c>
      <c r="E47" s="23">
        <v>2.935</v>
      </c>
      <c r="F47" s="27">
        <v>1071.6</v>
      </c>
      <c r="G47" s="23">
        <v>0.714</v>
      </c>
      <c r="H47" s="23">
        <v>0.383</v>
      </c>
      <c r="I47" s="1">
        <v>428.6</v>
      </c>
      <c r="J47" s="1">
        <v>874.9</v>
      </c>
      <c r="K47" s="23">
        <v>0.675</v>
      </c>
      <c r="L47" s="1">
        <v>10388.0</v>
      </c>
      <c r="M47" s="1">
        <v>32687.0</v>
      </c>
      <c r="N47" s="1">
        <v>28.0</v>
      </c>
      <c r="O47" s="23">
        <v>16.095</v>
      </c>
      <c r="P47" s="26">
        <f t="shared" si="6"/>
        <v>0.383</v>
      </c>
    </row>
    <row r="48">
      <c r="A48" s="1">
        <v>77.0</v>
      </c>
      <c r="B48" s="1">
        <v>22291.0</v>
      </c>
      <c r="C48" s="23">
        <v>18.974</v>
      </c>
      <c r="D48" s="23">
        <v>19.711</v>
      </c>
      <c r="E48" s="23">
        <v>3.012</v>
      </c>
      <c r="F48" s="27">
        <v>1071.6</v>
      </c>
      <c r="G48" s="23">
        <v>0.708</v>
      </c>
      <c r="H48" s="23">
        <v>0.364</v>
      </c>
      <c r="I48" s="1">
        <v>428.6</v>
      </c>
      <c r="J48" s="1">
        <v>852.4</v>
      </c>
      <c r="K48" s="23">
        <v>0.695</v>
      </c>
      <c r="L48" s="1">
        <v>10388.0</v>
      </c>
      <c r="M48" s="1">
        <v>34078.0</v>
      </c>
      <c r="N48" s="1">
        <v>84.0</v>
      </c>
      <c r="O48" s="23">
        <v>16.095</v>
      </c>
      <c r="P48" s="26">
        <f t="shared" si="6"/>
        <v>0.364</v>
      </c>
    </row>
    <row r="49">
      <c r="A49" s="1">
        <v>79.0</v>
      </c>
      <c r="B49" s="1">
        <v>24111.0</v>
      </c>
      <c r="C49" s="23">
        <v>19.59</v>
      </c>
      <c r="D49" s="23">
        <v>20.066</v>
      </c>
      <c r="E49" s="23">
        <v>3.092</v>
      </c>
      <c r="F49" s="27">
        <v>1071.6</v>
      </c>
      <c r="G49" s="23">
        <v>0.708</v>
      </c>
      <c r="H49" s="23">
        <v>0.364</v>
      </c>
      <c r="I49" s="1">
        <v>428.6</v>
      </c>
      <c r="J49" s="1">
        <v>852.4</v>
      </c>
      <c r="K49" s="23">
        <v>0.695</v>
      </c>
      <c r="L49" s="1">
        <v>10388.0</v>
      </c>
      <c r="M49" s="1">
        <v>36859.0</v>
      </c>
      <c r="N49" s="1">
        <v>17.0</v>
      </c>
      <c r="O49" s="23">
        <v>16.341</v>
      </c>
      <c r="P49" s="26">
        <f t="shared" si="6"/>
        <v>0.364</v>
      </c>
    </row>
    <row r="50">
      <c r="A50" s="1">
        <v>81.0</v>
      </c>
      <c r="B50" s="1">
        <v>23292.0</v>
      </c>
      <c r="C50" s="23">
        <v>19.59</v>
      </c>
      <c r="D50" s="23">
        <v>20.064</v>
      </c>
      <c r="E50" s="23">
        <v>2.974</v>
      </c>
      <c r="F50" s="27">
        <v>1071.6</v>
      </c>
      <c r="G50" s="23">
        <v>0.677</v>
      </c>
      <c r="H50" s="23">
        <v>0.364</v>
      </c>
      <c r="I50" s="1">
        <v>432.6</v>
      </c>
      <c r="J50" s="1">
        <v>750.6</v>
      </c>
      <c r="K50" s="23">
        <v>0.715</v>
      </c>
      <c r="L50" s="1">
        <v>10388.0</v>
      </c>
      <c r="M50" s="1">
        <v>36859.0</v>
      </c>
      <c r="N50" s="1">
        <v>85.0</v>
      </c>
      <c r="O50" s="23">
        <v>16.341</v>
      </c>
      <c r="P50" s="26">
        <f t="shared" si="6"/>
        <v>0.364</v>
      </c>
    </row>
    <row r="51">
      <c r="A51" s="1">
        <v>83.0</v>
      </c>
      <c r="B51" s="1">
        <v>24111.0</v>
      </c>
      <c r="C51" s="23">
        <v>16.61</v>
      </c>
      <c r="D51" s="23">
        <v>19.994</v>
      </c>
      <c r="E51" s="23">
        <v>2.974</v>
      </c>
      <c r="F51" s="61">
        <v>1071.6</v>
      </c>
      <c r="G51" s="23">
        <v>0.684</v>
      </c>
      <c r="H51" s="23">
        <v>0.383</v>
      </c>
      <c r="I51" s="1">
        <v>432.6</v>
      </c>
      <c r="J51" s="1">
        <v>773.1</v>
      </c>
      <c r="K51" s="23">
        <v>0.715</v>
      </c>
      <c r="L51" s="1">
        <v>10388.0</v>
      </c>
      <c r="M51" s="1">
        <v>36859.0</v>
      </c>
      <c r="N51" s="1">
        <v>49.0</v>
      </c>
      <c r="O51" s="23">
        <v>16.369</v>
      </c>
      <c r="P51" s="26">
        <f t="shared" si="6"/>
        <v>0.383</v>
      </c>
    </row>
    <row r="52">
      <c r="A52" s="1">
        <v>85.0</v>
      </c>
      <c r="B52" s="1">
        <v>24111.0</v>
      </c>
      <c r="C52" s="23">
        <v>16.643</v>
      </c>
      <c r="D52" s="23">
        <v>20.072</v>
      </c>
      <c r="E52" s="23">
        <v>2.974</v>
      </c>
      <c r="F52" s="27">
        <v>1071.6</v>
      </c>
      <c r="G52" s="23">
        <v>0.693</v>
      </c>
      <c r="H52" s="23">
        <v>0.393</v>
      </c>
      <c r="I52" s="1">
        <v>432.6</v>
      </c>
      <c r="J52" s="1">
        <v>805.4</v>
      </c>
      <c r="K52" s="23">
        <v>0.735</v>
      </c>
      <c r="L52" s="1">
        <v>10388.0</v>
      </c>
      <c r="M52" s="1">
        <v>36859.0</v>
      </c>
      <c r="N52" s="1">
        <v>98.0</v>
      </c>
      <c r="O52" s="23">
        <v>16.369</v>
      </c>
      <c r="P52" s="26">
        <f t="shared" si="6"/>
        <v>0.393</v>
      </c>
    </row>
    <row r="53">
      <c r="A53" s="1">
        <v>87.0</v>
      </c>
      <c r="B53" s="1">
        <v>24111.0</v>
      </c>
      <c r="C53" s="23">
        <v>16.666</v>
      </c>
      <c r="D53" s="23">
        <v>21.104</v>
      </c>
      <c r="E53" s="23">
        <v>3.011</v>
      </c>
      <c r="F53" s="61">
        <v>1086.6</v>
      </c>
      <c r="G53" s="23">
        <v>0.793</v>
      </c>
      <c r="H53" s="23">
        <v>0.423</v>
      </c>
      <c r="I53" s="1">
        <v>432.6</v>
      </c>
      <c r="J53" s="1">
        <v>805.4</v>
      </c>
      <c r="K53" s="23">
        <v>0.755</v>
      </c>
      <c r="L53" s="1">
        <v>10388.0</v>
      </c>
      <c r="M53" s="1">
        <v>36859.0</v>
      </c>
      <c r="N53" s="1">
        <v>56.0</v>
      </c>
      <c r="O53" s="23">
        <v>16.331</v>
      </c>
      <c r="P53" s="26">
        <f t="shared" si="6"/>
        <v>0.423</v>
      </c>
    </row>
    <row r="54">
      <c r="A54" s="1">
        <v>89.0</v>
      </c>
      <c r="B54" s="1">
        <v>23833.0</v>
      </c>
      <c r="C54" s="23">
        <v>15.866</v>
      </c>
      <c r="D54" s="23">
        <v>20.168</v>
      </c>
      <c r="E54" s="23">
        <v>3.011</v>
      </c>
      <c r="F54" s="61">
        <v>1086.6</v>
      </c>
      <c r="G54" s="23">
        <v>0.793</v>
      </c>
      <c r="H54" s="23">
        <v>0.423</v>
      </c>
      <c r="I54" s="1">
        <v>432.6</v>
      </c>
      <c r="J54" s="1">
        <v>805.4</v>
      </c>
      <c r="K54" s="23">
        <v>0.755</v>
      </c>
      <c r="L54" s="1">
        <v>10388.0</v>
      </c>
      <c r="M54" s="1">
        <v>36859.0</v>
      </c>
      <c r="N54" s="1">
        <v>23.0</v>
      </c>
      <c r="O54" s="23">
        <v>16.331</v>
      </c>
      <c r="P54" s="26">
        <f t="shared" si="6"/>
        <v>0.423</v>
      </c>
    </row>
    <row r="55">
      <c r="A55" s="1">
        <v>91.0</v>
      </c>
      <c r="B55" s="1">
        <v>21381.0</v>
      </c>
      <c r="C55" s="26">
        <v>14.618</v>
      </c>
      <c r="D55" s="23">
        <v>18.803</v>
      </c>
      <c r="E55" s="23">
        <v>3.008</v>
      </c>
      <c r="F55" s="27">
        <v>1086.6</v>
      </c>
      <c r="G55" s="23">
        <v>0.787</v>
      </c>
      <c r="H55" s="23">
        <v>0.423</v>
      </c>
      <c r="I55" s="1">
        <v>432.6</v>
      </c>
      <c r="J55" s="1">
        <v>785.5</v>
      </c>
      <c r="K55" s="23">
        <v>0.775</v>
      </c>
      <c r="L55" s="1">
        <v>12392.0</v>
      </c>
      <c r="M55" s="1">
        <v>32687.0</v>
      </c>
      <c r="N55" s="1">
        <v>78.0</v>
      </c>
      <c r="O55" s="23">
        <v>16.331</v>
      </c>
      <c r="P55" s="26">
        <f t="shared" si="6"/>
        <v>0.423</v>
      </c>
    </row>
    <row r="56">
      <c r="A56" s="1">
        <v>93.0</v>
      </c>
      <c r="B56" s="1">
        <v>19562.0</v>
      </c>
      <c r="C56" s="23">
        <v>14.218</v>
      </c>
      <c r="D56" s="23">
        <v>18.172</v>
      </c>
      <c r="E56" s="23">
        <v>2.938</v>
      </c>
      <c r="F56" s="61">
        <v>1086.6</v>
      </c>
      <c r="G56" s="23">
        <v>0.784</v>
      </c>
      <c r="H56" s="23">
        <v>0.423</v>
      </c>
      <c r="I56" s="1">
        <v>432.6</v>
      </c>
      <c r="J56" s="1">
        <v>773.0</v>
      </c>
      <c r="K56" s="23">
        <v>0.795</v>
      </c>
      <c r="L56" s="1">
        <v>12392.0</v>
      </c>
      <c r="M56" s="1">
        <v>29905.0</v>
      </c>
      <c r="N56" s="1">
        <v>64.0</v>
      </c>
      <c r="O56" s="23">
        <v>16.135</v>
      </c>
      <c r="P56" s="26">
        <f t="shared" si="6"/>
        <v>0.423</v>
      </c>
    </row>
    <row r="57">
      <c r="A57" s="1">
        <v>95.0</v>
      </c>
      <c r="B57" s="1">
        <v>19562.0</v>
      </c>
      <c r="C57" s="23">
        <v>13.818</v>
      </c>
      <c r="D57" s="23">
        <v>18.37</v>
      </c>
      <c r="E57" s="23">
        <v>2.975</v>
      </c>
      <c r="F57" s="27">
        <v>1086.6</v>
      </c>
      <c r="G57" s="23">
        <v>0.784</v>
      </c>
      <c r="H57" s="23">
        <v>0.423</v>
      </c>
      <c r="I57" s="1">
        <v>432.6</v>
      </c>
      <c r="J57" s="1">
        <v>773.0</v>
      </c>
      <c r="K57" s="23">
        <v>0.795</v>
      </c>
      <c r="L57" s="1">
        <v>12392.0</v>
      </c>
      <c r="M57" s="1">
        <v>29905.0</v>
      </c>
      <c r="N57" s="1">
        <v>37.0</v>
      </c>
      <c r="O57" s="23">
        <v>16.135</v>
      </c>
      <c r="P57" s="26">
        <f t="shared" si="6"/>
        <v>0.423</v>
      </c>
    </row>
    <row r="58">
      <c r="A58" s="1">
        <v>97.0</v>
      </c>
      <c r="B58" s="1">
        <v>19562.0</v>
      </c>
      <c r="C58" s="23">
        <v>13.818</v>
      </c>
      <c r="D58" s="23">
        <v>18.369</v>
      </c>
      <c r="E58" s="23">
        <v>3.262</v>
      </c>
      <c r="F58" s="61">
        <v>1086.6</v>
      </c>
      <c r="G58" s="23">
        <v>0.724</v>
      </c>
      <c r="H58" s="23">
        <v>0.393</v>
      </c>
      <c r="I58" s="1">
        <v>432.6</v>
      </c>
      <c r="J58" s="1">
        <v>909.4</v>
      </c>
      <c r="K58" s="23">
        <v>0.375</v>
      </c>
      <c r="L58" s="1">
        <v>12392.0</v>
      </c>
      <c r="M58" s="1">
        <v>29905.0</v>
      </c>
      <c r="N58" s="1">
        <v>18.0</v>
      </c>
      <c r="O58" s="23">
        <v>16.091</v>
      </c>
      <c r="P58" s="26">
        <f t="shared" si="6"/>
        <v>0.393</v>
      </c>
    </row>
    <row r="59">
      <c r="A59" s="1">
        <v>99.0</v>
      </c>
      <c r="B59" s="1">
        <v>19562.0</v>
      </c>
      <c r="C59" s="23">
        <v>14.329</v>
      </c>
      <c r="D59" s="23">
        <v>17.329</v>
      </c>
      <c r="E59" s="23">
        <v>3.262</v>
      </c>
      <c r="F59" s="61">
        <v>1071.6</v>
      </c>
      <c r="G59" s="23">
        <v>0.724</v>
      </c>
      <c r="H59" s="23">
        <v>0.393</v>
      </c>
      <c r="I59" s="1">
        <v>432.6</v>
      </c>
      <c r="J59" s="1">
        <v>909.4</v>
      </c>
      <c r="K59" s="23">
        <v>0.375</v>
      </c>
      <c r="L59" s="1">
        <v>12392.0</v>
      </c>
      <c r="M59" s="1">
        <v>29905.0</v>
      </c>
      <c r="N59" s="1">
        <v>89.0</v>
      </c>
      <c r="O59" s="23">
        <v>16.091</v>
      </c>
      <c r="P59" s="26">
        <f t="shared" si="6"/>
        <v>0.393</v>
      </c>
    </row>
    <row r="60">
      <c r="A60" s="1">
        <v>101.0</v>
      </c>
      <c r="B60" s="1">
        <v>19562.0</v>
      </c>
      <c r="C60" s="23">
        <v>14.629</v>
      </c>
      <c r="D60" s="23">
        <v>18.126</v>
      </c>
      <c r="E60" s="23">
        <v>3.883</v>
      </c>
      <c r="F60" s="27">
        <v>1086.6</v>
      </c>
      <c r="G60" s="23">
        <v>0.724</v>
      </c>
      <c r="H60" s="23">
        <v>0.393</v>
      </c>
      <c r="I60" s="1">
        <v>432.6</v>
      </c>
      <c r="J60" s="1">
        <v>909.4</v>
      </c>
      <c r="K60" s="23">
        <v>0.375</v>
      </c>
      <c r="L60" s="1">
        <v>12392.0</v>
      </c>
      <c r="M60" s="1">
        <v>29905.0</v>
      </c>
      <c r="N60" s="1">
        <v>81.0</v>
      </c>
      <c r="O60" s="23">
        <v>16.058</v>
      </c>
      <c r="P60" s="26">
        <f t="shared" si="6"/>
        <v>0.393</v>
      </c>
    </row>
    <row r="61">
      <c r="A61" s="1">
        <v>103.0</v>
      </c>
      <c r="B61" s="1">
        <v>19562.0</v>
      </c>
      <c r="C61" s="23">
        <v>14.584</v>
      </c>
      <c r="D61" s="26">
        <v>18.127</v>
      </c>
      <c r="E61" s="23">
        <v>3.923</v>
      </c>
      <c r="F61" s="27">
        <v>1076.6</v>
      </c>
      <c r="G61" s="23">
        <v>0.724</v>
      </c>
      <c r="H61" s="23">
        <v>0.383</v>
      </c>
      <c r="I61" s="1">
        <v>432.6</v>
      </c>
      <c r="J61" s="1">
        <v>909.4</v>
      </c>
      <c r="K61" s="23">
        <v>0.375</v>
      </c>
      <c r="L61" s="1">
        <v>12392.0</v>
      </c>
      <c r="M61" s="1">
        <v>29905.0</v>
      </c>
      <c r="N61" s="1">
        <v>41.0</v>
      </c>
      <c r="O61" s="23">
        <v>15.908</v>
      </c>
      <c r="P61" s="26">
        <f t="shared" si="6"/>
        <v>0.383</v>
      </c>
    </row>
    <row r="62">
      <c r="A62" s="1">
        <v>105.0</v>
      </c>
      <c r="B62" s="1">
        <v>19562.0</v>
      </c>
      <c r="C62" s="23">
        <v>14.584</v>
      </c>
      <c r="D62" s="26">
        <v>18.258</v>
      </c>
      <c r="E62" s="23">
        <v>3.923</v>
      </c>
      <c r="F62" s="27">
        <v>1076.6</v>
      </c>
      <c r="G62" s="23">
        <v>0.724</v>
      </c>
      <c r="H62" s="23">
        <v>0.383</v>
      </c>
      <c r="I62" s="1">
        <v>432.6</v>
      </c>
      <c r="J62" s="1">
        <v>909.4</v>
      </c>
      <c r="K62" s="23">
        <v>0.375</v>
      </c>
      <c r="L62" s="1">
        <v>12392.0</v>
      </c>
      <c r="M62" s="1">
        <v>29905.0</v>
      </c>
      <c r="N62" s="1">
        <v>24.0</v>
      </c>
      <c r="O62" s="23">
        <v>15.908</v>
      </c>
      <c r="P62" s="26">
        <f t="shared" si="6"/>
        <v>0.383</v>
      </c>
    </row>
    <row r="63">
      <c r="A63" s="1">
        <v>107.0</v>
      </c>
      <c r="B63" s="1">
        <v>19562.0</v>
      </c>
      <c r="C63" s="23">
        <v>14.573</v>
      </c>
      <c r="D63" s="23">
        <v>17.725</v>
      </c>
      <c r="E63" s="23">
        <v>3.963</v>
      </c>
      <c r="F63" s="61">
        <v>1076.6</v>
      </c>
      <c r="G63" s="23">
        <v>0.724</v>
      </c>
      <c r="H63" s="23">
        <v>0.383</v>
      </c>
      <c r="I63" s="1">
        <v>432.6</v>
      </c>
      <c r="J63" s="1">
        <v>909.4</v>
      </c>
      <c r="K63" s="23">
        <v>0.375</v>
      </c>
      <c r="L63" s="1">
        <v>12392.0</v>
      </c>
      <c r="M63" s="1">
        <v>29905.0</v>
      </c>
      <c r="N63" s="1">
        <v>89.0</v>
      </c>
      <c r="O63" s="23">
        <v>15.904</v>
      </c>
      <c r="P63" s="26">
        <f t="shared" si="6"/>
        <v>0.383</v>
      </c>
    </row>
    <row r="64">
      <c r="A64" s="1">
        <v>109.0</v>
      </c>
      <c r="B64" s="1">
        <v>19562.0</v>
      </c>
      <c r="C64" s="23">
        <v>14.018</v>
      </c>
      <c r="D64" s="26">
        <v>17.7</v>
      </c>
      <c r="E64" s="23">
        <v>3.963</v>
      </c>
      <c r="F64" s="61">
        <v>1076.6</v>
      </c>
      <c r="G64" s="23">
        <v>0.726</v>
      </c>
      <c r="H64" s="23">
        <v>0.383</v>
      </c>
      <c r="I64" s="1">
        <v>432.6</v>
      </c>
      <c r="J64" s="1">
        <v>921.9</v>
      </c>
      <c r="K64" s="23">
        <v>0.375</v>
      </c>
      <c r="L64" s="1">
        <v>12392.0</v>
      </c>
      <c r="M64" s="1">
        <v>29905.0</v>
      </c>
      <c r="N64" s="1">
        <v>64.0</v>
      </c>
      <c r="O64" s="23">
        <v>15.904</v>
      </c>
      <c r="P64" s="26">
        <f t="shared" si="6"/>
        <v>0.383</v>
      </c>
    </row>
    <row r="65">
      <c r="A65" s="1">
        <v>111.0</v>
      </c>
      <c r="B65" s="1">
        <v>21381.0</v>
      </c>
      <c r="C65" s="26">
        <v>15.095</v>
      </c>
      <c r="D65" s="26">
        <v>17.692</v>
      </c>
      <c r="E65" s="23">
        <v>4.004</v>
      </c>
      <c r="F65" s="61">
        <v>1076.6</v>
      </c>
      <c r="G65" s="23">
        <v>0.726</v>
      </c>
      <c r="H65" s="23">
        <v>0.375</v>
      </c>
      <c r="I65" s="1">
        <v>432.6</v>
      </c>
      <c r="J65" s="1">
        <v>921.9</v>
      </c>
      <c r="K65" s="23">
        <v>0.375</v>
      </c>
      <c r="L65" s="1">
        <v>12392.0</v>
      </c>
      <c r="M65" s="1">
        <v>32687.0</v>
      </c>
      <c r="N65" s="1">
        <v>6.0</v>
      </c>
      <c r="O65" s="23">
        <v>15.888</v>
      </c>
      <c r="P65" s="26">
        <f t="shared" si="6"/>
        <v>0.375</v>
      </c>
    </row>
    <row r="66">
      <c r="A66" s="1">
        <v>113.0</v>
      </c>
      <c r="B66" s="1">
        <v>21381.0</v>
      </c>
      <c r="C66" s="23">
        <v>15.25</v>
      </c>
      <c r="D66" s="23">
        <v>17.882</v>
      </c>
      <c r="E66" s="26">
        <v>3.993</v>
      </c>
      <c r="F66" s="27">
        <v>1061.6</v>
      </c>
      <c r="G66" s="23">
        <v>0.704</v>
      </c>
      <c r="H66" s="23">
        <v>0.393</v>
      </c>
      <c r="I66" s="1">
        <v>432.6</v>
      </c>
      <c r="J66" s="1">
        <v>839.9</v>
      </c>
      <c r="K66" s="23">
        <v>0.375</v>
      </c>
      <c r="L66" s="1">
        <v>12392.0</v>
      </c>
      <c r="M66" s="1">
        <v>32687.0</v>
      </c>
      <c r="N66" s="1">
        <v>75.0</v>
      </c>
      <c r="O66" s="23">
        <v>15.888</v>
      </c>
      <c r="P66" s="26">
        <f t="shared" si="6"/>
        <v>0.393</v>
      </c>
    </row>
    <row r="67">
      <c r="A67" s="1">
        <v>115.0</v>
      </c>
      <c r="B67" s="1">
        <v>21381.0</v>
      </c>
      <c r="C67" s="23">
        <v>15.472</v>
      </c>
      <c r="D67" s="23">
        <v>18.132</v>
      </c>
      <c r="E67" s="23">
        <v>3.993</v>
      </c>
      <c r="F67" s="61">
        <v>1076.6</v>
      </c>
      <c r="G67" s="23">
        <v>0.704</v>
      </c>
      <c r="H67" s="23">
        <v>0.393</v>
      </c>
      <c r="I67" s="1">
        <v>432.6</v>
      </c>
      <c r="J67" s="1">
        <v>839.9</v>
      </c>
      <c r="K67" s="23">
        <v>0.375</v>
      </c>
      <c r="L67" s="1">
        <v>12392.0</v>
      </c>
      <c r="M67" s="1">
        <v>32687.0</v>
      </c>
      <c r="N67" s="1">
        <v>61.0</v>
      </c>
      <c r="O67" s="23">
        <v>15.888</v>
      </c>
      <c r="P67" s="26">
        <f t="shared" si="6"/>
        <v>0.393</v>
      </c>
    </row>
    <row r="68">
      <c r="A68" s="1">
        <v>117.0</v>
      </c>
      <c r="B68" s="1">
        <v>21381.0</v>
      </c>
      <c r="C68" s="23">
        <v>15.489</v>
      </c>
      <c r="D68" s="23">
        <v>18.132</v>
      </c>
      <c r="E68" s="23">
        <v>3.993</v>
      </c>
      <c r="F68" s="61">
        <v>1086.6</v>
      </c>
      <c r="G68" s="23">
        <v>0.7</v>
      </c>
      <c r="H68" s="23">
        <v>0.393</v>
      </c>
      <c r="I68" s="1">
        <v>432.6</v>
      </c>
      <c r="J68" s="1">
        <v>827.4</v>
      </c>
      <c r="K68" s="23">
        <v>0.375</v>
      </c>
      <c r="L68" s="1">
        <v>12392.0</v>
      </c>
      <c r="M68" s="1">
        <v>32687.0</v>
      </c>
      <c r="N68" s="1">
        <v>17.0</v>
      </c>
      <c r="O68" s="23">
        <v>16.038</v>
      </c>
      <c r="P68" s="26">
        <f t="shared" si="6"/>
        <v>0.393</v>
      </c>
    </row>
    <row r="69">
      <c r="A69" s="1">
        <v>119.0</v>
      </c>
      <c r="B69" s="1">
        <v>21381.0</v>
      </c>
      <c r="C69" s="23">
        <v>15.489</v>
      </c>
      <c r="D69" s="23">
        <v>18.139</v>
      </c>
      <c r="E69" s="23">
        <v>4.164</v>
      </c>
      <c r="F69" s="27">
        <v>1086.6</v>
      </c>
      <c r="G69" s="23">
        <v>0.7</v>
      </c>
      <c r="H69" s="23">
        <v>0.393</v>
      </c>
      <c r="I69" s="1">
        <v>432.6</v>
      </c>
      <c r="J69" s="1">
        <v>827.4</v>
      </c>
      <c r="K69" s="23">
        <v>0.375</v>
      </c>
      <c r="L69" s="1">
        <v>12392.0</v>
      </c>
      <c r="M69" s="1">
        <v>32687.0</v>
      </c>
      <c r="N69" s="1">
        <v>65.0</v>
      </c>
      <c r="O69" s="23">
        <v>16.038</v>
      </c>
      <c r="P69" s="26">
        <f t="shared" si="6"/>
        <v>0.393</v>
      </c>
    </row>
    <row r="70">
      <c r="A70" s="1">
        <v>121.0</v>
      </c>
      <c r="B70" s="1">
        <v>21381.0</v>
      </c>
      <c r="C70" s="23">
        <v>15.489</v>
      </c>
      <c r="D70" s="23">
        <v>18.093</v>
      </c>
      <c r="E70" s="23">
        <v>3.1</v>
      </c>
      <c r="F70" s="27">
        <v>1086.6</v>
      </c>
      <c r="G70" s="23">
        <v>0.7</v>
      </c>
      <c r="H70" s="23">
        <v>0.393</v>
      </c>
      <c r="I70" s="1">
        <v>432.6</v>
      </c>
      <c r="J70" s="1">
        <v>827.4</v>
      </c>
      <c r="K70" s="23">
        <v>0.375</v>
      </c>
      <c r="L70" s="1">
        <v>12392.0</v>
      </c>
      <c r="M70" s="1">
        <v>32687.0</v>
      </c>
      <c r="N70" s="1">
        <v>41.0</v>
      </c>
      <c r="O70" s="23">
        <v>16.045</v>
      </c>
      <c r="P70" s="26">
        <f t="shared" si="6"/>
        <v>0.393</v>
      </c>
    </row>
    <row r="71">
      <c r="A71" s="1">
        <v>123.0</v>
      </c>
      <c r="B71" s="1">
        <v>21381.0</v>
      </c>
      <c r="C71" s="26">
        <v>15.489</v>
      </c>
      <c r="D71" s="23">
        <v>18.093</v>
      </c>
      <c r="E71" s="23">
        <v>3.1</v>
      </c>
      <c r="F71" s="61">
        <v>1086.6</v>
      </c>
      <c r="G71" s="23">
        <v>0.7</v>
      </c>
      <c r="H71" s="23">
        <v>0.393</v>
      </c>
      <c r="I71" s="1">
        <v>432.6</v>
      </c>
      <c r="J71" s="1">
        <v>827.4</v>
      </c>
      <c r="K71" s="23">
        <v>0.375</v>
      </c>
      <c r="L71" s="1">
        <v>12392.0</v>
      </c>
      <c r="M71" s="1">
        <v>32687.0</v>
      </c>
      <c r="N71" s="1">
        <v>12.0</v>
      </c>
      <c r="O71" s="23">
        <v>16.045</v>
      </c>
      <c r="P71" s="26">
        <f t="shared" si="6"/>
        <v>0.393</v>
      </c>
    </row>
    <row r="72">
      <c r="A72" s="1">
        <v>125.0</v>
      </c>
      <c r="B72" s="1">
        <v>21381.0</v>
      </c>
      <c r="C72" s="23">
        <v>14.934</v>
      </c>
      <c r="D72" s="23">
        <v>17.459</v>
      </c>
      <c r="E72" s="23">
        <v>3.1</v>
      </c>
      <c r="F72" s="27">
        <v>1086.6</v>
      </c>
      <c r="G72" s="23">
        <v>0.7</v>
      </c>
      <c r="H72" s="23">
        <v>0.393</v>
      </c>
      <c r="I72" s="1">
        <v>432.6</v>
      </c>
      <c r="J72" s="1">
        <v>827.4</v>
      </c>
      <c r="K72" s="23">
        <v>0.375</v>
      </c>
      <c r="L72" s="1">
        <v>12392.0</v>
      </c>
      <c r="M72" s="1">
        <v>32687.0</v>
      </c>
      <c r="N72" s="1">
        <v>94.0</v>
      </c>
      <c r="O72" s="23">
        <v>16.008</v>
      </c>
      <c r="P72" s="26">
        <f t="shared" si="6"/>
        <v>0.393</v>
      </c>
    </row>
    <row r="73">
      <c r="A73" s="1">
        <v>127.0</v>
      </c>
      <c r="B73" s="1">
        <v>19562.0</v>
      </c>
      <c r="C73" s="23">
        <v>14.268</v>
      </c>
      <c r="D73" s="23">
        <v>17.268</v>
      </c>
      <c r="E73" s="23">
        <v>3.047</v>
      </c>
      <c r="F73" s="27">
        <v>1071.6</v>
      </c>
      <c r="G73" s="23">
        <v>0.7</v>
      </c>
      <c r="H73" s="23">
        <v>0.393</v>
      </c>
      <c r="I73" s="1">
        <v>432.6</v>
      </c>
      <c r="J73" s="1">
        <v>827.4</v>
      </c>
      <c r="K73" s="23">
        <v>0.615</v>
      </c>
      <c r="L73" s="1">
        <v>12392.0</v>
      </c>
      <c r="M73" s="1">
        <v>29905.0</v>
      </c>
      <c r="N73" s="1">
        <v>77.0</v>
      </c>
      <c r="O73" s="23">
        <v>16.008</v>
      </c>
      <c r="P73" s="26">
        <f t="shared" si="6"/>
        <v>0.393</v>
      </c>
    </row>
    <row r="74">
      <c r="A74" s="1">
        <v>129.0</v>
      </c>
      <c r="B74" s="1">
        <v>18897.0</v>
      </c>
      <c r="C74" s="23">
        <v>14.568</v>
      </c>
      <c r="D74" s="23">
        <v>16.956</v>
      </c>
      <c r="E74" s="23">
        <v>3.047</v>
      </c>
      <c r="F74" s="27">
        <v>1071.6</v>
      </c>
      <c r="G74" s="23">
        <v>0.724</v>
      </c>
      <c r="H74" s="23">
        <v>0.393</v>
      </c>
      <c r="I74" s="1">
        <v>432.6</v>
      </c>
      <c r="J74" s="1">
        <v>909.4</v>
      </c>
      <c r="K74" s="23">
        <v>0.615</v>
      </c>
      <c r="L74" s="1">
        <v>12392.0</v>
      </c>
      <c r="M74" s="1">
        <v>29905.0</v>
      </c>
      <c r="N74" s="1">
        <v>55.0</v>
      </c>
      <c r="O74" s="23">
        <v>16.008</v>
      </c>
      <c r="P74" s="26">
        <f t="shared" si="6"/>
        <v>0.393</v>
      </c>
    </row>
    <row r="75">
      <c r="A75" s="1">
        <v>131.0</v>
      </c>
      <c r="B75" s="1">
        <v>19562.0</v>
      </c>
      <c r="C75" s="23">
        <v>14.656</v>
      </c>
      <c r="D75" s="23">
        <v>17.041</v>
      </c>
      <c r="E75" s="23">
        <v>3.467</v>
      </c>
      <c r="F75" s="61">
        <v>1071.6</v>
      </c>
      <c r="G75" s="23">
        <v>0.726</v>
      </c>
      <c r="H75" s="23">
        <v>1.393</v>
      </c>
      <c r="I75" s="1">
        <v>432.6</v>
      </c>
      <c r="J75" s="1">
        <v>921.9</v>
      </c>
      <c r="K75" s="23">
        <v>0.635</v>
      </c>
      <c r="L75" s="1">
        <v>12392.0</v>
      </c>
      <c r="M75" s="1">
        <v>29905.0</v>
      </c>
      <c r="N75" s="1">
        <v>31.0</v>
      </c>
      <c r="O75" s="23">
        <v>15.992</v>
      </c>
      <c r="P75" s="26">
        <f t="shared" si="6"/>
        <v>1</v>
      </c>
    </row>
    <row r="76">
      <c r="A76" s="1">
        <v>133.0</v>
      </c>
      <c r="B76" s="1">
        <v>19562.0</v>
      </c>
      <c r="C76" s="23">
        <v>16.904</v>
      </c>
      <c r="D76" s="23">
        <v>17.318</v>
      </c>
      <c r="E76" s="23">
        <v>3.504</v>
      </c>
      <c r="F76" s="61">
        <v>1071.6</v>
      </c>
      <c r="G76" s="23">
        <v>0.726</v>
      </c>
      <c r="H76" s="23">
        <v>1.383</v>
      </c>
      <c r="I76" s="1">
        <v>432.6</v>
      </c>
      <c r="J76" s="1">
        <v>921.9</v>
      </c>
      <c r="K76" s="23">
        <v>0.655</v>
      </c>
      <c r="L76" s="1">
        <v>12392.0</v>
      </c>
      <c r="M76" s="1">
        <v>29905.0</v>
      </c>
      <c r="N76" s="1">
        <v>18.0</v>
      </c>
      <c r="O76" s="23">
        <v>15.992</v>
      </c>
      <c r="P76" s="26">
        <f t="shared" si="6"/>
        <v>1</v>
      </c>
    </row>
    <row r="77">
      <c r="A77" s="1">
        <v>135.0</v>
      </c>
      <c r="B77" s="1">
        <v>19562.0</v>
      </c>
      <c r="C77" s="23">
        <v>17.318</v>
      </c>
      <c r="D77" s="23">
        <v>18.634</v>
      </c>
      <c r="E77" s="23">
        <v>3.421</v>
      </c>
      <c r="F77" s="61">
        <v>1086.6</v>
      </c>
      <c r="G77" s="23">
        <v>0.726</v>
      </c>
      <c r="H77" s="23">
        <v>1.383</v>
      </c>
      <c r="I77" s="1">
        <v>432.6</v>
      </c>
      <c r="J77" s="1">
        <v>921.9</v>
      </c>
      <c r="K77" s="23">
        <v>0.655</v>
      </c>
      <c r="L77" s="1">
        <v>11618.0</v>
      </c>
      <c r="M77" s="1">
        <v>29905.0</v>
      </c>
      <c r="N77" s="1">
        <v>85.0</v>
      </c>
      <c r="O77" s="23">
        <v>16.112</v>
      </c>
      <c r="P77" s="26">
        <f t="shared" si="6"/>
        <v>1</v>
      </c>
    </row>
    <row r="78">
      <c r="A78" s="1">
        <v>137.0</v>
      </c>
      <c r="B78" s="1">
        <v>19562.0</v>
      </c>
      <c r="C78" s="23">
        <v>17.331</v>
      </c>
      <c r="D78" s="23">
        <v>19.666</v>
      </c>
      <c r="E78" s="23">
        <v>3.171</v>
      </c>
      <c r="F78" s="61">
        <v>1086.6</v>
      </c>
      <c r="G78" s="23">
        <v>0.712</v>
      </c>
      <c r="H78" s="23">
        <v>0.383</v>
      </c>
      <c r="I78" s="1">
        <v>432.6</v>
      </c>
      <c r="J78" s="1">
        <v>867.5</v>
      </c>
      <c r="K78" s="23">
        <v>0.675</v>
      </c>
      <c r="L78" s="1">
        <v>11618.0</v>
      </c>
      <c r="M78" s="1">
        <v>29905.0</v>
      </c>
      <c r="N78" s="1">
        <v>50.0</v>
      </c>
      <c r="O78" s="23">
        <v>16.112</v>
      </c>
      <c r="P78" s="26">
        <f t="shared" si="6"/>
        <v>0.383</v>
      </c>
    </row>
    <row r="79">
      <c r="A79" s="1">
        <v>139.0</v>
      </c>
      <c r="B79" s="1">
        <v>19562.0</v>
      </c>
      <c r="C79" s="23">
        <v>16.702</v>
      </c>
      <c r="D79" s="23">
        <v>19.712</v>
      </c>
      <c r="E79" s="23">
        <v>3.171</v>
      </c>
      <c r="F79" s="61">
        <v>1086.6</v>
      </c>
      <c r="G79" s="23">
        <v>0.714</v>
      </c>
      <c r="H79" s="23">
        <v>0.383</v>
      </c>
      <c r="I79" s="1">
        <v>432.6</v>
      </c>
      <c r="J79" s="1">
        <v>874.9</v>
      </c>
      <c r="K79" s="23">
        <v>0.675</v>
      </c>
      <c r="L79" s="1">
        <v>9614.0</v>
      </c>
      <c r="M79" s="1">
        <v>29905.0</v>
      </c>
      <c r="N79" s="1">
        <v>20.0</v>
      </c>
      <c r="O79" s="23">
        <v>16.283</v>
      </c>
      <c r="P79" s="26">
        <f t="shared" si="6"/>
        <v>0.383</v>
      </c>
    </row>
    <row r="80">
      <c r="A80" s="1">
        <v>142.0</v>
      </c>
      <c r="B80" s="1">
        <v>19562.0</v>
      </c>
      <c r="C80" s="23">
        <v>17.331</v>
      </c>
      <c r="D80" s="23">
        <v>18.427</v>
      </c>
      <c r="E80" s="23">
        <v>3.208</v>
      </c>
      <c r="F80" s="27">
        <v>1086.6</v>
      </c>
      <c r="G80" s="23">
        <v>0.714</v>
      </c>
      <c r="H80" s="23">
        <v>0.383</v>
      </c>
      <c r="I80" s="1">
        <v>432.6</v>
      </c>
      <c r="J80" s="1">
        <v>874.9</v>
      </c>
      <c r="K80" s="23">
        <v>0.695</v>
      </c>
      <c r="L80" s="1">
        <v>9614.0</v>
      </c>
      <c r="M80" s="1">
        <v>29905.0</v>
      </c>
      <c r="N80" s="1">
        <v>100.0</v>
      </c>
      <c r="O80" s="23">
        <v>16.283</v>
      </c>
      <c r="P80" s="26">
        <f t="shared" si="6"/>
        <v>0.383</v>
      </c>
    </row>
    <row r="81">
      <c r="A81" s="1">
        <v>144.0</v>
      </c>
      <c r="B81" s="1">
        <v>21381.0</v>
      </c>
      <c r="C81" s="23">
        <v>18.732</v>
      </c>
      <c r="D81" s="23">
        <v>19.798</v>
      </c>
      <c r="E81" s="23">
        <v>3.298</v>
      </c>
      <c r="F81" s="27">
        <v>1086.6</v>
      </c>
      <c r="G81" s="23">
        <v>0.714</v>
      </c>
      <c r="H81" s="23">
        <v>0.383</v>
      </c>
      <c r="I81" s="1">
        <v>432.6</v>
      </c>
      <c r="J81" s="1">
        <v>874.9</v>
      </c>
      <c r="K81" s="23">
        <v>0.715</v>
      </c>
      <c r="L81" s="1">
        <v>9614.0</v>
      </c>
      <c r="M81" s="1">
        <v>32687.0</v>
      </c>
      <c r="N81" s="1">
        <v>79.0</v>
      </c>
      <c r="O81" s="23">
        <v>16.283</v>
      </c>
      <c r="P81" s="26">
        <f t="shared" si="6"/>
        <v>0.383</v>
      </c>
    </row>
    <row r="82">
      <c r="A82" s="1">
        <v>146.0</v>
      </c>
      <c r="B82" s="1">
        <v>24111.0</v>
      </c>
      <c r="C82" s="23">
        <v>16.638</v>
      </c>
      <c r="D82" s="23">
        <v>20.538</v>
      </c>
      <c r="E82" s="23">
        <v>3.418</v>
      </c>
      <c r="F82" s="61">
        <v>1086.6</v>
      </c>
      <c r="G82" s="23">
        <v>0.714</v>
      </c>
      <c r="H82" s="23">
        <v>0.383</v>
      </c>
      <c r="I82" s="1">
        <v>432.6</v>
      </c>
      <c r="J82" s="1">
        <v>874.9</v>
      </c>
      <c r="K82" s="23">
        <v>0.715</v>
      </c>
      <c r="L82" s="1">
        <v>9614.0</v>
      </c>
      <c r="M82" s="1">
        <v>36859.0</v>
      </c>
      <c r="N82" s="1">
        <v>44.0</v>
      </c>
      <c r="O82" s="23">
        <v>16.248</v>
      </c>
      <c r="P82" s="26">
        <f t="shared" si="6"/>
        <v>0.383</v>
      </c>
    </row>
    <row r="83">
      <c r="A83" s="1">
        <v>148.0</v>
      </c>
      <c r="B83" s="1">
        <v>24111.0</v>
      </c>
      <c r="C83" s="23">
        <v>16.311</v>
      </c>
      <c r="D83" s="23">
        <v>22.356</v>
      </c>
      <c r="E83" s="23">
        <v>3.418</v>
      </c>
      <c r="F83" s="27">
        <v>1086.6</v>
      </c>
      <c r="G83" s="23">
        <v>0.69</v>
      </c>
      <c r="H83" s="23">
        <v>0.383</v>
      </c>
      <c r="I83" s="1">
        <v>432.6</v>
      </c>
      <c r="J83" s="1">
        <v>792.9</v>
      </c>
      <c r="K83" s="23">
        <v>0.735</v>
      </c>
      <c r="L83" s="1">
        <v>9614.0</v>
      </c>
      <c r="M83" s="1">
        <v>36859.0</v>
      </c>
      <c r="N83" s="1">
        <v>71.0</v>
      </c>
      <c r="O83" s="23">
        <v>16.248</v>
      </c>
      <c r="P83" s="26">
        <f t="shared" si="6"/>
        <v>0.383</v>
      </c>
    </row>
    <row r="84">
      <c r="A84" s="1">
        <v>150.0</v>
      </c>
      <c r="B84" s="1">
        <v>24111.0</v>
      </c>
      <c r="C84" s="23">
        <v>16.977</v>
      </c>
      <c r="D84" s="23">
        <v>22.171</v>
      </c>
      <c r="E84" s="23">
        <v>3.455</v>
      </c>
      <c r="F84" s="27">
        <v>1076.6</v>
      </c>
      <c r="G84" s="23">
        <v>0.69</v>
      </c>
      <c r="H84" s="23">
        <v>0.375</v>
      </c>
      <c r="I84" s="1">
        <v>432.6</v>
      </c>
      <c r="J84" s="1">
        <v>792.9</v>
      </c>
      <c r="K84" s="23">
        <v>0.755</v>
      </c>
      <c r="L84" s="1">
        <v>9614.0</v>
      </c>
      <c r="M84" s="1">
        <v>36859.0</v>
      </c>
      <c r="N84" s="1">
        <v>1.0</v>
      </c>
      <c r="O84" s="23">
        <v>16.308</v>
      </c>
      <c r="P84" s="26">
        <f t="shared" si="6"/>
        <v>0.375</v>
      </c>
    </row>
    <row r="85">
      <c r="A85" s="1">
        <v>152.0</v>
      </c>
      <c r="B85" s="1">
        <v>24111.0</v>
      </c>
      <c r="C85" s="23">
        <v>16.466</v>
      </c>
      <c r="D85" s="23">
        <v>22.306</v>
      </c>
      <c r="E85" s="23">
        <v>3.455</v>
      </c>
      <c r="F85" s="27">
        <v>1076.6</v>
      </c>
      <c r="G85" s="23">
        <v>0.69</v>
      </c>
      <c r="H85" s="23">
        <v>0.393</v>
      </c>
      <c r="I85" s="1">
        <v>432.6</v>
      </c>
      <c r="J85" s="1">
        <v>792.9</v>
      </c>
      <c r="K85" s="23">
        <v>0.755</v>
      </c>
      <c r="L85" s="1">
        <v>9614.0</v>
      </c>
      <c r="M85" s="1">
        <v>36859.0</v>
      </c>
      <c r="N85" s="1">
        <v>73.0</v>
      </c>
      <c r="O85" s="23">
        <v>16.308</v>
      </c>
      <c r="P85" s="26">
        <f t="shared" si="6"/>
        <v>0.393</v>
      </c>
    </row>
    <row r="86">
      <c r="A86" s="1">
        <v>154.0</v>
      </c>
      <c r="B86" s="1">
        <v>24111.0</v>
      </c>
      <c r="C86" s="23">
        <v>16.999</v>
      </c>
      <c r="D86" s="23">
        <v>22.306</v>
      </c>
      <c r="E86" s="23">
        <v>3.492</v>
      </c>
      <c r="F86" s="27">
        <v>1086.6</v>
      </c>
      <c r="G86" s="23">
        <v>0.693</v>
      </c>
      <c r="H86" s="23">
        <v>0.393</v>
      </c>
      <c r="I86" s="1">
        <v>432.6</v>
      </c>
      <c r="J86" s="1">
        <v>805.4</v>
      </c>
      <c r="K86" s="23">
        <v>0.775</v>
      </c>
      <c r="L86" s="1">
        <v>9614.0</v>
      </c>
      <c r="M86" s="1">
        <v>36859.0</v>
      </c>
      <c r="N86" s="1">
        <v>1.0</v>
      </c>
      <c r="O86" s="23">
        <v>16.375</v>
      </c>
      <c r="P86" s="26">
        <f t="shared" si="6"/>
        <v>0.393</v>
      </c>
    </row>
    <row r="87">
      <c r="A87" s="1">
        <v>156.0</v>
      </c>
      <c r="B87" s="1">
        <v>24111.0</v>
      </c>
      <c r="C87" s="23">
        <v>16.999</v>
      </c>
      <c r="D87" s="23">
        <v>22.306</v>
      </c>
      <c r="E87" s="23">
        <v>3.492</v>
      </c>
      <c r="F87" s="27">
        <v>1086.6</v>
      </c>
      <c r="G87" s="23">
        <v>0.693</v>
      </c>
      <c r="H87" s="23">
        <v>0.393</v>
      </c>
      <c r="I87" s="1">
        <v>432.6</v>
      </c>
      <c r="J87" s="1">
        <v>805.4</v>
      </c>
      <c r="K87" s="23">
        <v>0.795</v>
      </c>
      <c r="L87" s="1">
        <v>9614.0</v>
      </c>
      <c r="M87" s="1">
        <v>36859.0</v>
      </c>
      <c r="N87" s="1">
        <v>64.0</v>
      </c>
      <c r="O87" s="23">
        <v>16.375</v>
      </c>
      <c r="P87" s="26">
        <f t="shared" si="6"/>
        <v>0.393</v>
      </c>
    </row>
    <row r="88">
      <c r="A88" s="1">
        <v>158.0</v>
      </c>
      <c r="B88" s="1">
        <v>22291.0</v>
      </c>
      <c r="C88" s="23">
        <v>16.577</v>
      </c>
      <c r="D88" s="23">
        <v>21.77</v>
      </c>
      <c r="E88" s="23">
        <v>3.492</v>
      </c>
      <c r="F88" s="27">
        <v>1086.6</v>
      </c>
      <c r="G88" s="23">
        <v>0.693</v>
      </c>
      <c r="H88" s="23">
        <v>0.393</v>
      </c>
      <c r="I88" s="1">
        <v>432.6</v>
      </c>
      <c r="J88" s="1">
        <v>805.4</v>
      </c>
      <c r="K88" s="23">
        <v>0.795</v>
      </c>
      <c r="L88" s="1">
        <v>9614.0</v>
      </c>
      <c r="M88" s="1">
        <v>34078.0</v>
      </c>
      <c r="N88" s="1">
        <v>20.0</v>
      </c>
      <c r="O88" s="23">
        <v>16.375</v>
      </c>
      <c r="P88" s="26">
        <f t="shared" si="6"/>
        <v>0.393</v>
      </c>
    </row>
    <row r="89">
      <c r="A89" s="1">
        <v>160.0</v>
      </c>
      <c r="B89" s="1">
        <v>23201.0</v>
      </c>
      <c r="C89" s="23">
        <v>15.29</v>
      </c>
      <c r="D89" s="23">
        <v>20.434</v>
      </c>
      <c r="E89" s="23">
        <v>3.452</v>
      </c>
      <c r="F89" s="61">
        <v>1071.6</v>
      </c>
      <c r="G89" s="23">
        <v>0.684</v>
      </c>
      <c r="H89" s="23">
        <v>0.393</v>
      </c>
      <c r="I89" s="1">
        <v>432.6</v>
      </c>
      <c r="J89" s="1">
        <v>773.1</v>
      </c>
      <c r="K89" s="23">
        <v>0.375</v>
      </c>
      <c r="L89" s="1">
        <v>9614.0</v>
      </c>
      <c r="M89" s="1">
        <v>35468.0</v>
      </c>
      <c r="N89" s="1">
        <v>86.0</v>
      </c>
      <c r="O89" s="23">
        <v>16.244</v>
      </c>
      <c r="P89" s="26">
        <f t="shared" si="6"/>
        <v>0.393</v>
      </c>
    </row>
    <row r="90">
      <c r="A90" s="1">
        <v>162.0</v>
      </c>
      <c r="B90" s="1">
        <v>19562.0</v>
      </c>
      <c r="C90" s="23">
        <v>15.051</v>
      </c>
      <c r="D90" s="23">
        <v>18.452</v>
      </c>
      <c r="E90" s="23">
        <v>3.319</v>
      </c>
      <c r="F90" s="61">
        <v>1071.6</v>
      </c>
      <c r="G90" s="23">
        <v>0.684</v>
      </c>
      <c r="H90" s="23">
        <v>0.393</v>
      </c>
      <c r="I90" s="1">
        <v>432.6</v>
      </c>
      <c r="J90" s="1">
        <v>773.1</v>
      </c>
      <c r="K90" s="23">
        <v>0.375</v>
      </c>
      <c r="L90" s="1">
        <v>9614.0</v>
      </c>
      <c r="M90" s="1">
        <v>29905.0</v>
      </c>
      <c r="N90" s="1">
        <v>51.0</v>
      </c>
      <c r="O90" s="23">
        <v>16.244</v>
      </c>
      <c r="P90" s="26">
        <f t="shared" si="6"/>
        <v>0.393</v>
      </c>
    </row>
    <row r="91">
      <c r="A91" s="1">
        <v>164.0</v>
      </c>
      <c r="B91" s="1">
        <v>19562.0</v>
      </c>
      <c r="C91" s="26">
        <v>15.029</v>
      </c>
      <c r="D91" s="23">
        <v>17.704</v>
      </c>
      <c r="E91" s="23">
        <v>2.899</v>
      </c>
      <c r="F91" s="27">
        <v>1071.6</v>
      </c>
      <c r="G91" s="23">
        <v>0.708</v>
      </c>
      <c r="H91" s="23">
        <v>0.393</v>
      </c>
      <c r="I91" s="1">
        <v>432.6</v>
      </c>
      <c r="J91" s="1">
        <v>855.1</v>
      </c>
      <c r="K91" s="23">
        <v>0.375</v>
      </c>
      <c r="L91" s="1">
        <v>9614.0</v>
      </c>
      <c r="M91" s="1">
        <v>29905.0</v>
      </c>
      <c r="N91" s="1">
        <v>24.0</v>
      </c>
      <c r="O91" s="23">
        <v>16.079</v>
      </c>
      <c r="P91" s="26">
        <f t="shared" si="6"/>
        <v>0.393</v>
      </c>
    </row>
    <row r="92">
      <c r="A92" s="1">
        <v>166.0</v>
      </c>
      <c r="B92" s="1">
        <v>19336.0</v>
      </c>
      <c r="C92" s="23">
        <v>15.018</v>
      </c>
      <c r="D92" s="23">
        <v>17.709</v>
      </c>
      <c r="E92" s="23">
        <v>3.439</v>
      </c>
      <c r="F92" s="27">
        <v>1061.6</v>
      </c>
      <c r="G92" s="23">
        <v>0.714</v>
      </c>
      <c r="H92" s="23">
        <v>0.393</v>
      </c>
      <c r="I92" s="1">
        <v>432.6</v>
      </c>
      <c r="J92" s="1">
        <v>874.9</v>
      </c>
      <c r="K92" s="23">
        <v>0.375</v>
      </c>
      <c r="L92" s="1">
        <v>9614.0</v>
      </c>
      <c r="M92" s="1">
        <v>29905.0</v>
      </c>
      <c r="N92" s="1">
        <v>100.0</v>
      </c>
      <c r="O92" s="23">
        <v>15.929</v>
      </c>
      <c r="P92" s="26">
        <f t="shared" si="6"/>
        <v>0.393</v>
      </c>
    </row>
    <row r="93">
      <c r="A93" s="1">
        <v>168.0</v>
      </c>
      <c r="B93" s="1">
        <v>19336.0</v>
      </c>
      <c r="C93" s="23">
        <v>14.962</v>
      </c>
      <c r="D93" s="23">
        <v>17.709</v>
      </c>
      <c r="E93" s="23">
        <v>3.439</v>
      </c>
      <c r="F93" s="27">
        <v>1061.6</v>
      </c>
      <c r="G93" s="23">
        <v>0.714</v>
      </c>
      <c r="H93" s="23">
        <v>0.393</v>
      </c>
      <c r="I93" s="1">
        <v>432.6</v>
      </c>
      <c r="J93" s="1">
        <v>874.9</v>
      </c>
      <c r="K93" s="23">
        <v>0.375</v>
      </c>
      <c r="L93" s="1">
        <v>9614.0</v>
      </c>
      <c r="M93" s="1">
        <v>29905.0</v>
      </c>
      <c r="N93" s="1">
        <v>74.0</v>
      </c>
      <c r="O93" s="23">
        <v>15.929</v>
      </c>
      <c r="P93" s="26">
        <f t="shared" si="6"/>
        <v>0.393</v>
      </c>
    </row>
    <row r="94">
      <c r="A94" s="1">
        <v>170.0</v>
      </c>
      <c r="B94" s="1">
        <v>19562.0</v>
      </c>
      <c r="C94" s="23">
        <v>14.656</v>
      </c>
      <c r="D94" s="23">
        <v>17.731</v>
      </c>
      <c r="E94" s="23">
        <v>3.476</v>
      </c>
      <c r="F94" s="27">
        <v>1076.6</v>
      </c>
      <c r="G94" s="23">
        <v>0.714</v>
      </c>
      <c r="H94" s="23">
        <v>0.393</v>
      </c>
      <c r="I94" s="1">
        <v>432.6</v>
      </c>
      <c r="J94" s="1">
        <v>874.9</v>
      </c>
      <c r="K94" s="23">
        <v>0.375</v>
      </c>
      <c r="L94" s="1">
        <v>10388.0</v>
      </c>
      <c r="M94" s="1">
        <v>29905.0</v>
      </c>
      <c r="N94" s="1">
        <v>43.0</v>
      </c>
      <c r="O94" s="23">
        <v>15.905</v>
      </c>
      <c r="P94" s="26">
        <f t="shared" si="6"/>
        <v>0.393</v>
      </c>
    </row>
    <row r="95">
      <c r="A95" s="1">
        <v>172.0</v>
      </c>
      <c r="B95" s="1">
        <v>19562.0</v>
      </c>
      <c r="C95" s="23">
        <v>14.668</v>
      </c>
      <c r="D95" s="23">
        <v>17.731</v>
      </c>
      <c r="E95" s="23">
        <v>3.476</v>
      </c>
      <c r="F95" s="61">
        <v>1076.6</v>
      </c>
      <c r="G95" s="23">
        <v>0.708</v>
      </c>
      <c r="H95" s="23">
        <v>0.393</v>
      </c>
      <c r="I95" s="1">
        <v>432.6</v>
      </c>
      <c r="J95" s="1">
        <v>855.0</v>
      </c>
      <c r="K95" s="23">
        <v>0.375</v>
      </c>
      <c r="L95" s="1">
        <v>12392.0</v>
      </c>
      <c r="M95" s="1">
        <v>29905.0</v>
      </c>
      <c r="N95" s="1">
        <v>28.0</v>
      </c>
      <c r="O95" s="23">
        <v>15.905</v>
      </c>
      <c r="P95" s="26">
        <f t="shared" si="6"/>
        <v>0.393</v>
      </c>
    </row>
    <row r="96">
      <c r="A96" s="1">
        <v>174.0</v>
      </c>
      <c r="B96" s="1">
        <v>19562.0</v>
      </c>
      <c r="C96" s="23">
        <v>14.645</v>
      </c>
      <c r="D96" s="23">
        <v>17.064</v>
      </c>
      <c r="E96" s="23">
        <v>3.476</v>
      </c>
      <c r="F96" s="61">
        <v>1076.6</v>
      </c>
      <c r="G96" s="23">
        <v>0.708</v>
      </c>
      <c r="H96" s="23">
        <v>0.383</v>
      </c>
      <c r="I96" s="1">
        <v>432.6</v>
      </c>
      <c r="J96" s="1">
        <v>855.0</v>
      </c>
      <c r="K96" s="23">
        <v>0.375</v>
      </c>
      <c r="L96" s="1">
        <v>12392.0</v>
      </c>
      <c r="M96" s="1">
        <v>29905.0</v>
      </c>
      <c r="N96" s="1">
        <v>93.0</v>
      </c>
      <c r="O96" s="23">
        <v>15.898</v>
      </c>
      <c r="P96" s="26">
        <f t="shared" si="6"/>
        <v>0.383</v>
      </c>
    </row>
    <row r="97">
      <c r="A97" s="1">
        <v>176.0</v>
      </c>
      <c r="B97" s="1">
        <v>18897.0</v>
      </c>
      <c r="C97" s="23">
        <v>14.645</v>
      </c>
      <c r="D97" s="23">
        <v>17.037</v>
      </c>
      <c r="E97" s="23">
        <v>3.056</v>
      </c>
      <c r="F97" s="27">
        <v>1086.6</v>
      </c>
      <c r="G97" s="23">
        <v>0.712</v>
      </c>
      <c r="H97" s="23">
        <v>0.383</v>
      </c>
      <c r="I97" s="1">
        <v>432.6</v>
      </c>
      <c r="J97" s="1">
        <v>867.5</v>
      </c>
      <c r="K97" s="23">
        <v>0.375</v>
      </c>
      <c r="L97" s="1">
        <v>12392.0</v>
      </c>
      <c r="M97" s="1">
        <v>29905.0</v>
      </c>
      <c r="N97" s="1">
        <v>69.0</v>
      </c>
      <c r="O97" s="23">
        <v>16.048</v>
      </c>
      <c r="P97" s="26">
        <f t="shared" si="6"/>
        <v>0.383</v>
      </c>
    </row>
    <row r="98">
      <c r="A98" s="1">
        <v>178.0</v>
      </c>
      <c r="B98" s="1">
        <v>19562.0</v>
      </c>
      <c r="C98" s="26">
        <v>14.645</v>
      </c>
      <c r="D98" s="23">
        <v>17.025</v>
      </c>
      <c r="E98" s="23">
        <v>3.056</v>
      </c>
      <c r="F98" s="27">
        <v>1086.6</v>
      </c>
      <c r="G98" s="23">
        <v>0.712</v>
      </c>
      <c r="H98" s="23">
        <v>0.383</v>
      </c>
      <c r="I98" s="1">
        <v>432.6</v>
      </c>
      <c r="J98" s="1">
        <v>867.5</v>
      </c>
      <c r="K98" s="23">
        <v>0.375</v>
      </c>
      <c r="L98" s="1">
        <v>12392.0</v>
      </c>
      <c r="M98" s="1">
        <v>29905.0</v>
      </c>
      <c r="N98" s="1">
        <v>48.0</v>
      </c>
      <c r="O98" s="26">
        <v>16.0</v>
      </c>
      <c r="P98" s="26">
        <f t="shared" si="6"/>
        <v>0.383</v>
      </c>
    </row>
    <row r="99">
      <c r="A99" s="1">
        <v>180.0</v>
      </c>
      <c r="B99" s="1">
        <v>19562.0</v>
      </c>
      <c r="C99" s="23">
        <v>15.755</v>
      </c>
      <c r="D99" s="23">
        <v>18.273</v>
      </c>
      <c r="E99" s="23">
        <v>2.973</v>
      </c>
      <c r="F99" s="27">
        <v>1086.6</v>
      </c>
      <c r="G99" s="23">
        <v>0.712</v>
      </c>
      <c r="H99" s="23">
        <v>0.383</v>
      </c>
      <c r="I99" s="1">
        <v>432.6</v>
      </c>
      <c r="J99" s="1">
        <v>867.5</v>
      </c>
      <c r="K99" s="23">
        <v>0.375</v>
      </c>
      <c r="L99" s="1">
        <v>12392.0</v>
      </c>
      <c r="M99" s="1">
        <v>29905.0</v>
      </c>
      <c r="N99" s="1">
        <v>28.0</v>
      </c>
      <c r="O99" s="26">
        <v>16.0</v>
      </c>
      <c r="P99" s="26">
        <f t="shared" si="6"/>
        <v>0.383</v>
      </c>
    </row>
    <row r="100">
      <c r="A100" s="1">
        <v>182.0</v>
      </c>
      <c r="B100" s="1">
        <v>21381.0</v>
      </c>
      <c r="C100" s="23">
        <v>15.922</v>
      </c>
      <c r="D100" s="23">
        <v>18.466</v>
      </c>
      <c r="E100" s="23">
        <v>3.063</v>
      </c>
      <c r="F100" s="27">
        <v>1071.6</v>
      </c>
      <c r="G100" s="23">
        <v>0.687</v>
      </c>
      <c r="H100" s="23">
        <v>0.393</v>
      </c>
      <c r="I100" s="1">
        <v>432.6</v>
      </c>
      <c r="J100" s="1">
        <v>785.5</v>
      </c>
      <c r="K100" s="23">
        <v>0.375</v>
      </c>
      <c r="L100" s="1">
        <v>12392.0</v>
      </c>
      <c r="M100" s="1">
        <v>32687.0</v>
      </c>
      <c r="N100" s="1">
        <v>1.0</v>
      </c>
      <c r="O100" s="26">
        <v>16.0</v>
      </c>
      <c r="P100" s="26">
        <f t="shared" si="6"/>
        <v>0.393</v>
      </c>
    </row>
    <row r="101">
      <c r="A101" s="1">
        <v>184.0</v>
      </c>
      <c r="B101" s="1">
        <v>21381.0</v>
      </c>
      <c r="C101" s="23">
        <v>15.922</v>
      </c>
      <c r="D101" s="23">
        <v>18.513</v>
      </c>
      <c r="E101" s="23">
        <v>3.666</v>
      </c>
      <c r="F101" s="61">
        <v>1071.6</v>
      </c>
      <c r="G101" s="23">
        <v>0.687</v>
      </c>
      <c r="H101" s="23">
        <v>0.385</v>
      </c>
      <c r="I101" s="1">
        <v>432.6</v>
      </c>
      <c r="J101" s="1">
        <v>785.5</v>
      </c>
      <c r="K101" s="23">
        <v>0.375</v>
      </c>
      <c r="L101" s="1">
        <v>12392.0</v>
      </c>
      <c r="M101" s="1">
        <v>32687.0</v>
      </c>
      <c r="N101" s="1">
        <v>57.0</v>
      </c>
      <c r="O101" s="23">
        <v>16.108</v>
      </c>
      <c r="P101" s="26">
        <f t="shared" si="6"/>
        <v>0.385</v>
      </c>
    </row>
    <row r="102">
      <c r="A102" s="1">
        <v>186.0</v>
      </c>
      <c r="B102" s="1">
        <v>21381.0</v>
      </c>
      <c r="C102" s="23">
        <v>15.938</v>
      </c>
      <c r="D102" s="23">
        <v>18.517</v>
      </c>
      <c r="E102" s="23">
        <v>3.775</v>
      </c>
      <c r="F102" s="61">
        <v>1086.6</v>
      </c>
      <c r="G102" s="23">
        <v>0.684</v>
      </c>
      <c r="H102" s="23">
        <v>0.385</v>
      </c>
      <c r="I102" s="1">
        <v>432.6</v>
      </c>
      <c r="J102" s="1">
        <v>773.0</v>
      </c>
      <c r="K102" s="23">
        <v>0.375</v>
      </c>
      <c r="L102" s="1">
        <v>12392.0</v>
      </c>
      <c r="M102" s="1">
        <v>32687.0</v>
      </c>
      <c r="N102" s="1">
        <v>25.0</v>
      </c>
      <c r="O102" s="23">
        <v>16.108</v>
      </c>
      <c r="P102" s="26">
        <f t="shared" si="6"/>
        <v>0.385</v>
      </c>
    </row>
    <row r="103">
      <c r="A103" s="1">
        <v>188.0</v>
      </c>
      <c r="B103" s="1">
        <v>21381.0</v>
      </c>
      <c r="C103" s="23">
        <v>15.406</v>
      </c>
      <c r="D103" s="23">
        <v>18.52</v>
      </c>
      <c r="E103" s="23">
        <v>4.047</v>
      </c>
      <c r="F103" s="61">
        <v>1086.6</v>
      </c>
      <c r="G103" s="23">
        <v>0.7</v>
      </c>
      <c r="H103" s="23">
        <v>0.385</v>
      </c>
      <c r="I103" s="1">
        <v>432.6</v>
      </c>
      <c r="J103" s="1">
        <v>827.4</v>
      </c>
      <c r="K103" s="23">
        <v>0.375</v>
      </c>
      <c r="L103" s="1">
        <v>12392.0</v>
      </c>
      <c r="M103" s="1">
        <v>32687.0</v>
      </c>
      <c r="N103" s="1">
        <v>100.0</v>
      </c>
      <c r="O103" s="23">
        <v>16.088</v>
      </c>
      <c r="P103" s="26">
        <f t="shared" si="6"/>
        <v>0.385</v>
      </c>
    </row>
    <row r="104">
      <c r="A104" s="1">
        <v>190.0</v>
      </c>
      <c r="B104" s="1">
        <v>21381.0</v>
      </c>
      <c r="C104" s="23">
        <v>14.74</v>
      </c>
      <c r="D104" s="23">
        <v>17.77</v>
      </c>
      <c r="E104" s="23">
        <v>4.047</v>
      </c>
      <c r="F104" s="27">
        <v>1076.6</v>
      </c>
      <c r="G104" s="23">
        <v>0.7</v>
      </c>
      <c r="H104" s="23">
        <v>0.385</v>
      </c>
      <c r="I104" s="1">
        <v>432.6</v>
      </c>
      <c r="J104" s="1">
        <v>827.4</v>
      </c>
      <c r="K104" s="23">
        <v>0.375</v>
      </c>
      <c r="L104" s="1">
        <v>12392.0</v>
      </c>
      <c r="M104" s="1">
        <v>32687.0</v>
      </c>
      <c r="N104" s="1">
        <v>50.0</v>
      </c>
      <c r="O104" s="23">
        <v>15.938</v>
      </c>
      <c r="P104" s="26">
        <f t="shared" si="6"/>
        <v>0.385</v>
      </c>
    </row>
    <row r="105">
      <c r="A105" s="1">
        <v>192.0</v>
      </c>
      <c r="B105" s="1">
        <v>21381.0</v>
      </c>
      <c r="C105" s="23">
        <v>15.073</v>
      </c>
      <c r="D105" s="23">
        <v>18.172</v>
      </c>
      <c r="E105" s="23">
        <v>4.505</v>
      </c>
      <c r="F105" s="27">
        <v>1076.6</v>
      </c>
      <c r="G105" s="23">
        <v>0.7</v>
      </c>
      <c r="H105" s="23">
        <v>1.386</v>
      </c>
      <c r="I105" s="1">
        <v>432.6</v>
      </c>
      <c r="J105" s="1">
        <v>827.4</v>
      </c>
      <c r="K105" s="23">
        <v>0.615</v>
      </c>
      <c r="L105" s="1">
        <v>12392.0</v>
      </c>
      <c r="M105" s="1">
        <v>32687.0</v>
      </c>
      <c r="N105" s="1">
        <v>15.0</v>
      </c>
      <c r="O105" s="23">
        <v>15.938</v>
      </c>
      <c r="P105" s="26">
        <f t="shared" si="6"/>
        <v>1</v>
      </c>
    </row>
    <row r="106">
      <c r="A106" s="1">
        <v>194.0</v>
      </c>
      <c r="B106" s="1">
        <v>21381.0</v>
      </c>
      <c r="C106" s="23">
        <v>15.417</v>
      </c>
      <c r="D106" s="23">
        <v>17.922</v>
      </c>
      <c r="E106" s="23">
        <v>4.505</v>
      </c>
      <c r="F106" s="27">
        <v>1076.6</v>
      </c>
      <c r="G106" s="23">
        <v>0.7</v>
      </c>
      <c r="H106" s="23">
        <v>1.393</v>
      </c>
      <c r="I106" s="1">
        <v>432.6</v>
      </c>
      <c r="J106" s="1">
        <v>827.4</v>
      </c>
      <c r="K106" s="23">
        <v>0.635</v>
      </c>
      <c r="L106" s="1">
        <v>12392.0</v>
      </c>
      <c r="M106" s="1">
        <v>32687.0</v>
      </c>
      <c r="N106" s="1">
        <v>80.0</v>
      </c>
      <c r="O106" s="23">
        <v>15.938</v>
      </c>
      <c r="P106" s="26">
        <f t="shared" si="6"/>
        <v>1</v>
      </c>
    </row>
    <row r="107">
      <c r="A107" s="1">
        <v>196.0</v>
      </c>
      <c r="B107" s="1">
        <v>19562.0</v>
      </c>
      <c r="C107" s="23">
        <v>17.369</v>
      </c>
      <c r="D107" s="23">
        <v>18.169</v>
      </c>
      <c r="E107" s="23">
        <v>4.447</v>
      </c>
      <c r="F107" s="27">
        <v>1076.6</v>
      </c>
      <c r="G107" s="23">
        <v>0.724</v>
      </c>
      <c r="H107" s="23">
        <v>1.393</v>
      </c>
      <c r="I107" s="1">
        <v>432.6</v>
      </c>
      <c r="J107" s="1">
        <v>909.4</v>
      </c>
      <c r="K107" s="23">
        <v>0.635</v>
      </c>
      <c r="L107" s="1">
        <v>12392.0</v>
      </c>
      <c r="M107" s="1">
        <v>29905.0</v>
      </c>
      <c r="N107" s="1">
        <v>61.0</v>
      </c>
      <c r="O107" s="23">
        <v>15.938</v>
      </c>
      <c r="P107" s="26">
        <f t="shared" si="6"/>
        <v>1</v>
      </c>
    </row>
    <row r="108">
      <c r="A108" s="1">
        <v>198.0</v>
      </c>
      <c r="B108" s="1">
        <v>19562.0</v>
      </c>
      <c r="C108" s="23">
        <v>17.435</v>
      </c>
      <c r="D108" s="23">
        <v>18.173</v>
      </c>
      <c r="E108" s="23">
        <v>4.488</v>
      </c>
      <c r="F108" s="27">
        <v>1061.6</v>
      </c>
      <c r="G108" s="23">
        <v>0.724</v>
      </c>
      <c r="H108" s="23">
        <v>0.393</v>
      </c>
      <c r="I108" s="1">
        <v>432.6</v>
      </c>
      <c r="J108" s="1">
        <v>909.4</v>
      </c>
      <c r="K108" s="23">
        <v>0.655</v>
      </c>
      <c r="L108" s="1">
        <v>12392.0</v>
      </c>
      <c r="M108" s="1">
        <v>29905.0</v>
      </c>
      <c r="N108" s="1">
        <v>45.0</v>
      </c>
      <c r="O108" s="23">
        <v>15.942</v>
      </c>
      <c r="P108" s="26">
        <f t="shared" si="6"/>
        <v>0.393</v>
      </c>
    </row>
    <row r="109">
      <c r="A109" s="1">
        <v>200.0</v>
      </c>
      <c r="B109" s="1">
        <v>19562.0</v>
      </c>
      <c r="C109" s="23">
        <v>17.461</v>
      </c>
      <c r="D109" s="23">
        <v>18.174</v>
      </c>
      <c r="E109" s="23">
        <v>4.488</v>
      </c>
      <c r="F109" s="61">
        <v>1061.6</v>
      </c>
      <c r="G109" s="23">
        <v>0.726</v>
      </c>
      <c r="H109" s="23">
        <v>0.383</v>
      </c>
      <c r="I109" s="1">
        <v>432.6</v>
      </c>
      <c r="J109" s="1">
        <v>921.9</v>
      </c>
      <c r="K109" s="23">
        <v>0.675</v>
      </c>
      <c r="L109" s="1">
        <v>12392.0</v>
      </c>
      <c r="M109" s="1">
        <v>29905.0</v>
      </c>
      <c r="N109" s="1">
        <v>16.0</v>
      </c>
      <c r="O109" s="23">
        <v>15.942</v>
      </c>
      <c r="P109" s="26">
        <f t="shared" si="6"/>
        <v>0.383</v>
      </c>
    </row>
    <row r="110">
      <c r="A110" s="1">
        <v>202.0</v>
      </c>
      <c r="B110" s="1">
        <v>19562.0</v>
      </c>
      <c r="C110" s="23">
        <v>17.474</v>
      </c>
      <c r="D110" s="23">
        <v>18.291</v>
      </c>
      <c r="E110" s="23">
        <v>4.03</v>
      </c>
      <c r="F110" s="27">
        <v>1061.6</v>
      </c>
      <c r="G110" s="23">
        <v>0.726</v>
      </c>
      <c r="H110" s="23">
        <v>0.383</v>
      </c>
      <c r="I110" s="1">
        <v>432.6</v>
      </c>
      <c r="J110" s="1">
        <v>921.9</v>
      </c>
      <c r="K110" s="23">
        <v>0.675</v>
      </c>
      <c r="L110" s="1">
        <v>12392.0</v>
      </c>
      <c r="M110" s="1">
        <v>29905.0</v>
      </c>
      <c r="N110" s="1">
        <v>99.0</v>
      </c>
      <c r="O110" s="23">
        <v>15.982</v>
      </c>
      <c r="P110" s="26">
        <f t="shared" si="6"/>
        <v>0.383</v>
      </c>
    </row>
    <row r="111">
      <c r="A111" s="1">
        <v>204.0</v>
      </c>
      <c r="B111" s="1">
        <v>19562.0</v>
      </c>
      <c r="C111" s="23">
        <v>17.304</v>
      </c>
      <c r="D111" s="23">
        <v>18.263</v>
      </c>
      <c r="E111" s="23">
        <v>3.297</v>
      </c>
      <c r="F111" s="27">
        <v>1086.6</v>
      </c>
      <c r="G111" s="23">
        <v>0.726</v>
      </c>
      <c r="H111" s="23">
        <v>1.383</v>
      </c>
      <c r="I111" s="1">
        <v>432.6</v>
      </c>
      <c r="J111" s="1">
        <v>921.9</v>
      </c>
      <c r="K111" s="23">
        <v>0.695</v>
      </c>
      <c r="L111" s="1">
        <v>12392.0</v>
      </c>
      <c r="M111" s="1">
        <v>29905.0</v>
      </c>
      <c r="N111" s="1">
        <v>59.0</v>
      </c>
      <c r="O111" s="23">
        <v>16.132</v>
      </c>
      <c r="P111" s="26">
        <f t="shared" si="6"/>
        <v>1</v>
      </c>
    </row>
    <row r="112">
      <c r="A112" s="1">
        <v>206.0</v>
      </c>
      <c r="B112" s="1">
        <v>19562.0</v>
      </c>
      <c r="C112" s="23">
        <v>14.673</v>
      </c>
      <c r="D112" s="23">
        <v>18.423</v>
      </c>
      <c r="E112" s="23">
        <v>3.717</v>
      </c>
      <c r="F112" s="61">
        <v>1086.6</v>
      </c>
      <c r="G112" s="23">
        <v>0.724</v>
      </c>
      <c r="H112" s="23">
        <v>1.386</v>
      </c>
      <c r="I112" s="1">
        <v>432.6</v>
      </c>
      <c r="J112" s="1">
        <v>909.4</v>
      </c>
      <c r="K112" s="23">
        <v>0.715</v>
      </c>
      <c r="L112" s="1">
        <v>12392.0</v>
      </c>
      <c r="M112" s="1">
        <v>29905.0</v>
      </c>
      <c r="N112" s="1">
        <v>27.0</v>
      </c>
      <c r="O112" s="23">
        <v>16.131</v>
      </c>
      <c r="P112" s="26">
        <f t="shared" si="6"/>
        <v>1</v>
      </c>
    </row>
    <row r="113">
      <c r="A113" s="1">
        <v>208.0</v>
      </c>
      <c r="B113" s="1">
        <v>19562.0</v>
      </c>
      <c r="C113" s="23">
        <v>14.695</v>
      </c>
      <c r="D113" s="23">
        <v>18.428</v>
      </c>
      <c r="E113" s="23">
        <v>3.837</v>
      </c>
      <c r="F113" s="61">
        <v>1086.6</v>
      </c>
      <c r="G113" s="23">
        <v>0.724</v>
      </c>
      <c r="H113" s="23">
        <v>0.385</v>
      </c>
      <c r="I113" s="1">
        <v>432.6</v>
      </c>
      <c r="J113" s="1">
        <v>909.4</v>
      </c>
      <c r="K113" s="23">
        <v>0.715</v>
      </c>
      <c r="L113" s="1">
        <v>12392.0</v>
      </c>
      <c r="M113" s="1">
        <v>29905.0</v>
      </c>
      <c r="N113" s="1">
        <v>90.0</v>
      </c>
      <c r="O113" s="23">
        <v>16.131</v>
      </c>
      <c r="P113" s="26">
        <f t="shared" si="6"/>
        <v>0.385</v>
      </c>
    </row>
    <row r="114">
      <c r="A114" s="1">
        <v>210.0</v>
      </c>
      <c r="B114" s="1">
        <v>19562.0</v>
      </c>
      <c r="C114" s="23">
        <v>14.14</v>
      </c>
      <c r="D114" s="23">
        <v>18.403</v>
      </c>
      <c r="E114" s="23">
        <v>3.837</v>
      </c>
      <c r="F114" s="61">
        <v>1086.6</v>
      </c>
      <c r="G114" s="23">
        <v>0.724</v>
      </c>
      <c r="H114" s="23">
        <v>0.393</v>
      </c>
      <c r="I114" s="1">
        <v>432.6</v>
      </c>
      <c r="J114" s="1">
        <v>909.4</v>
      </c>
      <c r="K114" s="23">
        <v>0.735</v>
      </c>
      <c r="L114" s="1">
        <v>12392.0</v>
      </c>
      <c r="M114" s="1">
        <v>29905.0</v>
      </c>
      <c r="N114" s="1">
        <v>66.0</v>
      </c>
      <c r="O114" s="23">
        <v>16.131</v>
      </c>
      <c r="P114" s="26">
        <f t="shared" si="6"/>
        <v>0.393</v>
      </c>
    </row>
    <row r="115">
      <c r="A115" s="1">
        <v>212.0</v>
      </c>
      <c r="B115" s="1">
        <v>19562.0</v>
      </c>
      <c r="C115" s="23">
        <v>13.807</v>
      </c>
      <c r="D115" s="23">
        <v>17.355</v>
      </c>
      <c r="E115" s="23">
        <v>3.837</v>
      </c>
      <c r="F115" s="27">
        <v>1086.6</v>
      </c>
      <c r="G115" s="23">
        <v>0.724</v>
      </c>
      <c r="H115" s="23">
        <v>0.393</v>
      </c>
      <c r="I115" s="1">
        <v>432.6</v>
      </c>
      <c r="J115" s="1">
        <v>909.4</v>
      </c>
      <c r="K115" s="23">
        <v>0.755</v>
      </c>
      <c r="L115" s="1">
        <v>12392.0</v>
      </c>
      <c r="M115" s="1">
        <v>29905.0</v>
      </c>
      <c r="N115" s="1">
        <v>39.0</v>
      </c>
      <c r="O115" s="23">
        <v>16.051</v>
      </c>
      <c r="P115" s="26">
        <f t="shared" si="6"/>
        <v>0.393</v>
      </c>
    </row>
    <row r="116">
      <c r="A116" s="1">
        <v>214.0</v>
      </c>
      <c r="B116" s="1">
        <v>19562.0</v>
      </c>
      <c r="C116" s="23">
        <v>14.14</v>
      </c>
      <c r="D116" s="23">
        <v>17.745</v>
      </c>
      <c r="E116" s="23">
        <v>3.837</v>
      </c>
      <c r="F116" s="27">
        <v>1086.6</v>
      </c>
      <c r="G116" s="23">
        <v>0.7</v>
      </c>
      <c r="H116" s="23">
        <v>0.393</v>
      </c>
      <c r="I116" s="1">
        <v>432.6</v>
      </c>
      <c r="J116" s="1">
        <v>827.4</v>
      </c>
      <c r="K116" s="23">
        <v>0.755</v>
      </c>
      <c r="L116" s="1">
        <v>12392.0</v>
      </c>
      <c r="M116" s="1">
        <v>29905.0</v>
      </c>
      <c r="N116" s="1">
        <v>9.0</v>
      </c>
      <c r="O116" s="23">
        <v>16.051</v>
      </c>
      <c r="P116" s="26">
        <f t="shared" si="6"/>
        <v>0.393</v>
      </c>
    </row>
    <row r="117">
      <c r="A117" s="1">
        <v>216.0</v>
      </c>
      <c r="B117" s="1">
        <v>21381.0</v>
      </c>
      <c r="C117" s="23">
        <v>15.417</v>
      </c>
      <c r="D117" s="23">
        <v>19.252</v>
      </c>
      <c r="E117" s="26">
        <v>3.927</v>
      </c>
      <c r="F117" s="61">
        <v>1086.6</v>
      </c>
      <c r="G117" s="23">
        <v>0.7</v>
      </c>
      <c r="H117" s="23">
        <v>0.393</v>
      </c>
      <c r="I117" s="1">
        <v>432.6</v>
      </c>
      <c r="J117" s="1">
        <v>827.4</v>
      </c>
      <c r="K117" s="23">
        <v>0.775</v>
      </c>
      <c r="L117" s="1">
        <v>12392.0</v>
      </c>
      <c r="M117" s="1">
        <v>32687.0</v>
      </c>
      <c r="N117" s="1">
        <v>93.0</v>
      </c>
      <c r="O117" s="23">
        <v>16.074</v>
      </c>
      <c r="P117" s="26">
        <f t="shared" si="6"/>
        <v>0.393</v>
      </c>
    </row>
    <row r="118">
      <c r="A118" s="1">
        <v>218.0</v>
      </c>
      <c r="B118" s="1">
        <v>22291.0</v>
      </c>
      <c r="C118" s="23">
        <v>15.372</v>
      </c>
      <c r="D118" s="23">
        <v>19.218</v>
      </c>
      <c r="E118" s="26">
        <v>4.007</v>
      </c>
      <c r="F118" s="61">
        <v>1086.6</v>
      </c>
      <c r="G118" s="23">
        <v>0.706</v>
      </c>
      <c r="H118" s="23">
        <v>0.383</v>
      </c>
      <c r="I118" s="1">
        <v>432.6</v>
      </c>
      <c r="J118" s="1">
        <v>847.3</v>
      </c>
      <c r="K118" s="23">
        <v>0.795</v>
      </c>
      <c r="L118" s="1">
        <v>10388.0</v>
      </c>
      <c r="M118" s="1">
        <v>34078.0</v>
      </c>
      <c r="N118" s="1">
        <v>12.0</v>
      </c>
      <c r="O118" s="23">
        <v>16.074</v>
      </c>
      <c r="P118" s="26">
        <f t="shared" si="6"/>
        <v>0.383</v>
      </c>
    </row>
    <row r="119">
      <c r="A119" s="1">
        <v>220.0</v>
      </c>
      <c r="B119" s="1">
        <v>24111.0</v>
      </c>
      <c r="C119" s="23">
        <v>15.916</v>
      </c>
      <c r="D119" s="23">
        <v>19.722</v>
      </c>
      <c r="E119" s="26">
        <v>3.967</v>
      </c>
      <c r="F119" s="61">
        <v>1086.6</v>
      </c>
      <c r="G119" s="23">
        <v>0.71</v>
      </c>
      <c r="H119" s="23">
        <v>0.383</v>
      </c>
      <c r="I119" s="1">
        <v>432.6</v>
      </c>
      <c r="J119" s="1">
        <v>859.8</v>
      </c>
      <c r="K119" s="23">
        <v>0.795</v>
      </c>
      <c r="L119" s="1">
        <v>10388.0</v>
      </c>
      <c r="M119" s="1">
        <v>36859.0</v>
      </c>
      <c r="N119" s="1">
        <v>41.0</v>
      </c>
      <c r="O119" s="23">
        <v>16.318</v>
      </c>
      <c r="P119" s="26">
        <f t="shared" si="6"/>
        <v>0.383</v>
      </c>
    </row>
    <row r="120">
      <c r="A120" s="1">
        <v>222.0</v>
      </c>
      <c r="B120" s="1">
        <v>23292.0</v>
      </c>
      <c r="C120" s="23">
        <v>15.506</v>
      </c>
      <c r="D120" s="26">
        <v>19.255</v>
      </c>
      <c r="E120" s="23">
        <v>3.927</v>
      </c>
      <c r="F120" s="27">
        <v>1071.6</v>
      </c>
      <c r="G120" s="23">
        <v>0.71</v>
      </c>
      <c r="H120" s="23">
        <v>0.383</v>
      </c>
      <c r="I120" s="1">
        <v>432.6</v>
      </c>
      <c r="J120" s="1">
        <v>859.8</v>
      </c>
      <c r="K120" s="23">
        <v>0.375</v>
      </c>
      <c r="L120" s="1">
        <v>10388.0</v>
      </c>
      <c r="M120" s="1">
        <v>36859.0</v>
      </c>
      <c r="N120" s="1">
        <v>95.0</v>
      </c>
      <c r="O120" s="23">
        <v>16.318</v>
      </c>
      <c r="P120" s="26">
        <f t="shared" si="6"/>
        <v>0.383</v>
      </c>
    </row>
    <row r="121">
      <c r="A121" s="1">
        <v>225.0</v>
      </c>
      <c r="B121" s="1">
        <v>24111.0</v>
      </c>
      <c r="C121" s="23">
        <v>15.872</v>
      </c>
      <c r="D121" s="26">
        <v>19.723</v>
      </c>
      <c r="E121" s="23">
        <v>3.927</v>
      </c>
      <c r="F121" s="61">
        <v>1071.6</v>
      </c>
      <c r="G121" s="23">
        <v>0.71</v>
      </c>
      <c r="H121" s="23">
        <v>0.383</v>
      </c>
      <c r="I121" s="1">
        <v>432.6</v>
      </c>
      <c r="J121" s="1">
        <v>859.8</v>
      </c>
      <c r="K121" s="23">
        <v>0.375</v>
      </c>
      <c r="L121" s="1">
        <v>10388.0</v>
      </c>
      <c r="M121" s="1">
        <v>36859.0</v>
      </c>
      <c r="N121" s="1">
        <v>41.0</v>
      </c>
      <c r="O121" s="23">
        <v>16.318</v>
      </c>
      <c r="P121" s="26">
        <f t="shared" si="6"/>
        <v>0.383</v>
      </c>
    </row>
    <row r="122">
      <c r="A122" s="1">
        <v>227.0</v>
      </c>
      <c r="B122" s="1">
        <v>24111.0</v>
      </c>
      <c r="C122" s="23">
        <v>15.861</v>
      </c>
      <c r="D122" s="26">
        <v>19.723</v>
      </c>
      <c r="E122" s="23">
        <v>3.927</v>
      </c>
      <c r="F122" s="27">
        <v>1071.6</v>
      </c>
      <c r="G122" s="23">
        <v>0.71</v>
      </c>
      <c r="H122" s="23">
        <v>0.383</v>
      </c>
      <c r="I122" s="1">
        <v>432.6</v>
      </c>
      <c r="J122" s="1">
        <v>859.8</v>
      </c>
      <c r="K122" s="23">
        <v>0.375</v>
      </c>
      <c r="L122" s="1">
        <v>10388.0</v>
      </c>
      <c r="M122" s="1">
        <v>36859.0</v>
      </c>
      <c r="N122" s="1">
        <v>1.0</v>
      </c>
      <c r="O122" s="23">
        <v>16.322</v>
      </c>
      <c r="P122" s="26">
        <f t="shared" si="6"/>
        <v>0.383</v>
      </c>
    </row>
    <row r="123">
      <c r="A123" s="1">
        <v>229.0</v>
      </c>
      <c r="B123" s="1">
        <v>24111.0</v>
      </c>
      <c r="C123" s="23">
        <v>16.371</v>
      </c>
      <c r="D123" s="23">
        <v>19.715</v>
      </c>
      <c r="E123" s="23">
        <v>3.677</v>
      </c>
      <c r="F123" s="27">
        <v>1071.6</v>
      </c>
      <c r="G123" s="23">
        <v>0.714</v>
      </c>
      <c r="H123" s="23">
        <v>0.393</v>
      </c>
      <c r="I123" s="1">
        <v>432.6</v>
      </c>
      <c r="J123" s="1">
        <v>874.9</v>
      </c>
      <c r="K123" s="23">
        <v>0.375</v>
      </c>
      <c r="L123" s="1">
        <v>10388.0</v>
      </c>
      <c r="M123" s="1">
        <v>36859.0</v>
      </c>
      <c r="N123" s="1">
        <v>66.0</v>
      </c>
      <c r="O123" s="23">
        <v>16.322</v>
      </c>
      <c r="P123" s="26">
        <f t="shared" si="6"/>
        <v>0.393</v>
      </c>
    </row>
    <row r="124">
      <c r="A124" s="1">
        <v>231.0</v>
      </c>
      <c r="B124" s="1">
        <v>24111.0</v>
      </c>
      <c r="C124" s="23">
        <v>16.349</v>
      </c>
      <c r="D124" s="23">
        <v>19.698</v>
      </c>
      <c r="E124" s="23">
        <v>3.677</v>
      </c>
      <c r="F124" s="27">
        <v>1071.6</v>
      </c>
      <c r="G124" s="23">
        <v>0.714</v>
      </c>
      <c r="H124" s="23">
        <v>0.393</v>
      </c>
      <c r="I124" s="1">
        <v>432.6</v>
      </c>
      <c r="J124" s="1">
        <v>874.9</v>
      </c>
      <c r="K124" s="23">
        <v>0.375</v>
      </c>
      <c r="L124" s="1">
        <v>10388.0</v>
      </c>
      <c r="M124" s="1">
        <v>36859.0</v>
      </c>
      <c r="N124" s="1">
        <v>19.0</v>
      </c>
      <c r="O124" s="23">
        <v>16.253</v>
      </c>
      <c r="P124" s="26">
        <f t="shared" si="6"/>
        <v>0.393</v>
      </c>
    </row>
    <row r="125">
      <c r="A125" s="1">
        <v>233.0</v>
      </c>
      <c r="B125" s="1">
        <v>23201.0</v>
      </c>
      <c r="C125" s="23">
        <v>15.006</v>
      </c>
      <c r="D125" s="23">
        <v>18.439</v>
      </c>
      <c r="E125" s="23">
        <v>3.717</v>
      </c>
      <c r="F125" s="61">
        <v>1061.6</v>
      </c>
      <c r="G125" s="23">
        <v>0.714</v>
      </c>
      <c r="H125" s="23">
        <v>0.385</v>
      </c>
      <c r="I125" s="1">
        <v>432.6</v>
      </c>
      <c r="J125" s="1">
        <v>874.9</v>
      </c>
      <c r="K125" s="23">
        <v>0.375</v>
      </c>
      <c r="L125" s="1">
        <v>10388.0</v>
      </c>
      <c r="M125" s="1">
        <v>35468.0</v>
      </c>
      <c r="N125" s="1">
        <v>79.0</v>
      </c>
      <c r="O125" s="23">
        <v>16.103</v>
      </c>
      <c r="P125" s="26">
        <f t="shared" si="6"/>
        <v>0.385</v>
      </c>
    </row>
    <row r="126">
      <c r="A126" s="1">
        <v>235.0</v>
      </c>
      <c r="B126" s="1">
        <v>21381.0</v>
      </c>
      <c r="C126" s="23">
        <v>13.94</v>
      </c>
      <c r="D126" s="23">
        <v>17.15</v>
      </c>
      <c r="E126" s="23">
        <v>3.557</v>
      </c>
      <c r="F126" s="61">
        <v>1061.6</v>
      </c>
      <c r="G126" s="23">
        <v>0.714</v>
      </c>
      <c r="H126" s="23">
        <v>0.385</v>
      </c>
      <c r="I126" s="1">
        <v>432.6</v>
      </c>
      <c r="J126" s="1">
        <v>874.9</v>
      </c>
      <c r="K126" s="23">
        <v>0.375</v>
      </c>
      <c r="L126" s="1">
        <v>10388.0</v>
      </c>
      <c r="M126" s="1">
        <v>32687.0</v>
      </c>
      <c r="N126" s="1">
        <v>66.0</v>
      </c>
      <c r="O126" s="23">
        <v>15.884</v>
      </c>
      <c r="P126" s="26">
        <f t="shared" si="6"/>
        <v>0.385</v>
      </c>
    </row>
    <row r="127">
      <c r="A127" s="1">
        <v>237.0</v>
      </c>
      <c r="B127" s="1">
        <v>19562.0</v>
      </c>
      <c r="C127" s="23">
        <v>13.774</v>
      </c>
      <c r="D127" s="23">
        <v>16.314</v>
      </c>
      <c r="E127" s="23">
        <v>3.467</v>
      </c>
      <c r="F127" s="61">
        <v>1071.6</v>
      </c>
      <c r="G127" s="23">
        <v>0.714</v>
      </c>
      <c r="H127" s="23">
        <v>0.385</v>
      </c>
      <c r="I127" s="1">
        <v>432.6</v>
      </c>
      <c r="J127" s="1">
        <v>874.9</v>
      </c>
      <c r="K127" s="23">
        <v>0.375</v>
      </c>
      <c r="L127" s="1">
        <v>10388.0</v>
      </c>
      <c r="M127" s="1">
        <v>29905.0</v>
      </c>
      <c r="N127" s="1">
        <v>41.0</v>
      </c>
      <c r="O127" s="23">
        <v>16.034</v>
      </c>
      <c r="P127" s="26">
        <f t="shared" si="6"/>
        <v>0.385</v>
      </c>
    </row>
    <row r="128">
      <c r="A128" s="1">
        <v>239.0</v>
      </c>
      <c r="B128" s="1">
        <v>19562.0</v>
      </c>
      <c r="C128" s="23">
        <v>14.452</v>
      </c>
      <c r="D128" s="23">
        <v>17.064</v>
      </c>
      <c r="E128" s="23">
        <v>3.467</v>
      </c>
      <c r="F128" s="61">
        <v>1071.6</v>
      </c>
      <c r="G128" s="23">
        <v>0.714</v>
      </c>
      <c r="H128" s="23">
        <v>0.393</v>
      </c>
      <c r="I128" s="1">
        <v>432.6</v>
      </c>
      <c r="J128" s="1">
        <v>874.9</v>
      </c>
      <c r="K128" s="23">
        <v>0.375</v>
      </c>
      <c r="L128" s="1">
        <v>10388.0</v>
      </c>
      <c r="M128" s="1">
        <v>29905.0</v>
      </c>
      <c r="N128" s="1">
        <v>18.0</v>
      </c>
      <c r="O128" s="23">
        <v>16.034</v>
      </c>
      <c r="P128" s="26">
        <f t="shared" si="6"/>
        <v>0.393</v>
      </c>
    </row>
    <row r="129">
      <c r="A129" s="1">
        <v>241.0</v>
      </c>
      <c r="B129" s="1">
        <v>19562.0</v>
      </c>
      <c r="C129" s="23">
        <v>14.476</v>
      </c>
      <c r="D129" s="23">
        <v>17.055</v>
      </c>
      <c r="E129" s="23">
        <v>3.467</v>
      </c>
      <c r="F129" s="27">
        <v>1071.6</v>
      </c>
      <c r="G129" s="23">
        <v>0.702</v>
      </c>
      <c r="H129" s="23">
        <v>0.374</v>
      </c>
      <c r="I129" s="1">
        <v>432.6</v>
      </c>
      <c r="J129" s="1">
        <v>832.6</v>
      </c>
      <c r="K129" s="23">
        <v>0.375</v>
      </c>
      <c r="L129" s="1">
        <v>10388.0</v>
      </c>
      <c r="M129" s="1">
        <v>29905.0</v>
      </c>
      <c r="N129" s="1">
        <v>90.0</v>
      </c>
      <c r="O129" s="23">
        <v>16.001</v>
      </c>
      <c r="P129" s="26">
        <f t="shared" si="6"/>
        <v>0.374</v>
      </c>
    </row>
    <row r="130">
      <c r="A130" s="1">
        <v>243.0</v>
      </c>
      <c r="B130" s="1">
        <v>19562.0</v>
      </c>
      <c r="C130" s="23">
        <v>14.499</v>
      </c>
      <c r="D130" s="23">
        <v>17.42</v>
      </c>
      <c r="E130" s="23">
        <v>3.047</v>
      </c>
      <c r="F130" s="27">
        <v>1071.6</v>
      </c>
      <c r="G130" s="23">
        <v>0.711</v>
      </c>
      <c r="H130" s="23">
        <v>0.374</v>
      </c>
      <c r="I130" s="1">
        <v>432.6</v>
      </c>
      <c r="J130" s="1">
        <v>864.9</v>
      </c>
      <c r="K130" s="23">
        <v>0.375</v>
      </c>
      <c r="L130" s="1">
        <v>10388.0</v>
      </c>
      <c r="M130" s="1">
        <v>29905.0</v>
      </c>
      <c r="N130" s="1">
        <v>79.0</v>
      </c>
      <c r="O130" s="23">
        <v>16.001</v>
      </c>
      <c r="P130" s="26">
        <f t="shared" si="6"/>
        <v>0.374</v>
      </c>
    </row>
    <row r="131">
      <c r="A131" s="1">
        <v>245.0</v>
      </c>
      <c r="B131" s="1">
        <v>19336.0</v>
      </c>
      <c r="C131" s="23">
        <v>14.477</v>
      </c>
      <c r="D131" s="23">
        <v>17.394</v>
      </c>
      <c r="E131" s="23">
        <v>3.047</v>
      </c>
      <c r="F131" s="27">
        <v>1071.6</v>
      </c>
      <c r="G131" s="23">
        <v>0.718</v>
      </c>
      <c r="H131" s="23">
        <v>0.393</v>
      </c>
      <c r="I131" s="1">
        <v>432.6</v>
      </c>
      <c r="J131" s="1">
        <v>887.4</v>
      </c>
      <c r="K131" s="23">
        <v>0.375</v>
      </c>
      <c r="L131" s="1">
        <v>10388.0</v>
      </c>
      <c r="M131" s="1">
        <v>29905.0</v>
      </c>
      <c r="N131" s="1">
        <v>53.0</v>
      </c>
      <c r="O131" s="23">
        <v>16.002</v>
      </c>
      <c r="P131" s="26">
        <f t="shared" si="6"/>
        <v>0.393</v>
      </c>
    </row>
    <row r="132">
      <c r="A132" s="1">
        <v>247.0</v>
      </c>
      <c r="B132" s="1">
        <v>19336.0</v>
      </c>
      <c r="C132" s="23">
        <v>14.477</v>
      </c>
      <c r="D132" s="23">
        <v>17.525</v>
      </c>
      <c r="E132" s="23">
        <v>3.047</v>
      </c>
      <c r="F132" s="27">
        <v>1071.6</v>
      </c>
      <c r="G132" s="23">
        <v>0.693</v>
      </c>
      <c r="H132" s="23">
        <v>0.393</v>
      </c>
      <c r="I132" s="1">
        <v>432.6</v>
      </c>
      <c r="J132" s="1">
        <v>805.4</v>
      </c>
      <c r="K132" s="23">
        <v>0.375</v>
      </c>
      <c r="L132" s="1">
        <v>10388.0</v>
      </c>
      <c r="M132" s="1">
        <v>29905.0</v>
      </c>
      <c r="N132" s="1">
        <v>24.0</v>
      </c>
      <c r="O132" s="23">
        <v>16.002</v>
      </c>
      <c r="P132" s="26">
        <f t="shared" si="6"/>
        <v>0.393</v>
      </c>
    </row>
    <row r="133">
      <c r="A133" s="1">
        <v>249.0</v>
      </c>
      <c r="B133" s="1">
        <v>19562.0</v>
      </c>
      <c r="C133" s="23">
        <v>13.856</v>
      </c>
      <c r="D133" s="23">
        <v>16.804</v>
      </c>
      <c r="E133" s="23">
        <v>3.467</v>
      </c>
      <c r="F133" s="61">
        <v>1086.6</v>
      </c>
      <c r="G133" s="23">
        <v>0.693</v>
      </c>
      <c r="H133" s="23">
        <v>0.393</v>
      </c>
      <c r="I133" s="1">
        <v>432.6</v>
      </c>
      <c r="J133" s="1">
        <v>805.4</v>
      </c>
      <c r="K133" s="23">
        <v>0.375</v>
      </c>
      <c r="L133" s="1">
        <v>10388.0</v>
      </c>
      <c r="M133" s="1">
        <v>29905.0</v>
      </c>
      <c r="N133" s="1">
        <v>96.0</v>
      </c>
      <c r="O133" s="23">
        <v>16.002</v>
      </c>
      <c r="P133" s="26">
        <f t="shared" si="6"/>
        <v>0.393</v>
      </c>
    </row>
    <row r="134">
      <c r="A134" s="1">
        <v>251.0</v>
      </c>
      <c r="B134" s="1">
        <v>19562.0</v>
      </c>
      <c r="C134" s="23">
        <v>13.656</v>
      </c>
      <c r="D134" s="23">
        <v>17.164</v>
      </c>
      <c r="E134" s="23">
        <v>3.467</v>
      </c>
      <c r="F134" s="61">
        <v>1086.6</v>
      </c>
      <c r="G134" s="23">
        <v>0.684</v>
      </c>
      <c r="H134" s="23">
        <v>0.393</v>
      </c>
      <c r="I134" s="1">
        <v>432.6</v>
      </c>
      <c r="J134" s="1">
        <v>773.0</v>
      </c>
      <c r="K134" s="23">
        <v>0.375</v>
      </c>
      <c r="L134" s="1">
        <v>12392.0</v>
      </c>
      <c r="M134" s="1">
        <v>29905.0</v>
      </c>
      <c r="N134" s="1">
        <v>85.0</v>
      </c>
      <c r="O134" s="23">
        <v>15.964</v>
      </c>
      <c r="P134" s="26">
        <f t="shared" si="6"/>
        <v>0.393</v>
      </c>
    </row>
    <row r="135">
      <c r="A135" s="1">
        <v>253.0</v>
      </c>
      <c r="B135" s="1">
        <v>19562.0</v>
      </c>
      <c r="C135" s="23">
        <v>14.235</v>
      </c>
      <c r="D135" s="23">
        <v>17.938</v>
      </c>
      <c r="E135" s="23">
        <v>3.467</v>
      </c>
      <c r="F135" s="61">
        <v>1086.6</v>
      </c>
      <c r="G135" s="23">
        <v>0.684</v>
      </c>
      <c r="H135" s="23">
        <v>0.393</v>
      </c>
      <c r="I135" s="1">
        <v>432.6</v>
      </c>
      <c r="J135" s="1">
        <v>773.0</v>
      </c>
      <c r="K135" s="23">
        <v>0.375</v>
      </c>
      <c r="L135" s="1">
        <v>12392.0</v>
      </c>
      <c r="M135" s="1">
        <v>29905.0</v>
      </c>
      <c r="N135" s="1">
        <v>62.0</v>
      </c>
      <c r="O135" s="23">
        <v>15.964</v>
      </c>
      <c r="P135" s="26">
        <f t="shared" si="6"/>
        <v>0.393</v>
      </c>
    </row>
    <row r="136">
      <c r="A136" s="1">
        <v>255.0</v>
      </c>
      <c r="B136" s="1">
        <v>19562.0</v>
      </c>
      <c r="C136" s="23">
        <v>14.834</v>
      </c>
      <c r="D136" s="23">
        <v>18.61</v>
      </c>
      <c r="E136" s="23">
        <v>3.467</v>
      </c>
      <c r="F136" s="61">
        <v>1086.6</v>
      </c>
      <c r="G136" s="23">
        <v>0.684</v>
      </c>
      <c r="H136" s="23">
        <v>0.393</v>
      </c>
      <c r="I136" s="1">
        <v>432.6</v>
      </c>
      <c r="J136" s="1">
        <v>773.0</v>
      </c>
      <c r="K136" s="23">
        <v>0.615</v>
      </c>
      <c r="L136" s="1">
        <v>12392.0</v>
      </c>
      <c r="M136" s="1">
        <v>29905.0</v>
      </c>
      <c r="N136" s="1">
        <v>39.0</v>
      </c>
      <c r="O136" s="23">
        <v>16.045</v>
      </c>
      <c r="P136" s="26">
        <f t="shared" si="6"/>
        <v>0.393</v>
      </c>
    </row>
    <row r="137">
      <c r="A137" s="1">
        <v>257.0</v>
      </c>
      <c r="B137" s="1">
        <v>21381.0</v>
      </c>
      <c r="C137" s="26">
        <v>15.889</v>
      </c>
      <c r="D137" s="23">
        <v>20.575</v>
      </c>
      <c r="E137" s="23">
        <v>3.557</v>
      </c>
      <c r="F137" s="61">
        <v>1086.6</v>
      </c>
      <c r="G137" s="23">
        <v>0.684</v>
      </c>
      <c r="H137" s="23">
        <v>0.393</v>
      </c>
      <c r="I137" s="1">
        <v>432.6</v>
      </c>
      <c r="J137" s="1">
        <v>773.0</v>
      </c>
      <c r="K137" s="23">
        <v>0.635</v>
      </c>
      <c r="L137" s="1">
        <v>12392.0</v>
      </c>
      <c r="M137" s="1">
        <v>32687.0</v>
      </c>
      <c r="N137" s="1">
        <v>3.0</v>
      </c>
      <c r="O137" s="23">
        <v>16.045</v>
      </c>
      <c r="P137" s="26">
        <f t="shared" si="6"/>
        <v>0.393</v>
      </c>
    </row>
    <row r="138">
      <c r="A138" s="1">
        <v>259.0</v>
      </c>
      <c r="B138" s="1">
        <v>21381.0</v>
      </c>
      <c r="C138" s="26">
        <v>18.804</v>
      </c>
      <c r="D138" s="23">
        <v>20.61</v>
      </c>
      <c r="E138" s="23">
        <v>3.557</v>
      </c>
      <c r="F138" s="61">
        <v>1086.6</v>
      </c>
      <c r="G138" s="23">
        <v>0.684</v>
      </c>
      <c r="H138" s="23">
        <v>0.393</v>
      </c>
      <c r="I138" s="1">
        <v>432.6</v>
      </c>
      <c r="J138" s="1">
        <v>773.0</v>
      </c>
      <c r="K138" s="23">
        <v>0.635</v>
      </c>
      <c r="L138" s="1">
        <v>12392.0</v>
      </c>
      <c r="M138" s="1">
        <v>32687.0</v>
      </c>
      <c r="N138" s="1">
        <v>87.0</v>
      </c>
      <c r="O138" s="23">
        <v>16.174</v>
      </c>
      <c r="P138" s="26">
        <f t="shared" si="6"/>
        <v>0.393</v>
      </c>
    </row>
    <row r="139">
      <c r="A139" s="1">
        <v>261.0</v>
      </c>
      <c r="B139" s="1">
        <v>21381.0</v>
      </c>
      <c r="C139" s="26">
        <v>18.83</v>
      </c>
      <c r="D139" s="23">
        <v>20.611</v>
      </c>
      <c r="E139" s="23">
        <v>3.557</v>
      </c>
      <c r="F139" s="61">
        <v>1071.6</v>
      </c>
      <c r="G139" s="23">
        <v>0.684</v>
      </c>
      <c r="H139" s="23">
        <v>0.393</v>
      </c>
      <c r="I139" s="1">
        <v>432.6</v>
      </c>
      <c r="J139" s="1">
        <v>773.0</v>
      </c>
      <c r="K139" s="23">
        <v>0.655</v>
      </c>
      <c r="L139" s="1">
        <v>12392.0</v>
      </c>
      <c r="M139" s="1">
        <v>32687.0</v>
      </c>
      <c r="N139" s="1">
        <v>40.0</v>
      </c>
      <c r="O139" s="23">
        <v>16.174</v>
      </c>
      <c r="P139" s="26">
        <f t="shared" si="6"/>
        <v>0.393</v>
      </c>
    </row>
    <row r="140">
      <c r="A140" s="1">
        <v>263.0</v>
      </c>
      <c r="B140" s="1">
        <v>21381.0</v>
      </c>
      <c r="C140" s="26">
        <v>19.191</v>
      </c>
      <c r="D140" s="23">
        <v>19.892</v>
      </c>
      <c r="E140" s="23">
        <v>3.557</v>
      </c>
      <c r="F140" s="61">
        <v>1071.6</v>
      </c>
      <c r="G140" s="23">
        <v>0.702</v>
      </c>
      <c r="H140" s="23">
        <v>0.374</v>
      </c>
      <c r="I140" s="1">
        <v>432.6</v>
      </c>
      <c r="J140" s="1">
        <v>832.5</v>
      </c>
      <c r="K140" s="23">
        <v>0.675</v>
      </c>
      <c r="L140" s="1">
        <v>11618.0</v>
      </c>
      <c r="M140" s="1">
        <v>32687.0</v>
      </c>
      <c r="N140" s="1">
        <v>21.0</v>
      </c>
      <c r="O140" s="23">
        <v>16.174</v>
      </c>
      <c r="P140" s="26">
        <f t="shared" si="6"/>
        <v>0.374</v>
      </c>
    </row>
    <row r="141">
      <c r="A141" s="1">
        <v>265.0</v>
      </c>
      <c r="B141" s="1">
        <v>21381.0</v>
      </c>
      <c r="C141" s="26">
        <v>19.258</v>
      </c>
      <c r="D141" s="23">
        <v>19.267</v>
      </c>
      <c r="E141" s="23">
        <v>3.557</v>
      </c>
      <c r="F141" s="61">
        <v>1071.6</v>
      </c>
      <c r="G141" s="23">
        <v>0.705</v>
      </c>
      <c r="H141" s="23">
        <v>1.367</v>
      </c>
      <c r="I141" s="1">
        <v>432.6</v>
      </c>
      <c r="J141" s="1">
        <v>845.0</v>
      </c>
      <c r="K141" s="23">
        <v>0.675</v>
      </c>
      <c r="L141" s="1">
        <v>11618.0</v>
      </c>
      <c r="M141" s="1">
        <v>32687.0</v>
      </c>
      <c r="N141" s="1">
        <v>78.0</v>
      </c>
      <c r="O141" s="23">
        <v>16.182</v>
      </c>
      <c r="P141" s="26">
        <f t="shared" si="6"/>
        <v>1</v>
      </c>
    </row>
    <row r="142">
      <c r="A142" s="1">
        <v>267.0</v>
      </c>
      <c r="B142" s="1">
        <v>21381.0</v>
      </c>
      <c r="C142" s="23">
        <v>18.865</v>
      </c>
      <c r="D142" s="23">
        <v>20.278</v>
      </c>
      <c r="E142" s="23">
        <v>3.877</v>
      </c>
      <c r="F142" s="61">
        <v>1071.6</v>
      </c>
      <c r="G142" s="23">
        <v>0.705</v>
      </c>
      <c r="H142" s="23">
        <v>1.367</v>
      </c>
      <c r="I142" s="1">
        <v>432.6</v>
      </c>
      <c r="J142" s="1">
        <v>845.0</v>
      </c>
      <c r="K142" s="23">
        <v>0.695</v>
      </c>
      <c r="L142" s="1">
        <v>11618.0</v>
      </c>
      <c r="M142" s="1">
        <v>32687.0</v>
      </c>
      <c r="N142" s="1">
        <v>57.0</v>
      </c>
      <c r="O142" s="23">
        <v>16.182</v>
      </c>
      <c r="P142" s="26">
        <f t="shared" si="6"/>
        <v>1</v>
      </c>
    </row>
    <row r="143">
      <c r="A143" s="1">
        <v>269.0</v>
      </c>
      <c r="B143" s="1">
        <v>20655.0</v>
      </c>
      <c r="C143" s="23">
        <v>14.819</v>
      </c>
      <c r="D143" s="23">
        <v>18.941</v>
      </c>
      <c r="E143" s="23">
        <v>4.335</v>
      </c>
      <c r="F143" s="61">
        <v>1061.6</v>
      </c>
      <c r="G143" s="23">
        <v>0.712</v>
      </c>
      <c r="H143" s="23">
        <v>1.376</v>
      </c>
      <c r="I143" s="1">
        <v>432.6</v>
      </c>
      <c r="J143" s="1">
        <v>867.5</v>
      </c>
      <c r="K143" s="23">
        <v>0.715</v>
      </c>
      <c r="L143" s="1">
        <v>11618.0</v>
      </c>
      <c r="M143" s="1">
        <v>32687.0</v>
      </c>
      <c r="N143" s="1">
        <v>21.0</v>
      </c>
      <c r="O143" s="23">
        <v>16.084</v>
      </c>
      <c r="P143" s="26">
        <f t="shared" si="6"/>
        <v>1</v>
      </c>
    </row>
    <row r="144">
      <c r="A144" s="1">
        <v>271.0</v>
      </c>
      <c r="B144" s="1">
        <v>19562.0</v>
      </c>
      <c r="C144" s="23">
        <v>14.709</v>
      </c>
      <c r="D144" s="23">
        <v>18.701</v>
      </c>
      <c r="E144" s="23">
        <v>4.237</v>
      </c>
      <c r="F144" s="61">
        <v>1061.6</v>
      </c>
      <c r="G144" s="23">
        <v>0.712</v>
      </c>
      <c r="H144" s="23">
        <v>0.375</v>
      </c>
      <c r="I144" s="1">
        <v>432.6</v>
      </c>
      <c r="J144" s="1">
        <v>867.5</v>
      </c>
      <c r="K144" s="23">
        <v>0.715</v>
      </c>
      <c r="L144" s="1">
        <v>11618.0</v>
      </c>
      <c r="M144" s="1">
        <v>29905.0</v>
      </c>
      <c r="N144" s="1">
        <v>83.0</v>
      </c>
      <c r="O144" s="23">
        <v>16.084</v>
      </c>
      <c r="P144" s="26">
        <f t="shared" si="6"/>
        <v>0.375</v>
      </c>
    </row>
    <row r="145">
      <c r="A145" s="1">
        <v>273.0</v>
      </c>
      <c r="B145" s="1">
        <v>19562.0</v>
      </c>
      <c r="C145" s="23">
        <v>14.433</v>
      </c>
      <c r="D145" s="23">
        <v>18.292</v>
      </c>
      <c r="E145" s="23">
        <v>4.237</v>
      </c>
      <c r="F145" s="61">
        <v>1071.6</v>
      </c>
      <c r="G145" s="23">
        <v>0.712</v>
      </c>
      <c r="H145" s="23">
        <v>0.385</v>
      </c>
      <c r="I145" s="1">
        <v>432.6</v>
      </c>
      <c r="J145" s="1">
        <v>867.5</v>
      </c>
      <c r="K145" s="23">
        <v>0.735</v>
      </c>
      <c r="L145" s="1">
        <v>11618.0</v>
      </c>
      <c r="M145" s="1">
        <v>29905.0</v>
      </c>
      <c r="N145" s="1">
        <v>42.0</v>
      </c>
      <c r="O145" s="26">
        <v>16.16</v>
      </c>
      <c r="P145" s="26">
        <f t="shared" si="6"/>
        <v>0.385</v>
      </c>
    </row>
    <row r="146">
      <c r="A146" s="1">
        <v>275.0</v>
      </c>
      <c r="B146" s="1">
        <v>19562.0</v>
      </c>
      <c r="C146" s="26">
        <v>14.433</v>
      </c>
      <c r="D146" s="23">
        <v>19.332</v>
      </c>
      <c r="E146" s="23">
        <v>4.237</v>
      </c>
      <c r="F146" s="61">
        <v>1086.6</v>
      </c>
      <c r="G146" s="23">
        <v>0.708</v>
      </c>
      <c r="H146" s="23">
        <v>0.385</v>
      </c>
      <c r="I146" s="1">
        <v>432.6</v>
      </c>
      <c r="J146" s="1">
        <v>855.0</v>
      </c>
      <c r="K146" s="23">
        <v>0.755</v>
      </c>
      <c r="L146" s="1">
        <v>11618.0</v>
      </c>
      <c r="M146" s="1">
        <v>29905.0</v>
      </c>
      <c r="N146" s="1">
        <v>18.0</v>
      </c>
      <c r="O146" s="26">
        <v>16.16</v>
      </c>
      <c r="P146" s="26">
        <f t="shared" si="6"/>
        <v>0.385</v>
      </c>
    </row>
    <row r="147">
      <c r="A147" s="1">
        <v>277.0</v>
      </c>
      <c r="B147" s="1">
        <v>19562.0</v>
      </c>
      <c r="C147" s="23">
        <v>14.766</v>
      </c>
      <c r="D147" s="23">
        <v>19.725</v>
      </c>
      <c r="E147" s="23">
        <v>4.346</v>
      </c>
      <c r="F147" s="61">
        <v>1086.6</v>
      </c>
      <c r="G147" s="23">
        <v>0.708</v>
      </c>
      <c r="H147" s="23">
        <v>0.393</v>
      </c>
      <c r="I147" s="1">
        <v>432.6</v>
      </c>
      <c r="J147" s="1">
        <v>855.0</v>
      </c>
      <c r="K147" s="23">
        <v>0.755</v>
      </c>
      <c r="L147" s="1">
        <v>11618.0</v>
      </c>
      <c r="M147" s="1">
        <v>29905.0</v>
      </c>
      <c r="N147" s="1">
        <v>81.0</v>
      </c>
      <c r="O147" s="26">
        <v>16.16</v>
      </c>
      <c r="P147" s="26">
        <f t="shared" si="6"/>
        <v>0.393</v>
      </c>
    </row>
    <row r="148">
      <c r="A148" s="1">
        <v>279.0</v>
      </c>
      <c r="B148" s="1">
        <v>19562.0</v>
      </c>
      <c r="C148" s="23">
        <v>14.799</v>
      </c>
      <c r="D148" s="26">
        <v>19.733</v>
      </c>
      <c r="E148" s="23">
        <v>4.618</v>
      </c>
      <c r="F148" s="61">
        <v>1086.6</v>
      </c>
      <c r="G148" s="23">
        <v>0.7</v>
      </c>
      <c r="H148" s="23">
        <v>0.393</v>
      </c>
      <c r="I148" s="1">
        <v>432.6</v>
      </c>
      <c r="J148" s="1">
        <v>827.4</v>
      </c>
      <c r="K148" s="23">
        <v>0.775</v>
      </c>
      <c r="L148" s="1">
        <v>11618.0</v>
      </c>
      <c r="M148" s="1">
        <v>29905.0</v>
      </c>
      <c r="N148" s="1">
        <v>55.0</v>
      </c>
      <c r="O148" s="23">
        <v>16.161</v>
      </c>
      <c r="P148" s="26">
        <f t="shared" si="6"/>
        <v>0.393</v>
      </c>
    </row>
    <row r="149">
      <c r="A149" s="1">
        <v>281.0</v>
      </c>
      <c r="B149" s="1">
        <v>19562.0</v>
      </c>
      <c r="C149" s="23">
        <v>14.788</v>
      </c>
      <c r="D149" s="23">
        <v>18.442</v>
      </c>
      <c r="E149" s="23">
        <v>4.488</v>
      </c>
      <c r="F149" s="61">
        <v>1086.6</v>
      </c>
      <c r="G149" s="23">
        <v>0.7</v>
      </c>
      <c r="H149" s="23">
        <v>0.393</v>
      </c>
      <c r="I149" s="1">
        <v>432.6</v>
      </c>
      <c r="J149" s="1">
        <v>827.4</v>
      </c>
      <c r="K149" s="23">
        <v>0.795</v>
      </c>
      <c r="L149" s="1">
        <v>11618.0</v>
      </c>
      <c r="M149" s="1">
        <v>29905.0</v>
      </c>
      <c r="N149" s="1">
        <v>20.0</v>
      </c>
      <c r="O149" s="23">
        <v>16.161</v>
      </c>
      <c r="P149" s="26">
        <f t="shared" si="6"/>
        <v>0.393</v>
      </c>
    </row>
    <row r="150">
      <c r="A150" s="1">
        <v>283.0</v>
      </c>
      <c r="B150" s="1">
        <v>19562.0</v>
      </c>
      <c r="C150" s="23">
        <v>14.821</v>
      </c>
      <c r="D150" s="23">
        <v>18.425</v>
      </c>
      <c r="E150" s="23">
        <v>4.488</v>
      </c>
      <c r="F150" s="61">
        <v>1086.6</v>
      </c>
      <c r="G150" s="23">
        <v>0.7</v>
      </c>
      <c r="H150" s="23">
        <v>0.383</v>
      </c>
      <c r="I150" s="1">
        <v>432.6</v>
      </c>
      <c r="J150" s="1">
        <v>827.4</v>
      </c>
      <c r="K150" s="23">
        <v>0.795</v>
      </c>
      <c r="L150" s="1">
        <v>11618.0</v>
      </c>
      <c r="M150" s="1">
        <v>29905.0</v>
      </c>
      <c r="N150" s="1">
        <v>90.0</v>
      </c>
      <c r="O150" s="23">
        <v>16.093</v>
      </c>
      <c r="P150" s="26">
        <f t="shared" si="6"/>
        <v>0.383</v>
      </c>
    </row>
    <row r="151">
      <c r="A151" s="1">
        <v>285.0</v>
      </c>
      <c r="B151" s="1">
        <v>19562.0</v>
      </c>
      <c r="C151" s="23">
        <v>16.277</v>
      </c>
      <c r="D151" s="23">
        <v>20.115</v>
      </c>
      <c r="E151" s="23">
        <v>4.488</v>
      </c>
      <c r="F151" s="61">
        <v>1086.6</v>
      </c>
      <c r="G151" s="23">
        <v>0.7</v>
      </c>
      <c r="H151" s="23">
        <v>0.383</v>
      </c>
      <c r="I151" s="1">
        <v>432.6</v>
      </c>
      <c r="J151" s="1">
        <v>827.4</v>
      </c>
      <c r="K151" s="23">
        <v>0.375</v>
      </c>
      <c r="L151" s="1">
        <v>11618.0</v>
      </c>
      <c r="M151" s="1">
        <v>29905.0</v>
      </c>
      <c r="N151" s="1">
        <v>64.0</v>
      </c>
      <c r="O151" s="23">
        <v>16.093</v>
      </c>
      <c r="P151" s="26">
        <f t="shared" si="6"/>
        <v>0.383</v>
      </c>
    </row>
    <row r="152">
      <c r="A152" s="1">
        <v>287.0</v>
      </c>
      <c r="B152" s="1">
        <v>26840.0</v>
      </c>
      <c r="C152" s="23">
        <v>16.476</v>
      </c>
      <c r="D152" s="26">
        <v>19.357</v>
      </c>
      <c r="E152" s="23">
        <v>4.067</v>
      </c>
      <c r="F152" s="61">
        <v>1086.6</v>
      </c>
      <c r="G152" s="23">
        <v>0.7</v>
      </c>
      <c r="H152" s="23">
        <v>0.383</v>
      </c>
      <c r="I152" s="1">
        <v>432.6</v>
      </c>
      <c r="J152" s="1">
        <v>827.4</v>
      </c>
      <c r="K152" s="23">
        <v>0.375</v>
      </c>
      <c r="L152" s="1">
        <v>11618.0</v>
      </c>
      <c r="M152" s="1">
        <v>41032.0</v>
      </c>
      <c r="N152" s="1">
        <v>15.0</v>
      </c>
      <c r="O152" s="23">
        <v>16.242</v>
      </c>
      <c r="P152" s="26">
        <f t="shared" si="6"/>
        <v>0.383</v>
      </c>
    </row>
    <row r="153">
      <c r="A153" s="1">
        <v>289.0</v>
      </c>
      <c r="B153" s="1">
        <v>24111.0</v>
      </c>
      <c r="C153" s="23">
        <v>17.099</v>
      </c>
      <c r="D153" s="23">
        <v>20.095</v>
      </c>
      <c r="E153" s="23">
        <v>4.027</v>
      </c>
      <c r="F153" s="61">
        <v>1086.6</v>
      </c>
      <c r="G153" s="23">
        <v>0.697</v>
      </c>
      <c r="H153" s="23">
        <v>0.364</v>
      </c>
      <c r="I153" s="1">
        <v>432.6</v>
      </c>
      <c r="J153" s="1">
        <v>817.4</v>
      </c>
      <c r="K153" s="23">
        <v>0.375</v>
      </c>
      <c r="L153" s="1">
        <v>11618.0</v>
      </c>
      <c r="M153" s="1">
        <v>36859.0</v>
      </c>
      <c r="N153" s="1">
        <v>68.0</v>
      </c>
      <c r="O153" s="23">
        <v>16.242</v>
      </c>
      <c r="P153" s="26">
        <f t="shared" si="6"/>
        <v>0.364</v>
      </c>
    </row>
    <row r="154">
      <c r="A154" s="1">
        <v>291.0</v>
      </c>
      <c r="B154" s="1">
        <v>24111.0</v>
      </c>
      <c r="C154" s="23">
        <v>17.055</v>
      </c>
      <c r="D154" s="23">
        <v>20.095</v>
      </c>
      <c r="E154" s="23">
        <v>4.027</v>
      </c>
      <c r="F154" s="61">
        <v>1086.6</v>
      </c>
      <c r="G154" s="23">
        <v>0.697</v>
      </c>
      <c r="H154" s="23">
        <v>0.364</v>
      </c>
      <c r="I154" s="1">
        <v>432.6</v>
      </c>
      <c r="J154" s="1">
        <v>817.4</v>
      </c>
      <c r="K154" s="23">
        <v>0.375</v>
      </c>
      <c r="L154" s="1">
        <v>11618.0</v>
      </c>
      <c r="M154" s="1">
        <v>36859.0</v>
      </c>
      <c r="N154" s="1">
        <v>38.0</v>
      </c>
      <c r="O154" s="23">
        <v>16.242</v>
      </c>
      <c r="P154" s="26">
        <f t="shared" si="6"/>
        <v>0.364</v>
      </c>
    </row>
    <row r="155">
      <c r="A155" s="1">
        <v>294.0</v>
      </c>
      <c r="B155" s="1">
        <v>24111.0</v>
      </c>
      <c r="C155" s="23">
        <v>16.7</v>
      </c>
      <c r="D155" s="23">
        <v>19.733</v>
      </c>
      <c r="E155" s="23">
        <v>4.027</v>
      </c>
      <c r="F155" s="61">
        <v>1086.6</v>
      </c>
      <c r="G155" s="23">
        <v>0.722</v>
      </c>
      <c r="H155" s="23">
        <v>0.364</v>
      </c>
      <c r="I155" s="1">
        <v>432.6</v>
      </c>
      <c r="J155" s="1">
        <v>899.4</v>
      </c>
      <c r="K155" s="23">
        <v>0.375</v>
      </c>
      <c r="L155" s="1">
        <v>11618.0</v>
      </c>
      <c r="M155" s="1">
        <v>36859.0</v>
      </c>
      <c r="N155" s="1">
        <v>42.0</v>
      </c>
      <c r="O155" s="23">
        <v>16.344</v>
      </c>
      <c r="P155" s="26">
        <f t="shared" si="6"/>
        <v>0.364</v>
      </c>
    </row>
    <row r="156">
      <c r="A156" s="1">
        <v>296.0</v>
      </c>
      <c r="B156" s="1">
        <v>24111.0</v>
      </c>
      <c r="C156" s="26">
        <v>15.8</v>
      </c>
      <c r="D156" s="23">
        <v>19.77</v>
      </c>
      <c r="E156" s="23">
        <v>4.027</v>
      </c>
      <c r="F156" s="61">
        <v>1071.6</v>
      </c>
      <c r="G156" s="23">
        <v>0.722</v>
      </c>
      <c r="H156" s="23">
        <v>0.364</v>
      </c>
      <c r="I156" s="1">
        <v>432.6</v>
      </c>
      <c r="J156" s="1">
        <v>899.4</v>
      </c>
      <c r="K156" s="23">
        <v>0.375</v>
      </c>
      <c r="L156" s="1">
        <v>11618.0</v>
      </c>
      <c r="M156" s="1">
        <v>36859.0</v>
      </c>
      <c r="N156" s="1">
        <v>85.0</v>
      </c>
      <c r="O156" s="23">
        <v>16.344</v>
      </c>
      <c r="P156" s="26">
        <f t="shared" si="6"/>
        <v>0.364</v>
      </c>
    </row>
    <row r="157">
      <c r="A157" s="1">
        <v>298.0</v>
      </c>
      <c r="B157" s="1">
        <v>24111.0</v>
      </c>
      <c r="C157" s="23">
        <v>15.994</v>
      </c>
      <c r="D157" s="23">
        <v>19.742</v>
      </c>
      <c r="E157" s="23">
        <v>3.927</v>
      </c>
      <c r="F157" s="61">
        <v>1071.6</v>
      </c>
      <c r="G157" s="23">
        <v>0.718</v>
      </c>
      <c r="H157" s="23">
        <v>0.374</v>
      </c>
      <c r="I157" s="1">
        <v>432.6</v>
      </c>
      <c r="J157" s="1">
        <v>886.9</v>
      </c>
      <c r="K157" s="23">
        <v>0.375</v>
      </c>
      <c r="L157" s="1">
        <v>12392.0</v>
      </c>
      <c r="M157" s="1">
        <v>36859.0</v>
      </c>
      <c r="N157" s="1">
        <v>59.0</v>
      </c>
      <c r="O157" s="23">
        <v>16.229</v>
      </c>
      <c r="P157" s="26">
        <f t="shared" si="6"/>
        <v>0.374</v>
      </c>
    </row>
    <row r="158">
      <c r="A158" s="1">
        <v>300.0</v>
      </c>
      <c r="B158" s="1">
        <v>24111.0</v>
      </c>
      <c r="C158" s="23">
        <v>16.627</v>
      </c>
      <c r="D158" s="23">
        <v>20.661</v>
      </c>
      <c r="E158" s="23">
        <v>3.507</v>
      </c>
      <c r="F158" s="61">
        <v>1071.6</v>
      </c>
      <c r="G158" s="23">
        <v>0.723</v>
      </c>
      <c r="H158" s="23">
        <v>0.374</v>
      </c>
      <c r="I158" s="1">
        <v>432.6</v>
      </c>
      <c r="J158" s="1">
        <v>906.8</v>
      </c>
      <c r="K158" s="23">
        <v>0.375</v>
      </c>
      <c r="L158" s="1">
        <v>10388.0</v>
      </c>
      <c r="M158" s="1">
        <v>36859.0</v>
      </c>
      <c r="N158" s="1">
        <v>36.0</v>
      </c>
      <c r="O158" s="23">
        <v>16.229</v>
      </c>
      <c r="P158" s="26">
        <f t="shared" si="6"/>
        <v>0.374</v>
      </c>
    </row>
    <row r="159">
      <c r="A159" s="1">
        <v>302.0</v>
      </c>
      <c r="B159" s="1">
        <v>22291.0</v>
      </c>
      <c r="C159" s="23">
        <v>15.617</v>
      </c>
      <c r="D159" s="23">
        <v>19.429</v>
      </c>
      <c r="E159" s="23">
        <v>3.507</v>
      </c>
      <c r="F159" s="61">
        <v>1061.6</v>
      </c>
      <c r="G159" s="23">
        <v>0.723</v>
      </c>
      <c r="H159" s="23">
        <v>0.374</v>
      </c>
      <c r="I159" s="1">
        <v>432.6</v>
      </c>
      <c r="J159" s="1">
        <v>906.8</v>
      </c>
      <c r="K159" s="23">
        <v>0.375</v>
      </c>
      <c r="L159" s="1">
        <v>10388.0</v>
      </c>
      <c r="M159" s="1">
        <v>34078.0</v>
      </c>
      <c r="N159" s="1">
        <v>98.0</v>
      </c>
      <c r="O159" s="23">
        <v>15.981</v>
      </c>
      <c r="P159" s="26">
        <f t="shared" si="6"/>
        <v>0.374</v>
      </c>
    </row>
    <row r="160">
      <c r="A160" s="1">
        <v>304.0</v>
      </c>
      <c r="B160" s="1">
        <v>19562.0</v>
      </c>
      <c r="C160" s="23">
        <v>14.662</v>
      </c>
      <c r="D160" s="23">
        <v>17.756</v>
      </c>
      <c r="E160" s="23">
        <v>3.717</v>
      </c>
      <c r="F160" s="61">
        <v>1061.6</v>
      </c>
      <c r="G160" s="23">
        <v>0.723</v>
      </c>
      <c r="H160" s="23">
        <v>0.374</v>
      </c>
      <c r="I160" s="1">
        <v>432.6</v>
      </c>
      <c r="J160" s="1">
        <v>906.8</v>
      </c>
      <c r="K160" s="23">
        <v>0.375</v>
      </c>
      <c r="L160" s="1">
        <v>10388.0</v>
      </c>
      <c r="M160" s="1">
        <v>29905.0</v>
      </c>
      <c r="N160" s="1">
        <v>80.0</v>
      </c>
      <c r="O160" s="23">
        <v>15.981</v>
      </c>
      <c r="P160" s="26">
        <f t="shared" si="6"/>
        <v>0.374</v>
      </c>
    </row>
    <row r="161">
      <c r="A161" s="1">
        <v>306.0</v>
      </c>
      <c r="B161" s="1">
        <v>19562.0</v>
      </c>
      <c r="C161" s="23">
        <v>14.662</v>
      </c>
      <c r="D161" s="23">
        <v>17.756</v>
      </c>
      <c r="E161" s="23">
        <v>3.717</v>
      </c>
      <c r="F161" s="61">
        <v>1071.6</v>
      </c>
      <c r="G161" s="23">
        <v>0.728</v>
      </c>
      <c r="H161" s="23">
        <v>0.385</v>
      </c>
      <c r="I161" s="1">
        <v>432.6</v>
      </c>
      <c r="J161" s="1">
        <v>929.3</v>
      </c>
      <c r="K161" s="23">
        <v>0.375</v>
      </c>
      <c r="L161" s="1">
        <v>10388.0</v>
      </c>
      <c r="M161" s="1">
        <v>29905.0</v>
      </c>
      <c r="N161" s="1">
        <v>52.0</v>
      </c>
      <c r="O161" s="23">
        <v>16.131</v>
      </c>
      <c r="P161" s="26">
        <f t="shared" si="6"/>
        <v>0.385</v>
      </c>
    </row>
    <row r="162">
      <c r="A162" s="1">
        <v>308.0</v>
      </c>
      <c r="B162" s="1">
        <v>19562.0</v>
      </c>
      <c r="C162" s="23">
        <v>14.662</v>
      </c>
      <c r="D162" s="26">
        <v>17.727</v>
      </c>
      <c r="E162" s="23">
        <v>3.717</v>
      </c>
      <c r="F162" s="61">
        <v>1071.6</v>
      </c>
      <c r="G162" s="23">
        <v>0.728</v>
      </c>
      <c r="H162" s="23">
        <v>0.385</v>
      </c>
      <c r="I162" s="1">
        <v>432.6</v>
      </c>
      <c r="J162" s="1">
        <v>929.3</v>
      </c>
      <c r="K162" s="23">
        <v>0.375</v>
      </c>
      <c r="L162" s="1">
        <v>10388.0</v>
      </c>
      <c r="M162" s="1">
        <v>29905.0</v>
      </c>
      <c r="N162" s="1">
        <v>23.0</v>
      </c>
      <c r="O162" s="23">
        <v>16.013</v>
      </c>
      <c r="P162" s="26">
        <f t="shared" si="6"/>
        <v>0.385</v>
      </c>
    </row>
    <row r="163">
      <c r="A163" s="1">
        <v>310.0</v>
      </c>
      <c r="B163" s="1">
        <v>19562.0</v>
      </c>
      <c r="C163" s="23">
        <v>14.329</v>
      </c>
      <c r="D163" s="23">
        <v>16.692</v>
      </c>
      <c r="E163" s="23">
        <v>3.717</v>
      </c>
      <c r="F163" s="61">
        <v>1071.6</v>
      </c>
      <c r="G163" s="23">
        <v>0.728</v>
      </c>
      <c r="H163" s="23">
        <v>0.385</v>
      </c>
      <c r="I163" s="1">
        <v>432.6</v>
      </c>
      <c r="J163" s="1">
        <v>929.3</v>
      </c>
      <c r="K163" s="23">
        <v>0.375</v>
      </c>
      <c r="L163" s="1">
        <v>10388.0</v>
      </c>
      <c r="M163" s="1">
        <v>29905.0</v>
      </c>
      <c r="N163" s="1">
        <v>5.0</v>
      </c>
      <c r="O163" s="23">
        <v>16.013</v>
      </c>
      <c r="P163" s="26">
        <f t="shared" si="6"/>
        <v>0.385</v>
      </c>
    </row>
    <row r="164">
      <c r="A164" s="1">
        <v>312.0</v>
      </c>
      <c r="B164" s="1">
        <v>19562.0</v>
      </c>
      <c r="C164" s="23">
        <v>14.662</v>
      </c>
      <c r="D164" s="23">
        <v>17.065</v>
      </c>
      <c r="E164" s="23">
        <v>3.717</v>
      </c>
      <c r="F164" s="61">
        <v>1071.6</v>
      </c>
      <c r="G164" s="23">
        <v>0.71</v>
      </c>
      <c r="H164" s="23">
        <v>0.385</v>
      </c>
      <c r="I164" s="1">
        <v>432.6</v>
      </c>
      <c r="J164" s="1">
        <v>859.8</v>
      </c>
      <c r="K164" s="23">
        <v>0.375</v>
      </c>
      <c r="L164" s="1">
        <v>10388.0</v>
      </c>
      <c r="M164" s="1">
        <v>29905.0</v>
      </c>
      <c r="N164" s="1">
        <v>81.0</v>
      </c>
      <c r="O164" s="23">
        <v>16.004</v>
      </c>
      <c r="P164" s="26">
        <f t="shared" si="6"/>
        <v>0.385</v>
      </c>
    </row>
    <row r="165">
      <c r="A165" s="1">
        <v>314.0</v>
      </c>
      <c r="B165" s="1">
        <v>19562.0</v>
      </c>
      <c r="C165" s="23">
        <v>14.662</v>
      </c>
      <c r="D165" s="23">
        <v>17.065</v>
      </c>
      <c r="E165" s="23">
        <v>3.717</v>
      </c>
      <c r="F165" s="61">
        <v>1086.6</v>
      </c>
      <c r="G165" s="23">
        <v>0.71</v>
      </c>
      <c r="H165" s="23">
        <v>0.385</v>
      </c>
      <c r="I165" s="1">
        <v>432.6</v>
      </c>
      <c r="J165" s="1">
        <v>859.8</v>
      </c>
      <c r="K165" s="23">
        <v>0.375</v>
      </c>
      <c r="L165" s="1">
        <v>10388.0</v>
      </c>
      <c r="M165" s="1">
        <v>29905.0</v>
      </c>
      <c r="N165" s="1">
        <v>55.0</v>
      </c>
      <c r="O165" s="23">
        <v>16.004</v>
      </c>
      <c r="P165" s="26">
        <f t="shared" si="6"/>
        <v>0.385</v>
      </c>
    </row>
    <row r="166">
      <c r="A166" s="1">
        <v>316.0</v>
      </c>
      <c r="B166" s="1">
        <v>18897.0</v>
      </c>
      <c r="C166" s="23">
        <v>14.074</v>
      </c>
      <c r="D166" s="23">
        <v>17.003</v>
      </c>
      <c r="E166" s="23">
        <v>3.717</v>
      </c>
      <c r="F166" s="61">
        <v>1086.6</v>
      </c>
      <c r="G166" s="23">
        <v>0.71</v>
      </c>
      <c r="H166" s="23">
        <v>0.385</v>
      </c>
      <c r="I166" s="1">
        <v>432.6</v>
      </c>
      <c r="J166" s="1">
        <v>859.8</v>
      </c>
      <c r="K166" s="23">
        <v>0.375</v>
      </c>
      <c r="L166" s="1">
        <v>10388.0</v>
      </c>
      <c r="M166" s="1">
        <v>29905.0</v>
      </c>
      <c r="N166" s="1">
        <v>35.0</v>
      </c>
      <c r="O166" s="23">
        <v>16.008</v>
      </c>
      <c r="P166" s="26">
        <f t="shared" si="6"/>
        <v>0.385</v>
      </c>
    </row>
    <row r="167">
      <c r="A167" s="1">
        <v>318.0</v>
      </c>
      <c r="B167" s="1">
        <v>19562.0</v>
      </c>
      <c r="C167" s="23">
        <v>13.829</v>
      </c>
      <c r="D167" s="26">
        <v>17.691</v>
      </c>
      <c r="E167" s="23">
        <v>3.717</v>
      </c>
      <c r="F167" s="61">
        <v>1086.6</v>
      </c>
      <c r="G167" s="23">
        <v>0.7</v>
      </c>
      <c r="H167" s="23">
        <v>0.393</v>
      </c>
      <c r="I167" s="1">
        <v>432.6</v>
      </c>
      <c r="J167" s="1">
        <v>827.5</v>
      </c>
      <c r="K167" s="23">
        <v>0.615</v>
      </c>
      <c r="L167" s="1">
        <v>10388.0</v>
      </c>
      <c r="M167" s="1">
        <v>29905.0</v>
      </c>
      <c r="N167" s="1">
        <v>11.0</v>
      </c>
      <c r="O167" s="23">
        <v>16.008</v>
      </c>
      <c r="P167" s="26">
        <f t="shared" si="6"/>
        <v>0.393</v>
      </c>
    </row>
    <row r="168">
      <c r="A168" s="1">
        <v>320.0</v>
      </c>
      <c r="B168" s="1">
        <v>19562.0</v>
      </c>
      <c r="C168" s="23">
        <v>17.369</v>
      </c>
      <c r="D168" s="23">
        <v>18.687</v>
      </c>
      <c r="E168" s="23">
        <v>3.587</v>
      </c>
      <c r="F168" s="61">
        <v>1086.6</v>
      </c>
      <c r="G168" s="23">
        <v>0.684</v>
      </c>
      <c r="H168" s="23">
        <v>0.383</v>
      </c>
      <c r="I168" s="1">
        <v>432.6</v>
      </c>
      <c r="J168" s="1">
        <v>773.1</v>
      </c>
      <c r="K168" s="23">
        <v>0.615</v>
      </c>
      <c r="L168" s="1">
        <v>10388.0</v>
      </c>
      <c r="M168" s="1">
        <v>29905.0</v>
      </c>
      <c r="N168" s="1">
        <v>1.0</v>
      </c>
      <c r="O168" s="23">
        <v>16.008</v>
      </c>
      <c r="P168" s="26">
        <f t="shared" si="6"/>
        <v>0.383</v>
      </c>
    </row>
    <row r="169">
      <c r="A169" s="1">
        <v>322.0</v>
      </c>
      <c r="B169" s="1">
        <v>19562.0</v>
      </c>
      <c r="C169" s="23">
        <v>18.339</v>
      </c>
      <c r="D169" s="23">
        <v>18.957</v>
      </c>
      <c r="E169" s="23">
        <v>3.587</v>
      </c>
      <c r="F169" s="61">
        <v>1076.6</v>
      </c>
      <c r="G169" s="23">
        <v>0.69</v>
      </c>
      <c r="H169" s="23">
        <v>0.383</v>
      </c>
      <c r="I169" s="1">
        <v>432.6</v>
      </c>
      <c r="J169" s="1">
        <v>792.9</v>
      </c>
      <c r="K169" s="23">
        <v>0.635</v>
      </c>
      <c r="L169" s="1">
        <v>10388.0</v>
      </c>
      <c r="M169" s="1">
        <v>29905.0</v>
      </c>
      <c r="N169" s="1">
        <v>60.0</v>
      </c>
      <c r="O169" s="23">
        <v>15.939</v>
      </c>
      <c r="P169" s="26">
        <f t="shared" si="6"/>
        <v>0.383</v>
      </c>
    </row>
    <row r="170">
      <c r="A170" s="1">
        <v>324.0</v>
      </c>
      <c r="B170" s="1">
        <v>19336.0</v>
      </c>
      <c r="C170" s="23">
        <v>18.732</v>
      </c>
      <c r="D170" s="23">
        <v>19.307</v>
      </c>
      <c r="E170" s="23">
        <v>3.587</v>
      </c>
      <c r="F170" s="61">
        <v>1076.6</v>
      </c>
      <c r="G170" s="23">
        <v>0.69</v>
      </c>
      <c r="H170" s="23">
        <v>0.383</v>
      </c>
      <c r="I170" s="1">
        <v>432.6</v>
      </c>
      <c r="J170" s="1">
        <v>792.9</v>
      </c>
      <c r="K170" s="23">
        <v>0.655</v>
      </c>
      <c r="L170" s="1">
        <v>10388.0</v>
      </c>
      <c r="M170" s="1">
        <v>29905.0</v>
      </c>
      <c r="N170" s="1">
        <v>25.0</v>
      </c>
      <c r="O170" s="23">
        <v>15.939</v>
      </c>
      <c r="P170" s="26">
        <f t="shared" si="6"/>
        <v>0.383</v>
      </c>
    </row>
    <row r="171">
      <c r="A171" s="1">
        <v>326.0</v>
      </c>
      <c r="B171" s="1">
        <v>21134.0</v>
      </c>
      <c r="C171" s="23">
        <v>18.915</v>
      </c>
      <c r="D171" s="23">
        <v>20.26</v>
      </c>
      <c r="E171" s="23">
        <v>3.587</v>
      </c>
      <c r="F171" s="61">
        <v>1061.6</v>
      </c>
      <c r="G171" s="23">
        <v>0.714</v>
      </c>
      <c r="H171" s="23">
        <v>1.383</v>
      </c>
      <c r="I171" s="1">
        <v>432.6</v>
      </c>
      <c r="J171" s="1">
        <v>874.9</v>
      </c>
      <c r="K171" s="23">
        <v>0.655</v>
      </c>
      <c r="L171" s="1">
        <v>10388.0</v>
      </c>
      <c r="M171" s="1">
        <v>32687.0</v>
      </c>
      <c r="N171" s="1">
        <v>70.0</v>
      </c>
      <c r="O171" s="23">
        <v>15.957</v>
      </c>
      <c r="P171" s="26">
        <f t="shared" si="6"/>
        <v>1</v>
      </c>
    </row>
    <row r="172">
      <c r="A172" s="1">
        <v>328.0</v>
      </c>
      <c r="B172" s="1">
        <v>21134.0</v>
      </c>
      <c r="C172" s="26">
        <v>18.561</v>
      </c>
      <c r="D172" s="23">
        <v>19.876</v>
      </c>
      <c r="E172" s="23">
        <v>3.677</v>
      </c>
      <c r="F172" s="61">
        <v>1061.6</v>
      </c>
      <c r="G172" s="23">
        <v>0.714</v>
      </c>
      <c r="H172" s="23">
        <v>1.376</v>
      </c>
      <c r="I172" s="1">
        <v>432.6</v>
      </c>
      <c r="J172" s="1">
        <v>874.9</v>
      </c>
      <c r="K172" s="23">
        <v>0.675</v>
      </c>
      <c r="L172" s="1">
        <v>10388.0</v>
      </c>
      <c r="M172" s="1">
        <v>32687.0</v>
      </c>
      <c r="N172" s="1">
        <v>25.0</v>
      </c>
      <c r="O172" s="23">
        <v>15.957</v>
      </c>
      <c r="P172" s="26">
        <f t="shared" si="6"/>
        <v>1</v>
      </c>
    </row>
    <row r="173">
      <c r="A173" s="1">
        <v>330.0</v>
      </c>
      <c r="B173" s="1">
        <v>21134.0</v>
      </c>
      <c r="C173" s="26">
        <v>15.417</v>
      </c>
      <c r="D173" s="23">
        <v>18.447</v>
      </c>
      <c r="E173" s="23">
        <v>3.257</v>
      </c>
      <c r="F173" s="61">
        <v>1061.6</v>
      </c>
      <c r="G173" s="23">
        <v>0.714</v>
      </c>
      <c r="H173" s="23">
        <v>1.386</v>
      </c>
      <c r="I173" s="1">
        <v>432.6</v>
      </c>
      <c r="J173" s="1">
        <v>874.9</v>
      </c>
      <c r="K173" s="23">
        <v>0.695</v>
      </c>
      <c r="L173" s="1">
        <v>10388.0</v>
      </c>
      <c r="M173" s="1">
        <v>32687.0</v>
      </c>
      <c r="N173" s="1">
        <v>84.0</v>
      </c>
      <c r="O173" s="23">
        <v>16.066</v>
      </c>
      <c r="P173" s="26">
        <f t="shared" si="6"/>
        <v>1</v>
      </c>
    </row>
    <row r="174">
      <c r="A174" s="1">
        <v>332.0</v>
      </c>
      <c r="B174" s="1">
        <v>21381.0</v>
      </c>
      <c r="C174" s="23">
        <v>14.939</v>
      </c>
      <c r="D174" s="23">
        <v>18.473</v>
      </c>
      <c r="E174" s="23">
        <v>3.257</v>
      </c>
      <c r="F174" s="61">
        <v>1061.6</v>
      </c>
      <c r="G174" s="23">
        <v>0.708</v>
      </c>
      <c r="H174" s="23">
        <v>0.385</v>
      </c>
      <c r="I174" s="1">
        <v>432.6</v>
      </c>
      <c r="J174" s="1">
        <v>855.0</v>
      </c>
      <c r="K174" s="23">
        <v>0.695</v>
      </c>
      <c r="L174" s="1">
        <v>12392.0</v>
      </c>
      <c r="M174" s="1">
        <v>32687.0</v>
      </c>
      <c r="N174" s="1">
        <v>59.0</v>
      </c>
      <c r="O174" s="23">
        <v>16.066</v>
      </c>
      <c r="P174" s="26">
        <f t="shared" si="6"/>
        <v>0.385</v>
      </c>
    </row>
    <row r="175">
      <c r="A175" s="1">
        <v>334.0</v>
      </c>
      <c r="B175" s="1">
        <v>21381.0</v>
      </c>
      <c r="C175" s="23">
        <v>15.272</v>
      </c>
      <c r="D175" s="26">
        <v>18.863</v>
      </c>
      <c r="E175" s="23">
        <v>3.257</v>
      </c>
      <c r="F175" s="61">
        <v>1086.6</v>
      </c>
      <c r="G175" s="23">
        <v>0.712</v>
      </c>
      <c r="H175" s="23">
        <v>0.385</v>
      </c>
      <c r="I175" s="1">
        <v>432.6</v>
      </c>
      <c r="J175" s="1">
        <v>867.5</v>
      </c>
      <c r="K175" s="23">
        <v>0.715</v>
      </c>
      <c r="L175" s="1">
        <v>12392.0</v>
      </c>
      <c r="M175" s="1">
        <v>32687.0</v>
      </c>
      <c r="N175" s="1">
        <v>37.0</v>
      </c>
      <c r="O175" s="23">
        <v>16.216</v>
      </c>
      <c r="P175" s="26">
        <f t="shared" si="6"/>
        <v>0.385</v>
      </c>
    </row>
    <row r="176">
      <c r="A176" s="1">
        <v>336.0</v>
      </c>
      <c r="B176" s="1">
        <v>21381.0</v>
      </c>
      <c r="C176" s="23">
        <v>14.717</v>
      </c>
      <c r="D176" s="26">
        <v>18.22</v>
      </c>
      <c r="E176" s="23">
        <v>3.557</v>
      </c>
      <c r="F176" s="61">
        <v>1086.6</v>
      </c>
      <c r="G176" s="23">
        <v>0.712</v>
      </c>
      <c r="H176" s="23">
        <v>0.393</v>
      </c>
      <c r="I176" s="1">
        <v>432.6</v>
      </c>
      <c r="J176" s="1">
        <v>867.5</v>
      </c>
      <c r="K176" s="23">
        <v>0.735</v>
      </c>
      <c r="L176" s="1">
        <v>12392.0</v>
      </c>
      <c r="M176" s="1">
        <v>32687.0</v>
      </c>
      <c r="N176" s="1">
        <v>1.0</v>
      </c>
      <c r="O176" s="23">
        <v>16.152</v>
      </c>
      <c r="P176" s="26">
        <f t="shared" si="6"/>
        <v>0.393</v>
      </c>
    </row>
    <row r="177">
      <c r="A177" s="1">
        <v>338.0</v>
      </c>
      <c r="B177" s="1">
        <v>21381.0</v>
      </c>
      <c r="C177" s="23">
        <v>14.995</v>
      </c>
      <c r="D177" s="26">
        <v>17.96</v>
      </c>
      <c r="E177" s="23">
        <v>3.557</v>
      </c>
      <c r="F177" s="61">
        <v>1086.6</v>
      </c>
      <c r="G177" s="23">
        <v>0.712</v>
      </c>
      <c r="H177" s="23">
        <v>0.393</v>
      </c>
      <c r="I177" s="1">
        <v>432.6</v>
      </c>
      <c r="J177" s="1">
        <v>867.5</v>
      </c>
      <c r="K177" s="23">
        <v>0.735</v>
      </c>
      <c r="L177" s="1">
        <v>12392.0</v>
      </c>
      <c r="M177" s="1">
        <v>32687.0</v>
      </c>
      <c r="N177" s="1">
        <v>69.0</v>
      </c>
      <c r="O177" s="23">
        <v>16.152</v>
      </c>
      <c r="P177" s="26">
        <f t="shared" si="6"/>
        <v>0.393</v>
      </c>
    </row>
    <row r="178">
      <c r="A178" s="1">
        <v>340.0</v>
      </c>
      <c r="B178" s="1">
        <v>21381.0</v>
      </c>
      <c r="C178" s="23">
        <v>15.017</v>
      </c>
      <c r="D178" s="26">
        <v>18.343</v>
      </c>
      <c r="E178" s="23">
        <v>3.557</v>
      </c>
      <c r="F178" s="61">
        <v>1086.6</v>
      </c>
      <c r="G178" s="23">
        <v>0.712</v>
      </c>
      <c r="H178" s="23">
        <v>0.383</v>
      </c>
      <c r="I178" s="1">
        <v>432.6</v>
      </c>
      <c r="J178" s="1">
        <v>867.5</v>
      </c>
      <c r="K178" s="23">
        <v>0.755</v>
      </c>
      <c r="L178" s="1">
        <v>12392.0</v>
      </c>
      <c r="M178" s="1">
        <v>32687.0</v>
      </c>
      <c r="N178" s="1">
        <v>24.0</v>
      </c>
      <c r="O178" s="23">
        <v>16.063</v>
      </c>
      <c r="P178" s="26">
        <f t="shared" si="6"/>
        <v>0.383</v>
      </c>
    </row>
    <row r="179">
      <c r="A179" s="1">
        <v>342.0</v>
      </c>
      <c r="B179" s="1">
        <v>19562.0</v>
      </c>
      <c r="C179" s="23">
        <v>14.851</v>
      </c>
      <c r="D179" s="26">
        <v>18.138</v>
      </c>
      <c r="E179" s="23">
        <v>3.467</v>
      </c>
      <c r="F179" s="61">
        <v>1086.6</v>
      </c>
      <c r="G179" s="23">
        <v>0.708</v>
      </c>
      <c r="H179" s="23">
        <v>0.383</v>
      </c>
      <c r="I179" s="1">
        <v>432.6</v>
      </c>
      <c r="J179" s="1">
        <v>855.0</v>
      </c>
      <c r="K179" s="23">
        <v>0.775</v>
      </c>
      <c r="L179" s="1">
        <v>12392.0</v>
      </c>
      <c r="M179" s="1">
        <v>29905.0</v>
      </c>
      <c r="N179" s="1">
        <v>2.0</v>
      </c>
      <c r="O179" s="23">
        <v>16.063</v>
      </c>
      <c r="P179" s="26">
        <f t="shared" si="6"/>
        <v>0.383</v>
      </c>
    </row>
    <row r="180">
      <c r="A180" s="1">
        <v>344.0</v>
      </c>
      <c r="B180" s="1">
        <v>19562.0</v>
      </c>
      <c r="C180" s="23">
        <v>14.518</v>
      </c>
      <c r="D180" s="26">
        <v>17.87</v>
      </c>
      <c r="E180" s="23">
        <v>3.467</v>
      </c>
      <c r="F180" s="61">
        <v>1086.6</v>
      </c>
      <c r="G180" s="23">
        <v>0.684</v>
      </c>
      <c r="H180" s="23">
        <v>0.383</v>
      </c>
      <c r="I180" s="1">
        <v>432.6</v>
      </c>
      <c r="J180" s="1">
        <v>773.0</v>
      </c>
      <c r="K180" s="23">
        <v>0.775</v>
      </c>
      <c r="L180" s="1">
        <v>12392.0</v>
      </c>
      <c r="M180" s="1">
        <v>29905.0</v>
      </c>
      <c r="N180" s="1">
        <v>70.0</v>
      </c>
      <c r="O180" s="23">
        <v>16.063</v>
      </c>
      <c r="P180" s="26">
        <f t="shared" si="6"/>
        <v>0.383</v>
      </c>
    </row>
    <row r="181">
      <c r="A181" s="1">
        <v>346.0</v>
      </c>
      <c r="B181" s="1">
        <v>19562.0</v>
      </c>
      <c r="C181" s="23">
        <v>14.484</v>
      </c>
      <c r="D181" s="26">
        <v>17.862</v>
      </c>
      <c r="E181" s="23">
        <v>3.467</v>
      </c>
      <c r="F181" s="61">
        <v>1071.6</v>
      </c>
      <c r="G181" s="23">
        <v>0.684</v>
      </c>
      <c r="H181" s="23">
        <v>0.383</v>
      </c>
      <c r="I181" s="1">
        <v>432.6</v>
      </c>
      <c r="J181" s="1">
        <v>773.0</v>
      </c>
      <c r="K181" s="23">
        <v>0.795</v>
      </c>
      <c r="L181" s="1">
        <v>12392.0</v>
      </c>
      <c r="M181" s="1">
        <v>29905.0</v>
      </c>
      <c r="N181" s="1">
        <v>44.0</v>
      </c>
      <c r="O181" s="23">
        <v>16.038</v>
      </c>
      <c r="P181" s="26">
        <f t="shared" si="6"/>
        <v>0.383</v>
      </c>
    </row>
    <row r="182">
      <c r="A182" s="1">
        <v>348.0</v>
      </c>
      <c r="B182" s="1">
        <v>19562.0</v>
      </c>
      <c r="C182" s="23">
        <v>13.94</v>
      </c>
      <c r="D182" s="23">
        <v>17.988</v>
      </c>
      <c r="E182" s="23">
        <v>4.106</v>
      </c>
      <c r="F182" s="61">
        <v>1071.6</v>
      </c>
      <c r="G182" s="23">
        <v>0.684</v>
      </c>
      <c r="H182" s="23">
        <v>0.383</v>
      </c>
      <c r="I182" s="1">
        <v>432.6</v>
      </c>
      <c r="J182" s="1">
        <v>773.0</v>
      </c>
      <c r="K182" s="23">
        <v>0.375</v>
      </c>
      <c r="L182" s="1">
        <v>12392.0</v>
      </c>
      <c r="M182" s="1">
        <v>29905.0</v>
      </c>
      <c r="N182" s="1">
        <v>9.0</v>
      </c>
      <c r="O182" s="23">
        <v>16.038</v>
      </c>
      <c r="P182" s="26">
        <f t="shared" si="6"/>
        <v>0.383</v>
      </c>
    </row>
    <row r="183">
      <c r="A183" s="1">
        <v>350.0</v>
      </c>
      <c r="B183" s="1">
        <v>19562.0</v>
      </c>
      <c r="C183" s="23">
        <v>13.918</v>
      </c>
      <c r="D183" s="23">
        <v>17.994</v>
      </c>
      <c r="E183" s="23">
        <v>4.106</v>
      </c>
      <c r="F183" s="61">
        <v>1071.6</v>
      </c>
      <c r="G183" s="23">
        <v>0.684</v>
      </c>
      <c r="H183" s="23">
        <v>0.383</v>
      </c>
      <c r="I183" s="1">
        <v>432.6</v>
      </c>
      <c r="J183" s="1">
        <v>773.0</v>
      </c>
      <c r="K183" s="23">
        <v>0.375</v>
      </c>
      <c r="L183" s="1">
        <v>12392.0</v>
      </c>
      <c r="M183" s="1">
        <v>29905.0</v>
      </c>
      <c r="N183" s="1">
        <v>75.0</v>
      </c>
      <c r="O183" s="23">
        <v>16.071</v>
      </c>
      <c r="P183" s="26">
        <f t="shared" si="6"/>
        <v>0.383</v>
      </c>
    </row>
    <row r="184">
      <c r="A184" s="1">
        <v>352.0</v>
      </c>
      <c r="B184" s="1">
        <v>25021.0</v>
      </c>
      <c r="C184" s="23">
        <v>15.395</v>
      </c>
      <c r="D184" s="23">
        <v>19.803</v>
      </c>
      <c r="E184" s="23">
        <v>4.106</v>
      </c>
      <c r="F184" s="61">
        <v>1061.6</v>
      </c>
      <c r="G184" s="23">
        <v>0.684</v>
      </c>
      <c r="H184" s="23">
        <v>0.383</v>
      </c>
      <c r="I184" s="1">
        <v>432.6</v>
      </c>
      <c r="J184" s="1">
        <v>773.0</v>
      </c>
      <c r="K184" s="23">
        <v>0.375</v>
      </c>
      <c r="L184" s="1">
        <v>12392.0</v>
      </c>
      <c r="M184" s="1">
        <v>38250.0</v>
      </c>
      <c r="N184" s="1">
        <v>57.0</v>
      </c>
      <c r="O184" s="23">
        <v>15.921</v>
      </c>
      <c r="P184" s="26">
        <f t="shared" si="6"/>
        <v>0.383</v>
      </c>
    </row>
    <row r="185">
      <c r="A185" s="1">
        <v>354.0</v>
      </c>
      <c r="B185" s="1">
        <v>24111.0</v>
      </c>
      <c r="C185" s="23">
        <v>16.194</v>
      </c>
      <c r="D185" s="23">
        <v>20.86</v>
      </c>
      <c r="E185" s="23">
        <v>4.335</v>
      </c>
      <c r="F185" s="61">
        <v>1061.6</v>
      </c>
      <c r="G185" s="23">
        <v>0.684</v>
      </c>
      <c r="H185" s="23">
        <v>0.383</v>
      </c>
      <c r="I185" s="1">
        <v>432.6</v>
      </c>
      <c r="J185" s="1">
        <v>773.0</v>
      </c>
      <c r="K185" s="23">
        <v>0.375</v>
      </c>
      <c r="L185" s="1">
        <v>12392.0</v>
      </c>
      <c r="M185" s="1">
        <v>36859.0</v>
      </c>
      <c r="N185" s="1">
        <v>29.0</v>
      </c>
      <c r="O185" s="23">
        <v>16.194</v>
      </c>
      <c r="P185" s="26">
        <f t="shared" si="6"/>
        <v>0.383</v>
      </c>
    </row>
    <row r="186">
      <c r="A186" s="1">
        <v>356.0</v>
      </c>
      <c r="B186" s="1">
        <v>24111.0</v>
      </c>
      <c r="C186" s="23">
        <v>16.149</v>
      </c>
      <c r="D186" s="23">
        <v>20.131</v>
      </c>
      <c r="E186" s="23">
        <v>4.335</v>
      </c>
      <c r="F186" s="61">
        <v>1061.6</v>
      </c>
      <c r="G186" s="23">
        <v>0.687</v>
      </c>
      <c r="H186" s="23">
        <v>0.383</v>
      </c>
      <c r="I186" s="1">
        <v>432.6</v>
      </c>
      <c r="J186" s="1">
        <v>785.5</v>
      </c>
      <c r="K186" s="23">
        <v>0.375</v>
      </c>
      <c r="L186" s="1">
        <v>12392.0</v>
      </c>
      <c r="M186" s="1">
        <v>36859.0</v>
      </c>
      <c r="N186" s="1">
        <v>63.0</v>
      </c>
      <c r="O186" s="23">
        <v>16.194</v>
      </c>
      <c r="P186" s="26">
        <f t="shared" si="6"/>
        <v>0.383</v>
      </c>
    </row>
    <row r="187">
      <c r="A187" s="1">
        <v>358.0</v>
      </c>
      <c r="B187" s="1">
        <v>24111.0</v>
      </c>
      <c r="C187" s="23">
        <v>15.972</v>
      </c>
      <c r="D187" s="23">
        <v>20.131</v>
      </c>
      <c r="E187" s="23">
        <v>4.335</v>
      </c>
      <c r="F187" s="61">
        <v>1061.6</v>
      </c>
      <c r="G187" s="23">
        <v>0.687</v>
      </c>
      <c r="H187" s="23">
        <v>0.393</v>
      </c>
      <c r="I187" s="1">
        <v>432.6</v>
      </c>
      <c r="J187" s="1">
        <v>785.5</v>
      </c>
      <c r="K187" s="23">
        <v>0.375</v>
      </c>
      <c r="L187" s="1">
        <v>12392.0</v>
      </c>
      <c r="M187" s="1">
        <v>36859.0</v>
      </c>
      <c r="N187" s="1">
        <v>27.0</v>
      </c>
      <c r="O187" s="23">
        <v>16.194</v>
      </c>
      <c r="P187" s="26">
        <f t="shared" si="6"/>
        <v>0.393</v>
      </c>
    </row>
    <row r="188">
      <c r="A188" s="1">
        <v>361.0</v>
      </c>
      <c r="B188" s="1">
        <v>24111.0</v>
      </c>
      <c r="C188" s="23">
        <v>16.105</v>
      </c>
      <c r="D188" s="23">
        <v>21.156</v>
      </c>
      <c r="E188" s="23">
        <v>4.335</v>
      </c>
      <c r="F188" s="61">
        <v>1076.6</v>
      </c>
      <c r="G188" s="23">
        <v>0.705</v>
      </c>
      <c r="H188" s="23">
        <v>0.374</v>
      </c>
      <c r="I188" s="1">
        <v>432.6</v>
      </c>
      <c r="J188" s="1">
        <v>845.0</v>
      </c>
      <c r="K188" s="23">
        <v>0.375</v>
      </c>
      <c r="L188" s="1">
        <v>12392.0</v>
      </c>
      <c r="M188" s="1">
        <v>36859.0</v>
      </c>
      <c r="N188" s="1">
        <v>88.0</v>
      </c>
      <c r="O188" s="23">
        <v>16.138</v>
      </c>
      <c r="P188" s="26">
        <f t="shared" si="6"/>
        <v>0.374</v>
      </c>
    </row>
    <row r="189">
      <c r="A189" s="1">
        <v>363.0</v>
      </c>
      <c r="B189" s="1">
        <v>23292.0</v>
      </c>
      <c r="C189" s="26">
        <v>15.705</v>
      </c>
      <c r="D189" s="23">
        <v>20.688</v>
      </c>
      <c r="E189" s="23">
        <v>4.335</v>
      </c>
      <c r="F189" s="61">
        <v>1076.6</v>
      </c>
      <c r="G189" s="23">
        <v>0.705</v>
      </c>
      <c r="H189" s="23">
        <v>0.374</v>
      </c>
      <c r="I189" s="1">
        <v>432.6</v>
      </c>
      <c r="J189" s="1">
        <v>845.0</v>
      </c>
      <c r="K189" s="23">
        <v>0.375</v>
      </c>
      <c r="L189" s="1">
        <v>12392.0</v>
      </c>
      <c r="M189" s="1">
        <v>36859.0</v>
      </c>
      <c r="N189" s="1">
        <v>35.0</v>
      </c>
      <c r="O189" s="23">
        <v>16.138</v>
      </c>
      <c r="P189" s="26">
        <f t="shared" si="6"/>
        <v>0.374</v>
      </c>
    </row>
    <row r="190">
      <c r="A190" s="1">
        <v>365.0</v>
      </c>
      <c r="B190" s="1">
        <v>23292.0</v>
      </c>
      <c r="C190" s="26">
        <v>16.016</v>
      </c>
      <c r="D190" s="23">
        <v>21.089</v>
      </c>
      <c r="E190" s="23">
        <v>4.335</v>
      </c>
      <c r="F190" s="61">
        <v>1076.6</v>
      </c>
      <c r="G190" s="23">
        <v>0.702</v>
      </c>
      <c r="H190" s="23">
        <v>0.374</v>
      </c>
      <c r="I190" s="1">
        <v>432.6</v>
      </c>
      <c r="J190" s="1">
        <v>832.5</v>
      </c>
      <c r="K190" s="23">
        <v>0.375</v>
      </c>
      <c r="L190" s="1">
        <v>12392.0</v>
      </c>
      <c r="M190" s="1">
        <v>36859.0</v>
      </c>
      <c r="N190" s="1">
        <v>84.0</v>
      </c>
      <c r="O190" s="23">
        <v>16.181</v>
      </c>
      <c r="P190" s="26">
        <f t="shared" si="6"/>
        <v>0.374</v>
      </c>
    </row>
    <row r="191">
      <c r="A191" s="1">
        <v>367.0</v>
      </c>
      <c r="B191" s="1">
        <v>24111.0</v>
      </c>
      <c r="C191" s="26">
        <v>15.084</v>
      </c>
      <c r="D191" s="23">
        <v>19.25</v>
      </c>
      <c r="E191" s="23">
        <v>4.466</v>
      </c>
      <c r="F191" s="61">
        <v>1076.6</v>
      </c>
      <c r="G191" s="23">
        <v>0.708</v>
      </c>
      <c r="H191" s="23">
        <v>0.393</v>
      </c>
      <c r="I191" s="1">
        <v>432.6</v>
      </c>
      <c r="J191" s="1">
        <v>855.0</v>
      </c>
      <c r="K191" s="23">
        <v>0.375</v>
      </c>
      <c r="L191" s="1">
        <v>12392.0</v>
      </c>
      <c r="M191" s="1">
        <v>36859.0</v>
      </c>
      <c r="N191" s="1">
        <v>54.0</v>
      </c>
      <c r="O191" s="23">
        <v>16.181</v>
      </c>
      <c r="P191" s="26">
        <f t="shared" si="6"/>
        <v>0.393</v>
      </c>
    </row>
    <row r="192">
      <c r="A192" s="1">
        <v>369.0</v>
      </c>
      <c r="B192" s="1">
        <v>19562.0</v>
      </c>
      <c r="C192" s="23">
        <v>14.129</v>
      </c>
      <c r="D192" s="23">
        <v>18.086</v>
      </c>
      <c r="E192" s="23">
        <v>3.687</v>
      </c>
      <c r="F192" s="61">
        <v>1086.6</v>
      </c>
      <c r="G192" s="23">
        <v>0.708</v>
      </c>
      <c r="H192" s="23">
        <v>0.393</v>
      </c>
      <c r="I192" s="1">
        <v>432.6</v>
      </c>
      <c r="J192" s="1">
        <v>855.0</v>
      </c>
      <c r="K192" s="23">
        <v>0.375</v>
      </c>
      <c r="L192" s="1">
        <v>12392.0</v>
      </c>
      <c r="M192" s="1">
        <v>29905.0</v>
      </c>
      <c r="N192" s="1">
        <v>14.0</v>
      </c>
      <c r="O192" s="23">
        <v>16.093</v>
      </c>
      <c r="P192" s="26">
        <f t="shared" si="6"/>
        <v>0.393</v>
      </c>
    </row>
    <row r="193">
      <c r="A193" s="1">
        <v>371.0</v>
      </c>
      <c r="B193" s="1">
        <v>19562.0</v>
      </c>
      <c r="C193" s="23">
        <v>14.129</v>
      </c>
      <c r="D193" s="23">
        <v>18.086</v>
      </c>
      <c r="E193" s="23">
        <v>3.687</v>
      </c>
      <c r="F193" s="61">
        <v>1086.6</v>
      </c>
      <c r="G193" s="23">
        <v>0.708</v>
      </c>
      <c r="H193" s="23">
        <v>0.393</v>
      </c>
      <c r="I193" s="1">
        <v>432.6</v>
      </c>
      <c r="J193" s="1">
        <v>855.0</v>
      </c>
      <c r="K193" s="23">
        <v>0.375</v>
      </c>
      <c r="L193" s="1">
        <v>12392.0</v>
      </c>
      <c r="M193" s="1">
        <v>29905.0</v>
      </c>
      <c r="N193" s="1">
        <v>82.0</v>
      </c>
      <c r="O193" s="23">
        <v>16.093</v>
      </c>
      <c r="P193" s="26">
        <f t="shared" si="6"/>
        <v>0.393</v>
      </c>
    </row>
    <row r="194">
      <c r="A194" s="1">
        <v>373.0</v>
      </c>
      <c r="B194" s="1">
        <v>19562.0</v>
      </c>
      <c r="C194" s="23">
        <v>14.662</v>
      </c>
      <c r="D194" s="23">
        <v>17.094</v>
      </c>
      <c r="E194" s="23">
        <v>3.937</v>
      </c>
      <c r="F194" s="61">
        <v>1071.6</v>
      </c>
      <c r="G194" s="23">
        <v>0.724</v>
      </c>
      <c r="H194" s="23">
        <v>0.393</v>
      </c>
      <c r="I194" s="1">
        <v>432.6</v>
      </c>
      <c r="J194" s="1">
        <v>909.4</v>
      </c>
      <c r="K194" s="23">
        <v>0.375</v>
      </c>
      <c r="L194" s="1">
        <v>12392.0</v>
      </c>
      <c r="M194" s="1">
        <v>29905.0</v>
      </c>
      <c r="N194" s="1">
        <v>53.0</v>
      </c>
      <c r="O194" s="23">
        <v>16.093</v>
      </c>
      <c r="P194" s="26">
        <f t="shared" si="6"/>
        <v>0.393</v>
      </c>
    </row>
    <row r="195">
      <c r="A195" s="1">
        <v>375.0</v>
      </c>
      <c r="B195" s="1">
        <v>19562.0</v>
      </c>
      <c r="C195" s="23">
        <v>14.662</v>
      </c>
      <c r="D195" s="23">
        <v>17.078</v>
      </c>
      <c r="E195" s="23">
        <v>3.937</v>
      </c>
      <c r="F195" s="61">
        <v>1071.6</v>
      </c>
      <c r="G195" s="23">
        <v>0.724</v>
      </c>
      <c r="H195" s="23">
        <v>0.393</v>
      </c>
      <c r="I195" s="1">
        <v>432.6</v>
      </c>
      <c r="J195" s="1">
        <v>909.4</v>
      </c>
      <c r="K195" s="23">
        <v>0.375</v>
      </c>
      <c r="L195" s="1">
        <v>12392.0</v>
      </c>
      <c r="M195" s="1">
        <v>29905.0</v>
      </c>
      <c r="N195" s="1">
        <v>29.0</v>
      </c>
      <c r="O195" s="26">
        <v>16.03</v>
      </c>
      <c r="P195" s="26">
        <f t="shared" si="6"/>
        <v>0.393</v>
      </c>
    </row>
    <row r="196">
      <c r="A196" s="1">
        <v>377.0</v>
      </c>
      <c r="B196" s="1">
        <v>19562.0</v>
      </c>
      <c r="C196" s="26">
        <v>14.662</v>
      </c>
      <c r="D196" s="23">
        <v>17.078</v>
      </c>
      <c r="E196" s="23">
        <v>3.937</v>
      </c>
      <c r="F196" s="61">
        <v>1071.6</v>
      </c>
      <c r="G196" s="23">
        <v>0.7</v>
      </c>
      <c r="H196" s="23">
        <v>0.393</v>
      </c>
      <c r="I196" s="1">
        <v>432.6</v>
      </c>
      <c r="J196" s="1">
        <v>827.4</v>
      </c>
      <c r="K196" s="23">
        <v>0.375</v>
      </c>
      <c r="L196" s="1">
        <v>12392.0</v>
      </c>
      <c r="M196" s="1">
        <v>29905.0</v>
      </c>
      <c r="N196" s="1">
        <v>2.0</v>
      </c>
      <c r="O196" s="26">
        <v>16.03</v>
      </c>
      <c r="P196" s="26">
        <f t="shared" si="6"/>
        <v>0.393</v>
      </c>
    </row>
    <row r="197">
      <c r="A197" s="1">
        <v>379.0</v>
      </c>
      <c r="B197" s="1">
        <v>19562.0</v>
      </c>
      <c r="C197" s="26">
        <v>14.329</v>
      </c>
      <c r="D197" s="23">
        <v>16.698</v>
      </c>
      <c r="E197" s="23">
        <v>3.937</v>
      </c>
      <c r="F197" s="61">
        <v>1071.6</v>
      </c>
      <c r="G197" s="23">
        <v>0.81</v>
      </c>
      <c r="H197" s="23">
        <v>0.413</v>
      </c>
      <c r="I197" s="1">
        <v>432.6</v>
      </c>
      <c r="J197" s="1">
        <v>859.8</v>
      </c>
      <c r="K197" s="23">
        <v>0.375</v>
      </c>
      <c r="L197" s="1">
        <v>10388.0</v>
      </c>
      <c r="M197" s="1">
        <v>29905.0</v>
      </c>
      <c r="N197" s="1">
        <v>85.0</v>
      </c>
      <c r="O197" s="23">
        <v>16.008</v>
      </c>
      <c r="P197" s="26">
        <f t="shared" si="6"/>
        <v>0.413</v>
      </c>
    </row>
    <row r="198">
      <c r="A198" s="1">
        <v>381.0</v>
      </c>
      <c r="B198" s="1">
        <v>19562.0</v>
      </c>
      <c r="C198" s="26">
        <v>17.304</v>
      </c>
      <c r="D198" s="23">
        <v>17.069</v>
      </c>
      <c r="E198" s="23">
        <v>3.817</v>
      </c>
      <c r="F198" s="61">
        <v>1086.6</v>
      </c>
      <c r="G198" s="23">
        <v>0.81</v>
      </c>
      <c r="H198" s="23">
        <v>0.413</v>
      </c>
      <c r="I198" s="1">
        <v>432.6</v>
      </c>
      <c r="J198" s="1">
        <v>859.8</v>
      </c>
      <c r="K198" s="23">
        <v>0.615</v>
      </c>
      <c r="L198" s="1">
        <v>10388.0</v>
      </c>
      <c r="M198" s="1">
        <v>29905.0</v>
      </c>
      <c r="N198" s="1">
        <v>66.0</v>
      </c>
      <c r="O198" s="23">
        <v>16.008</v>
      </c>
      <c r="P198" s="26">
        <f t="shared" si="6"/>
        <v>0.413</v>
      </c>
    </row>
    <row r="199">
      <c r="A199" s="1">
        <v>383.0</v>
      </c>
      <c r="B199" s="1">
        <v>19562.0</v>
      </c>
      <c r="C199" s="26">
        <v>17.356</v>
      </c>
      <c r="D199" s="23">
        <v>18.324</v>
      </c>
      <c r="E199" s="23">
        <v>3.817</v>
      </c>
      <c r="F199" s="61">
        <v>1086.6</v>
      </c>
      <c r="G199" s="23">
        <v>0.81</v>
      </c>
      <c r="H199" s="23">
        <v>0.413</v>
      </c>
      <c r="I199" s="1">
        <v>432.6</v>
      </c>
      <c r="J199" s="1">
        <v>859.8</v>
      </c>
      <c r="K199" s="23">
        <v>0.615</v>
      </c>
      <c r="L199" s="1">
        <v>10388.0</v>
      </c>
      <c r="M199" s="1">
        <v>29905.0</v>
      </c>
      <c r="N199" s="1">
        <v>36.0</v>
      </c>
      <c r="O199" s="23">
        <v>16.078</v>
      </c>
      <c r="P199" s="26">
        <f t="shared" si="6"/>
        <v>0.413</v>
      </c>
    </row>
    <row r="200">
      <c r="A200" s="1">
        <v>385.0</v>
      </c>
      <c r="B200" s="1">
        <v>19562.0</v>
      </c>
      <c r="C200" s="26">
        <v>17.382</v>
      </c>
      <c r="D200" s="23">
        <v>18.324</v>
      </c>
      <c r="E200" s="23">
        <v>3.817</v>
      </c>
      <c r="F200" s="61">
        <v>1086.6</v>
      </c>
      <c r="G200" s="23">
        <v>0.806</v>
      </c>
      <c r="H200" s="23">
        <v>0.413</v>
      </c>
      <c r="I200" s="1">
        <v>432.6</v>
      </c>
      <c r="J200" s="1">
        <v>847.3</v>
      </c>
      <c r="K200" s="23">
        <v>0.635</v>
      </c>
      <c r="L200" s="1">
        <v>10388.0</v>
      </c>
      <c r="M200" s="1">
        <v>29905.0</v>
      </c>
      <c r="N200" s="1">
        <v>1.0</v>
      </c>
      <c r="O200" s="23">
        <v>16.078</v>
      </c>
      <c r="P200" s="26">
        <f t="shared" si="6"/>
        <v>0.413</v>
      </c>
    </row>
    <row r="201">
      <c r="A201" s="1" t="s">
        <v>526</v>
      </c>
      <c r="B201" s="1"/>
      <c r="C201" s="26"/>
      <c r="D201" s="23"/>
      <c r="E201" s="23"/>
      <c r="F201" s="1"/>
      <c r="G201" s="23"/>
      <c r="H201" s="23"/>
      <c r="I201" s="1"/>
      <c r="J201" s="1"/>
      <c r="P201" s="26" t="str">
        <f t="shared" si="6"/>
        <v/>
      </c>
    </row>
    <row r="202">
      <c r="A202" s="1">
        <v>387.0</v>
      </c>
      <c r="B202" s="1">
        <v>19562.0</v>
      </c>
      <c r="C202" s="23">
        <v>17.409</v>
      </c>
      <c r="D202" s="23">
        <v>18.276</v>
      </c>
      <c r="E202" s="23">
        <v>3.077</v>
      </c>
      <c r="F202" s="61">
        <v>1086.6</v>
      </c>
      <c r="G202" s="23">
        <v>0.806</v>
      </c>
      <c r="H202" s="23">
        <v>0.413</v>
      </c>
      <c r="I202" s="1">
        <v>432.6</v>
      </c>
      <c r="J202" s="1">
        <v>847.3</v>
      </c>
      <c r="K202" s="23">
        <v>0.655</v>
      </c>
      <c r="L202" s="1">
        <v>10388.0</v>
      </c>
      <c r="M202" s="1">
        <v>29905.0</v>
      </c>
      <c r="N202" s="1">
        <v>70.0</v>
      </c>
      <c r="O202" s="23">
        <v>16.078</v>
      </c>
      <c r="P202" s="26">
        <f t="shared" si="6"/>
        <v>0.413</v>
      </c>
    </row>
    <row r="203">
      <c r="A203" s="1">
        <v>389.0</v>
      </c>
      <c r="B203" s="1">
        <v>19562.0</v>
      </c>
      <c r="C203" s="26">
        <v>19.106</v>
      </c>
      <c r="D203" s="26">
        <v>19.958</v>
      </c>
      <c r="E203" s="23">
        <v>2.977</v>
      </c>
      <c r="F203" s="61">
        <v>1086.6</v>
      </c>
      <c r="G203" s="23">
        <v>0.706</v>
      </c>
      <c r="H203" s="23">
        <v>1.393</v>
      </c>
      <c r="I203" s="1">
        <v>432.6</v>
      </c>
      <c r="J203" s="1">
        <v>847.3</v>
      </c>
      <c r="K203" s="23">
        <v>0.655</v>
      </c>
      <c r="L203" s="1">
        <v>9614.0</v>
      </c>
      <c r="M203" s="1">
        <v>29905.0</v>
      </c>
      <c r="N203" s="1">
        <v>54.0</v>
      </c>
      <c r="O203" s="23">
        <v>16.071</v>
      </c>
      <c r="P203" s="26">
        <f t="shared" si="6"/>
        <v>1</v>
      </c>
    </row>
    <row r="204">
      <c r="A204" s="1">
        <v>391.0</v>
      </c>
      <c r="B204" s="1">
        <v>21381.0</v>
      </c>
      <c r="C204" s="26">
        <v>16.378</v>
      </c>
      <c r="D204" s="23">
        <v>21.046</v>
      </c>
      <c r="E204" s="23">
        <v>3.067</v>
      </c>
      <c r="F204" s="61">
        <v>1076.6</v>
      </c>
      <c r="G204" s="23">
        <v>0.706</v>
      </c>
      <c r="H204" s="23">
        <v>1.393</v>
      </c>
      <c r="I204" s="1">
        <v>432.6</v>
      </c>
      <c r="J204" s="1">
        <v>847.3</v>
      </c>
      <c r="K204" s="23">
        <v>0.675</v>
      </c>
      <c r="L204" s="1">
        <v>9614.0</v>
      </c>
      <c r="M204" s="1">
        <v>32687.0</v>
      </c>
      <c r="N204" s="1">
        <v>4.0</v>
      </c>
      <c r="O204" s="23">
        <v>15.921</v>
      </c>
      <c r="P204" s="26">
        <f t="shared" si="6"/>
        <v>1</v>
      </c>
    </row>
    <row r="205">
      <c r="A205" s="1">
        <v>393.0</v>
      </c>
      <c r="B205" s="1">
        <v>21381.0</v>
      </c>
      <c r="C205" s="23">
        <v>16.389</v>
      </c>
      <c r="D205" s="23">
        <v>21.1</v>
      </c>
      <c r="E205" s="23">
        <v>3.067</v>
      </c>
      <c r="F205" s="61">
        <v>1061.6</v>
      </c>
      <c r="G205" s="23">
        <v>0.728</v>
      </c>
      <c r="H205" s="23">
        <v>0.393</v>
      </c>
      <c r="I205" s="1">
        <v>432.6</v>
      </c>
      <c r="J205" s="1">
        <v>929.3</v>
      </c>
      <c r="K205" s="23">
        <v>0.695</v>
      </c>
      <c r="L205" s="1">
        <v>9614.0</v>
      </c>
      <c r="M205" s="1">
        <v>32687.0</v>
      </c>
      <c r="N205" s="1">
        <v>68.0</v>
      </c>
      <c r="O205" s="23">
        <v>16.131</v>
      </c>
      <c r="P205" s="26">
        <f t="shared" si="6"/>
        <v>0.393</v>
      </c>
    </row>
    <row r="206">
      <c r="A206" s="1">
        <v>395.0</v>
      </c>
      <c r="B206" s="1">
        <v>21381.0</v>
      </c>
      <c r="C206" s="23">
        <v>16.4</v>
      </c>
      <c r="D206" s="23">
        <v>21.248</v>
      </c>
      <c r="E206" s="23">
        <v>3.067</v>
      </c>
      <c r="F206" s="61">
        <v>1061.6</v>
      </c>
      <c r="G206" s="23">
        <v>0.728</v>
      </c>
      <c r="H206" s="23">
        <v>0.393</v>
      </c>
      <c r="I206" s="1">
        <v>432.6</v>
      </c>
      <c r="J206" s="1">
        <v>929.3</v>
      </c>
      <c r="K206" s="23">
        <v>0.695</v>
      </c>
      <c r="L206" s="1">
        <v>9614.0</v>
      </c>
      <c r="M206" s="1">
        <v>32687.0</v>
      </c>
      <c r="N206" s="1">
        <v>41.0</v>
      </c>
      <c r="O206" s="23">
        <v>16.131</v>
      </c>
      <c r="P206" s="26">
        <f t="shared" si="6"/>
        <v>0.393</v>
      </c>
    </row>
    <row r="207">
      <c r="A207" s="1">
        <v>397.0</v>
      </c>
      <c r="B207" s="1">
        <v>21381.0</v>
      </c>
      <c r="C207" s="23">
        <v>15.878</v>
      </c>
      <c r="D207" s="23">
        <v>22.431</v>
      </c>
      <c r="E207" s="23">
        <v>3.067</v>
      </c>
      <c r="F207" s="61">
        <v>1061.6</v>
      </c>
      <c r="G207" s="23">
        <v>0.724</v>
      </c>
      <c r="H207" s="23">
        <v>0.393</v>
      </c>
      <c r="I207" s="1">
        <v>432.6</v>
      </c>
      <c r="J207" s="1">
        <v>909.5</v>
      </c>
      <c r="K207" s="23">
        <v>0.715</v>
      </c>
      <c r="L207" s="1">
        <v>9614.0</v>
      </c>
      <c r="M207" s="1">
        <v>32687.0</v>
      </c>
      <c r="N207" s="1">
        <v>8.0</v>
      </c>
      <c r="O207" s="26">
        <v>16.2</v>
      </c>
      <c r="P207" s="26">
        <f t="shared" si="6"/>
        <v>0.393</v>
      </c>
    </row>
    <row r="208">
      <c r="A208" s="1">
        <v>399.0</v>
      </c>
      <c r="B208" s="1">
        <v>21381.0</v>
      </c>
      <c r="C208" s="26">
        <v>15.889</v>
      </c>
      <c r="D208" s="23">
        <v>22.431</v>
      </c>
      <c r="E208" s="23">
        <v>3.067</v>
      </c>
      <c r="F208" s="61">
        <v>1076.6</v>
      </c>
      <c r="G208" s="23">
        <v>0.73</v>
      </c>
      <c r="H208" s="23">
        <v>1.383</v>
      </c>
      <c r="I208" s="1">
        <v>432.6</v>
      </c>
      <c r="J208" s="1">
        <v>941.8</v>
      </c>
      <c r="K208" s="23">
        <v>0.735</v>
      </c>
      <c r="L208" s="1">
        <v>9614.0</v>
      </c>
      <c r="M208" s="1">
        <v>32687.0</v>
      </c>
      <c r="N208" s="1">
        <v>61.0</v>
      </c>
      <c r="O208" s="26">
        <v>16.2</v>
      </c>
      <c r="P208" s="26">
        <f t="shared" si="6"/>
        <v>1</v>
      </c>
    </row>
    <row r="209">
      <c r="A209" s="1">
        <v>401.0</v>
      </c>
      <c r="B209" s="1">
        <v>21381.0</v>
      </c>
      <c r="C209" s="26">
        <v>15.889</v>
      </c>
      <c r="D209" s="23">
        <v>22.431</v>
      </c>
      <c r="E209" s="23">
        <v>3.067</v>
      </c>
      <c r="F209" s="61">
        <v>1076.6</v>
      </c>
      <c r="G209" s="23">
        <v>0.73</v>
      </c>
      <c r="H209" s="23">
        <v>1.383</v>
      </c>
      <c r="I209" s="1">
        <v>432.6</v>
      </c>
      <c r="J209" s="1">
        <v>941.8</v>
      </c>
      <c r="K209" s="23">
        <v>0.735</v>
      </c>
      <c r="L209" s="1">
        <v>9614.0</v>
      </c>
      <c r="M209" s="1">
        <v>32687.0</v>
      </c>
      <c r="N209" s="1">
        <v>8.0</v>
      </c>
      <c r="O209" s="26">
        <v>16.2</v>
      </c>
      <c r="P209" s="26">
        <f t="shared" si="6"/>
        <v>1</v>
      </c>
    </row>
    <row r="210">
      <c r="A210" s="1">
        <v>403.0</v>
      </c>
      <c r="B210" s="1">
        <v>21381.0</v>
      </c>
      <c r="C210" s="23">
        <v>15.534</v>
      </c>
      <c r="D210" s="23">
        <v>20.678</v>
      </c>
      <c r="E210" s="23">
        <v>3.141</v>
      </c>
      <c r="F210" s="61">
        <v>1076.6</v>
      </c>
      <c r="G210" s="23">
        <v>0.73</v>
      </c>
      <c r="H210" s="23">
        <v>1.393</v>
      </c>
      <c r="I210" s="1">
        <v>432.6</v>
      </c>
      <c r="J210" s="1">
        <v>941.8</v>
      </c>
      <c r="K210" s="23">
        <v>0.755</v>
      </c>
      <c r="L210" s="1">
        <v>9614.0</v>
      </c>
      <c r="M210" s="1">
        <v>32687.0</v>
      </c>
      <c r="N210" s="1">
        <v>79.0</v>
      </c>
      <c r="O210" s="26">
        <v>16.19</v>
      </c>
      <c r="P210" s="26">
        <f t="shared" si="6"/>
        <v>1</v>
      </c>
    </row>
    <row r="211">
      <c r="A211" s="1">
        <v>405.0</v>
      </c>
      <c r="B211" s="1">
        <v>19562.0</v>
      </c>
      <c r="C211" s="23">
        <v>14.968</v>
      </c>
      <c r="D211" s="23">
        <v>18.618</v>
      </c>
      <c r="E211" s="23">
        <v>3.051</v>
      </c>
      <c r="F211" s="61">
        <v>1076.6</v>
      </c>
      <c r="G211" s="23">
        <v>0.73</v>
      </c>
      <c r="H211" s="23">
        <v>0.393</v>
      </c>
      <c r="I211" s="1">
        <v>432.6</v>
      </c>
      <c r="J211" s="1">
        <v>941.8</v>
      </c>
      <c r="K211" s="23">
        <v>0.775</v>
      </c>
      <c r="L211" s="1">
        <v>9614.0</v>
      </c>
      <c r="M211" s="1">
        <v>29905.0</v>
      </c>
      <c r="N211" s="1">
        <v>55.0</v>
      </c>
      <c r="O211" s="26">
        <v>16.19</v>
      </c>
      <c r="P211" s="26">
        <f t="shared" si="6"/>
        <v>0.393</v>
      </c>
    </row>
    <row r="212">
      <c r="A212" s="1">
        <v>407.0</v>
      </c>
      <c r="B212" s="1">
        <v>19336.0</v>
      </c>
      <c r="C212" s="23">
        <v>14.813</v>
      </c>
      <c r="D212" s="23">
        <v>18.368</v>
      </c>
      <c r="E212" s="23">
        <v>3.051</v>
      </c>
      <c r="F212" s="61">
        <v>1076.6</v>
      </c>
      <c r="G212" s="23">
        <v>0.728</v>
      </c>
      <c r="H212" s="23">
        <v>0.393</v>
      </c>
      <c r="I212" s="1">
        <v>432.6</v>
      </c>
      <c r="J212" s="1">
        <v>929.3</v>
      </c>
      <c r="K212" s="23">
        <v>0.775</v>
      </c>
      <c r="L212" s="1">
        <v>9614.0</v>
      </c>
      <c r="M212" s="1">
        <v>29905.0</v>
      </c>
      <c r="N212" s="1">
        <v>8.0</v>
      </c>
      <c r="O212" s="23">
        <v>15.979</v>
      </c>
      <c r="P212" s="26">
        <f t="shared" si="6"/>
        <v>0.393</v>
      </c>
    </row>
    <row r="213">
      <c r="A213" s="1">
        <v>409.0</v>
      </c>
      <c r="B213" s="1">
        <v>19336.0</v>
      </c>
      <c r="C213" s="23">
        <v>14.28</v>
      </c>
      <c r="D213" s="23">
        <v>16.912</v>
      </c>
      <c r="E213" s="23">
        <v>3.051</v>
      </c>
      <c r="F213" s="61">
        <v>1076.6</v>
      </c>
      <c r="G213" s="23">
        <v>0.706</v>
      </c>
      <c r="H213" s="23">
        <v>0.393</v>
      </c>
      <c r="I213" s="1">
        <v>432.6</v>
      </c>
      <c r="J213" s="1">
        <v>847.3</v>
      </c>
      <c r="K213" s="23">
        <v>0.795</v>
      </c>
      <c r="L213" s="1">
        <v>9614.0</v>
      </c>
      <c r="M213" s="1">
        <v>29905.0</v>
      </c>
      <c r="N213" s="1">
        <v>82.0</v>
      </c>
      <c r="O213" s="23">
        <v>15.979</v>
      </c>
      <c r="P213" s="26">
        <f t="shared" si="6"/>
        <v>0.393</v>
      </c>
    </row>
    <row r="214">
      <c r="A214" s="1">
        <v>411.0</v>
      </c>
      <c r="B214" s="1">
        <v>18897.0</v>
      </c>
      <c r="C214" s="26">
        <v>14.912</v>
      </c>
      <c r="D214" s="23">
        <v>17.621</v>
      </c>
      <c r="E214" s="23">
        <v>2.801</v>
      </c>
      <c r="F214" s="61">
        <v>1076.6</v>
      </c>
      <c r="G214" s="23">
        <v>0.684</v>
      </c>
      <c r="H214" s="23">
        <v>0.393</v>
      </c>
      <c r="I214" s="1">
        <v>432.6</v>
      </c>
      <c r="J214" s="1">
        <v>773.0</v>
      </c>
      <c r="K214" s="23">
        <v>0.375</v>
      </c>
      <c r="L214" s="1">
        <v>11618.0</v>
      </c>
      <c r="M214" s="1">
        <v>29905.0</v>
      </c>
      <c r="N214" s="1">
        <v>52.0</v>
      </c>
      <c r="O214" s="23">
        <v>15.886</v>
      </c>
      <c r="P214" s="26">
        <f t="shared" si="6"/>
        <v>0.393</v>
      </c>
    </row>
    <row r="215">
      <c r="A215" s="1">
        <v>413.0</v>
      </c>
      <c r="B215" s="1">
        <v>19562.0</v>
      </c>
      <c r="C215" s="26">
        <v>14.424</v>
      </c>
      <c r="D215" s="23">
        <v>17.688</v>
      </c>
      <c r="E215" s="23">
        <v>2.838</v>
      </c>
      <c r="F215" s="61">
        <v>1076.6</v>
      </c>
      <c r="G215" s="23">
        <v>0.684</v>
      </c>
      <c r="H215" s="23">
        <v>0.383</v>
      </c>
      <c r="I215" s="1">
        <v>432.6</v>
      </c>
      <c r="J215" s="1">
        <v>773.0</v>
      </c>
      <c r="K215" s="23">
        <v>0.375</v>
      </c>
      <c r="L215" s="1">
        <v>11618.0</v>
      </c>
      <c r="M215" s="1">
        <v>29905.0</v>
      </c>
      <c r="N215" s="1">
        <v>26.0</v>
      </c>
      <c r="O215" s="23">
        <v>15.886</v>
      </c>
      <c r="P215" s="26">
        <f t="shared" si="6"/>
        <v>0.383</v>
      </c>
    </row>
    <row r="216">
      <c r="A216" s="1">
        <v>415.0</v>
      </c>
      <c r="B216" s="1">
        <v>19562.0</v>
      </c>
      <c r="C216" s="23">
        <v>14.235</v>
      </c>
      <c r="D216" s="23">
        <v>17.298</v>
      </c>
      <c r="E216" s="23">
        <v>2.838</v>
      </c>
      <c r="F216" s="61">
        <v>1061.6</v>
      </c>
      <c r="G216" s="23">
        <v>0.684</v>
      </c>
      <c r="H216" s="23">
        <v>0.383</v>
      </c>
      <c r="I216" s="1">
        <v>432.6</v>
      </c>
      <c r="J216" s="1">
        <v>773.0</v>
      </c>
      <c r="K216" s="23">
        <v>0.375</v>
      </c>
      <c r="L216" s="1">
        <v>11618.0</v>
      </c>
      <c r="M216" s="1">
        <v>29905.0</v>
      </c>
      <c r="N216" s="1">
        <v>4.0</v>
      </c>
      <c r="O216" s="23">
        <v>15.886</v>
      </c>
      <c r="P216" s="26">
        <f t="shared" si="6"/>
        <v>0.383</v>
      </c>
    </row>
    <row r="217">
      <c r="A217" s="1">
        <v>417.0</v>
      </c>
      <c r="B217" s="1">
        <v>19562.0</v>
      </c>
      <c r="C217" s="26">
        <v>14.213</v>
      </c>
      <c r="D217" s="23">
        <v>17.3</v>
      </c>
      <c r="E217" s="23">
        <v>2.875</v>
      </c>
      <c r="F217" s="61">
        <v>1061.6</v>
      </c>
      <c r="G217" s="23">
        <v>0.684</v>
      </c>
      <c r="H217" s="23">
        <v>0.393</v>
      </c>
      <c r="I217" s="1">
        <v>432.6</v>
      </c>
      <c r="J217" s="1">
        <v>773.0</v>
      </c>
      <c r="K217" s="23">
        <v>0.375</v>
      </c>
      <c r="L217" s="1">
        <v>11618.0</v>
      </c>
      <c r="M217" s="1">
        <v>29905.0</v>
      </c>
      <c r="N217" s="1">
        <v>88.0</v>
      </c>
      <c r="O217" s="23">
        <v>15.884</v>
      </c>
      <c r="P217" s="26">
        <f t="shared" si="6"/>
        <v>0.393</v>
      </c>
    </row>
    <row r="218">
      <c r="A218" s="1">
        <v>419.0</v>
      </c>
      <c r="B218" s="1">
        <v>19562.0</v>
      </c>
      <c r="C218" s="26">
        <v>14.713</v>
      </c>
      <c r="D218" s="23">
        <v>17.3</v>
      </c>
      <c r="E218" s="23">
        <v>2.875</v>
      </c>
      <c r="F218" s="61">
        <v>1071.6</v>
      </c>
      <c r="G218" s="23">
        <v>0.684</v>
      </c>
      <c r="H218" s="23">
        <v>0.393</v>
      </c>
      <c r="I218" s="1">
        <v>432.6</v>
      </c>
      <c r="J218" s="1">
        <v>773.0</v>
      </c>
      <c r="K218" s="23">
        <v>0.375</v>
      </c>
      <c r="L218" s="1">
        <v>11618.0</v>
      </c>
      <c r="M218" s="1">
        <v>29905.0</v>
      </c>
      <c r="N218" s="1">
        <v>66.0</v>
      </c>
      <c r="O218" s="23">
        <v>16.034</v>
      </c>
      <c r="P218" s="26">
        <f t="shared" si="6"/>
        <v>0.393</v>
      </c>
    </row>
    <row r="219">
      <c r="A219" s="1">
        <v>421.0</v>
      </c>
      <c r="B219" s="1">
        <v>19562.0</v>
      </c>
      <c r="C219" s="23">
        <v>14.357</v>
      </c>
      <c r="D219" s="26">
        <v>16.908</v>
      </c>
      <c r="E219" s="23">
        <v>2.912</v>
      </c>
      <c r="F219" s="61">
        <v>1086.6</v>
      </c>
      <c r="G219" s="23">
        <v>0.687</v>
      </c>
      <c r="H219" s="23">
        <v>0.393</v>
      </c>
      <c r="I219" s="1">
        <v>432.6</v>
      </c>
      <c r="J219" s="1">
        <v>785.5</v>
      </c>
      <c r="K219" s="23">
        <v>0.375</v>
      </c>
      <c r="L219" s="1">
        <v>11618.0</v>
      </c>
      <c r="M219" s="1">
        <v>29905.0</v>
      </c>
      <c r="N219" s="1">
        <v>45.0</v>
      </c>
      <c r="O219" s="23">
        <v>16.015</v>
      </c>
      <c r="P219" s="26">
        <f t="shared" si="6"/>
        <v>0.393</v>
      </c>
    </row>
    <row r="220">
      <c r="A220" s="1">
        <v>423.0</v>
      </c>
      <c r="B220" s="1">
        <v>19562.0</v>
      </c>
      <c r="C220" s="23">
        <v>14.679</v>
      </c>
      <c r="D220" s="23">
        <v>17.298</v>
      </c>
      <c r="E220" s="23">
        <v>2.912</v>
      </c>
      <c r="F220" s="61">
        <v>1086.6</v>
      </c>
      <c r="G220" s="23">
        <v>0.687</v>
      </c>
      <c r="H220" s="23">
        <v>0.393</v>
      </c>
      <c r="I220" s="1">
        <v>432.6</v>
      </c>
      <c r="J220" s="1">
        <v>785.5</v>
      </c>
      <c r="K220" s="23">
        <v>0.375</v>
      </c>
      <c r="L220" s="1">
        <v>11618.0</v>
      </c>
      <c r="M220" s="1">
        <v>29905.0</v>
      </c>
      <c r="N220" s="1">
        <v>25.0</v>
      </c>
      <c r="O220" s="23">
        <v>16.015</v>
      </c>
      <c r="P220" s="26">
        <f t="shared" si="6"/>
        <v>0.393</v>
      </c>
    </row>
    <row r="221">
      <c r="A221" s="1">
        <v>425.0</v>
      </c>
      <c r="B221" s="1">
        <v>21381.0</v>
      </c>
      <c r="C221" s="23">
        <v>14.895</v>
      </c>
      <c r="D221" s="23">
        <v>17.953</v>
      </c>
      <c r="E221" s="23">
        <v>2.912</v>
      </c>
      <c r="F221" s="61">
        <v>1086.6</v>
      </c>
      <c r="G221" s="23">
        <v>0.712</v>
      </c>
      <c r="H221" s="23">
        <v>0.393</v>
      </c>
      <c r="I221" s="1">
        <v>432.6</v>
      </c>
      <c r="J221" s="1">
        <v>867.5</v>
      </c>
      <c r="K221" s="23">
        <v>0.375</v>
      </c>
      <c r="L221" s="1">
        <v>12392.0</v>
      </c>
      <c r="M221" s="1">
        <v>32687.0</v>
      </c>
      <c r="N221" s="1">
        <v>94.0</v>
      </c>
      <c r="O221" s="23">
        <v>16.036</v>
      </c>
      <c r="P221" s="26">
        <f t="shared" si="6"/>
        <v>0.393</v>
      </c>
    </row>
    <row r="222">
      <c r="A222" s="1">
        <v>427.0</v>
      </c>
      <c r="B222" s="1">
        <v>23201.0</v>
      </c>
      <c r="C222" s="23">
        <v>15.672</v>
      </c>
      <c r="D222" s="23">
        <v>20.546</v>
      </c>
      <c r="E222" s="23">
        <v>3.002</v>
      </c>
      <c r="F222" s="61">
        <v>1086.6</v>
      </c>
      <c r="G222" s="23">
        <v>0.708</v>
      </c>
      <c r="H222" s="23">
        <v>0.393</v>
      </c>
      <c r="I222" s="1">
        <v>432.6</v>
      </c>
      <c r="J222" s="1">
        <v>855.0</v>
      </c>
      <c r="K222" s="23">
        <v>0.375</v>
      </c>
      <c r="L222" s="1">
        <v>12392.0</v>
      </c>
      <c r="M222" s="1">
        <v>35468.0</v>
      </c>
      <c r="N222" s="1">
        <v>53.0</v>
      </c>
      <c r="O222" s="23">
        <v>16.036</v>
      </c>
      <c r="P222" s="26">
        <f t="shared" si="6"/>
        <v>0.393</v>
      </c>
    </row>
    <row r="223">
      <c r="A223" s="1">
        <v>429.0</v>
      </c>
      <c r="B223" s="1">
        <v>24111.0</v>
      </c>
      <c r="C223" s="23">
        <v>16.283</v>
      </c>
      <c r="D223" s="23">
        <v>19.873</v>
      </c>
      <c r="E223" s="23">
        <v>3.279</v>
      </c>
      <c r="F223" s="61">
        <v>1086.6</v>
      </c>
      <c r="G223" s="23">
        <v>0.708</v>
      </c>
      <c r="H223" s="23">
        <v>0.385</v>
      </c>
      <c r="I223" s="1">
        <v>432.6</v>
      </c>
      <c r="J223" s="1">
        <v>855.0</v>
      </c>
      <c r="K223" s="23">
        <v>0.375</v>
      </c>
      <c r="L223" s="1">
        <v>12392.0</v>
      </c>
      <c r="M223" s="1">
        <v>36859.0</v>
      </c>
      <c r="N223" s="1">
        <v>17.0</v>
      </c>
      <c r="O223" s="23">
        <v>16.036</v>
      </c>
      <c r="P223" s="26">
        <f t="shared" si="6"/>
        <v>0.385</v>
      </c>
    </row>
    <row r="224">
      <c r="A224" s="1">
        <v>432.0</v>
      </c>
      <c r="B224" s="1">
        <v>24111.0</v>
      </c>
      <c r="C224" s="23">
        <v>16.283</v>
      </c>
      <c r="D224" s="23">
        <v>19.935</v>
      </c>
      <c r="E224" s="26">
        <v>3.443</v>
      </c>
      <c r="F224" s="61">
        <v>1086.6</v>
      </c>
      <c r="G224" s="23">
        <v>0.708</v>
      </c>
      <c r="H224" s="23">
        <v>0.375</v>
      </c>
      <c r="I224" s="1">
        <v>432.6</v>
      </c>
      <c r="J224" s="1">
        <v>855.0</v>
      </c>
      <c r="K224" s="23">
        <v>0.375</v>
      </c>
      <c r="L224" s="1">
        <v>12392.0</v>
      </c>
      <c r="M224" s="1">
        <v>36859.0</v>
      </c>
      <c r="N224" s="1">
        <v>76.0</v>
      </c>
      <c r="O224" s="23">
        <v>16.317</v>
      </c>
      <c r="P224" s="26">
        <f t="shared" si="6"/>
        <v>0.375</v>
      </c>
    </row>
    <row r="225">
      <c r="A225" s="1">
        <v>434.0</v>
      </c>
      <c r="B225" s="1">
        <v>24111.0</v>
      </c>
      <c r="C225" s="23">
        <v>15.95</v>
      </c>
      <c r="D225" s="23">
        <v>19.56</v>
      </c>
      <c r="E225" s="23">
        <v>3.443</v>
      </c>
      <c r="F225" s="61">
        <v>1061.6</v>
      </c>
      <c r="G225" s="23">
        <v>0.708</v>
      </c>
      <c r="H225" s="23">
        <v>0.375</v>
      </c>
      <c r="I225" s="1">
        <v>432.6</v>
      </c>
      <c r="J225" s="1">
        <v>855.0</v>
      </c>
      <c r="K225" s="23">
        <v>0.375</v>
      </c>
      <c r="L225" s="1">
        <v>12392.0</v>
      </c>
      <c r="M225" s="1">
        <v>36859.0</v>
      </c>
      <c r="N225" s="1">
        <v>9.0</v>
      </c>
      <c r="O225" s="23">
        <v>16.167</v>
      </c>
      <c r="P225" s="26">
        <f t="shared" si="6"/>
        <v>0.375</v>
      </c>
    </row>
    <row r="226">
      <c r="A226" s="1">
        <v>436.0</v>
      </c>
      <c r="B226" s="1">
        <v>24111.0</v>
      </c>
      <c r="C226" s="23">
        <v>15.95</v>
      </c>
      <c r="D226" s="23">
        <v>19.987</v>
      </c>
      <c r="E226" s="23">
        <v>3.443</v>
      </c>
      <c r="F226" s="61">
        <v>1061.6</v>
      </c>
      <c r="G226" s="23">
        <v>0.708</v>
      </c>
      <c r="H226" s="23">
        <v>0.385</v>
      </c>
      <c r="I226" s="1">
        <v>432.6</v>
      </c>
      <c r="J226" s="1">
        <v>855.0</v>
      </c>
      <c r="K226" s="23">
        <v>0.375</v>
      </c>
      <c r="L226" s="1">
        <v>12392.0</v>
      </c>
      <c r="M226" s="1">
        <v>36859.0</v>
      </c>
      <c r="N226" s="1">
        <v>66.0</v>
      </c>
      <c r="O226" s="23">
        <v>16.149</v>
      </c>
      <c r="P226" s="26">
        <f t="shared" si="6"/>
        <v>0.385</v>
      </c>
    </row>
    <row r="227">
      <c r="A227" s="1">
        <v>438.0</v>
      </c>
      <c r="B227" s="1">
        <v>24111.0</v>
      </c>
      <c r="C227" s="26">
        <v>16.283</v>
      </c>
      <c r="D227" s="23">
        <v>20.374</v>
      </c>
      <c r="E227" s="23">
        <v>3.484</v>
      </c>
      <c r="F227" s="61">
        <v>1061.6</v>
      </c>
      <c r="G227" s="23">
        <v>0.702</v>
      </c>
      <c r="H227" s="23">
        <v>0.374</v>
      </c>
      <c r="I227" s="1">
        <v>432.6</v>
      </c>
      <c r="J227" s="1">
        <v>832.5</v>
      </c>
      <c r="K227" s="23">
        <v>0.375</v>
      </c>
      <c r="L227" s="1">
        <v>12392.0</v>
      </c>
      <c r="M227" s="1">
        <v>36859.0</v>
      </c>
      <c r="N227" s="1">
        <v>13.0</v>
      </c>
      <c r="O227" s="23">
        <v>16.149</v>
      </c>
      <c r="P227" s="26">
        <f t="shared" si="6"/>
        <v>0.374</v>
      </c>
    </row>
    <row r="228">
      <c r="A228" s="1">
        <v>440.0</v>
      </c>
      <c r="B228" s="1">
        <v>24111.0</v>
      </c>
      <c r="C228" s="23">
        <v>16.283</v>
      </c>
      <c r="D228" s="23">
        <v>19.374</v>
      </c>
      <c r="E228" s="23">
        <v>3.484</v>
      </c>
      <c r="F228" s="61">
        <v>1061.6</v>
      </c>
      <c r="G228" s="23">
        <v>0.702</v>
      </c>
      <c r="H228" s="23">
        <v>0.374</v>
      </c>
      <c r="I228" s="1">
        <v>432.6</v>
      </c>
      <c r="J228" s="1">
        <v>832.5</v>
      </c>
      <c r="K228" s="23">
        <v>0.375</v>
      </c>
      <c r="L228" s="1">
        <v>12392.0</v>
      </c>
      <c r="M228" s="1">
        <v>36859.0</v>
      </c>
      <c r="N228" s="1">
        <v>55.0</v>
      </c>
      <c r="O228" s="23">
        <v>16.149</v>
      </c>
      <c r="P228" s="26">
        <f t="shared" si="6"/>
        <v>0.374</v>
      </c>
    </row>
    <row r="229">
      <c r="A229" s="1">
        <v>442.0</v>
      </c>
      <c r="B229" s="1">
        <v>22291.0</v>
      </c>
      <c r="C229" s="23">
        <v>15.017</v>
      </c>
      <c r="D229" s="23">
        <v>18.047</v>
      </c>
      <c r="E229" s="23">
        <v>3.854</v>
      </c>
      <c r="F229" s="61">
        <v>1071.6</v>
      </c>
      <c r="G229" s="23">
        <v>0.687</v>
      </c>
      <c r="H229" s="23">
        <v>0.393</v>
      </c>
      <c r="I229" s="1">
        <v>432.6</v>
      </c>
      <c r="J229" s="1">
        <v>785.5</v>
      </c>
      <c r="K229" s="23">
        <v>0.375</v>
      </c>
      <c r="L229" s="1">
        <v>12392.0</v>
      </c>
      <c r="M229" s="1">
        <v>34078.0</v>
      </c>
      <c r="N229" s="1">
        <v>32.0</v>
      </c>
      <c r="O229" s="23">
        <v>16.199</v>
      </c>
      <c r="P229" s="26">
        <f t="shared" si="6"/>
        <v>0.393</v>
      </c>
    </row>
    <row r="230">
      <c r="A230" s="1">
        <v>444.0</v>
      </c>
      <c r="B230" s="1">
        <v>19562.0</v>
      </c>
      <c r="C230" s="23">
        <v>17.291</v>
      </c>
      <c r="D230" s="23">
        <v>17.615</v>
      </c>
      <c r="E230" s="23">
        <v>3.68</v>
      </c>
      <c r="F230" s="61">
        <v>1086.6</v>
      </c>
      <c r="G230" s="23">
        <v>0.687</v>
      </c>
      <c r="H230" s="23">
        <v>0.393</v>
      </c>
      <c r="I230" s="1">
        <v>432.6</v>
      </c>
      <c r="J230" s="1">
        <v>785.5</v>
      </c>
      <c r="K230" s="23">
        <v>0.375</v>
      </c>
      <c r="L230" s="1">
        <v>12392.0</v>
      </c>
      <c r="M230" s="1">
        <v>29905.0</v>
      </c>
      <c r="N230" s="1">
        <v>83.0</v>
      </c>
      <c r="O230" s="23">
        <v>16.199</v>
      </c>
      <c r="P230" s="26">
        <f t="shared" si="6"/>
        <v>0.393</v>
      </c>
    </row>
    <row r="231">
      <c r="A231" s="1">
        <v>446.0</v>
      </c>
      <c r="B231" s="1">
        <v>19562.0</v>
      </c>
      <c r="C231" s="23">
        <v>16.976</v>
      </c>
      <c r="D231" s="23">
        <v>17.321</v>
      </c>
      <c r="E231" s="23">
        <v>3.622</v>
      </c>
      <c r="F231" s="61">
        <v>1086.6</v>
      </c>
      <c r="G231" s="23">
        <v>0.687</v>
      </c>
      <c r="H231" s="23">
        <v>0.383</v>
      </c>
      <c r="I231" s="1">
        <v>432.6</v>
      </c>
      <c r="J231" s="1">
        <v>785.5</v>
      </c>
      <c r="K231" s="23">
        <v>0.615</v>
      </c>
      <c r="L231" s="1">
        <v>12392.0</v>
      </c>
      <c r="M231" s="1">
        <v>29905.0</v>
      </c>
      <c r="N231" s="1">
        <v>50.0</v>
      </c>
      <c r="O231" s="23">
        <v>16.012</v>
      </c>
      <c r="P231" s="26">
        <f t="shared" si="6"/>
        <v>0.383</v>
      </c>
    </row>
    <row r="232">
      <c r="A232" s="1">
        <v>448.0</v>
      </c>
      <c r="B232" s="1">
        <v>19562.0</v>
      </c>
      <c r="C232" s="23">
        <v>16.976</v>
      </c>
      <c r="D232" s="26">
        <v>17.321</v>
      </c>
      <c r="E232" s="23">
        <v>3.622</v>
      </c>
      <c r="F232" s="61">
        <v>1086.6</v>
      </c>
      <c r="G232" s="23">
        <v>0.687</v>
      </c>
      <c r="H232" s="23">
        <v>0.383</v>
      </c>
      <c r="I232" s="1">
        <v>432.6</v>
      </c>
      <c r="J232" s="1">
        <v>785.5</v>
      </c>
      <c r="K232" s="23">
        <v>0.635</v>
      </c>
      <c r="L232" s="1">
        <v>12392.0</v>
      </c>
      <c r="M232" s="1">
        <v>29905.0</v>
      </c>
      <c r="N232" s="1">
        <v>39.0</v>
      </c>
      <c r="O232" s="23">
        <v>16.012</v>
      </c>
      <c r="P232" s="26">
        <f t="shared" si="6"/>
        <v>0.383</v>
      </c>
    </row>
    <row r="233">
      <c r="A233" s="1">
        <v>450.0</v>
      </c>
      <c r="B233" s="1">
        <v>19562.0</v>
      </c>
      <c r="C233" s="23">
        <v>16.976</v>
      </c>
      <c r="D233" s="23">
        <v>16.671</v>
      </c>
      <c r="E233" s="23">
        <v>3.662</v>
      </c>
      <c r="F233" s="61">
        <v>1086.6</v>
      </c>
      <c r="G233" s="23">
        <v>0.684</v>
      </c>
      <c r="H233" s="23">
        <v>0.383</v>
      </c>
      <c r="I233" s="1">
        <v>432.6</v>
      </c>
      <c r="J233" s="1">
        <v>773.0</v>
      </c>
      <c r="K233" s="23">
        <v>0.635</v>
      </c>
      <c r="L233" s="1">
        <v>12392.0</v>
      </c>
      <c r="M233" s="1">
        <v>29905.0</v>
      </c>
      <c r="N233" s="1">
        <v>11.0</v>
      </c>
      <c r="O233" s="26">
        <v>15.99</v>
      </c>
      <c r="P233" s="26">
        <f t="shared" si="6"/>
        <v>0.383</v>
      </c>
    </row>
    <row r="234">
      <c r="A234" s="1">
        <v>452.0</v>
      </c>
      <c r="B234" s="1">
        <v>19562.0</v>
      </c>
      <c r="C234" s="23">
        <v>17.002</v>
      </c>
      <c r="D234" s="23">
        <v>16.654</v>
      </c>
      <c r="E234" s="23">
        <v>3.097</v>
      </c>
      <c r="F234" s="61">
        <v>1086.6</v>
      </c>
      <c r="G234" s="23">
        <v>0.684</v>
      </c>
      <c r="H234" s="23">
        <v>0.393</v>
      </c>
      <c r="I234" s="1">
        <v>432.6</v>
      </c>
      <c r="J234" s="1">
        <v>773.0</v>
      </c>
      <c r="K234" s="23">
        <v>0.655</v>
      </c>
      <c r="L234" s="1">
        <v>12392.0</v>
      </c>
      <c r="M234" s="1">
        <v>29905.0</v>
      </c>
      <c r="N234" s="1">
        <v>92.0</v>
      </c>
      <c r="O234" s="26">
        <v>15.99</v>
      </c>
      <c r="P234" s="26">
        <f t="shared" si="6"/>
        <v>0.393</v>
      </c>
    </row>
    <row r="235">
      <c r="A235" s="1">
        <v>454.0</v>
      </c>
      <c r="B235" s="1">
        <v>19562.0</v>
      </c>
      <c r="C235" s="23">
        <v>17.422</v>
      </c>
      <c r="D235" s="23">
        <v>17.029</v>
      </c>
      <c r="E235" s="23">
        <v>3.097</v>
      </c>
      <c r="F235" s="61">
        <v>1071.6</v>
      </c>
      <c r="G235" s="23">
        <v>0.684</v>
      </c>
      <c r="H235" s="23">
        <v>0.393</v>
      </c>
      <c r="I235" s="1">
        <v>432.6</v>
      </c>
      <c r="J235" s="1">
        <v>773.0</v>
      </c>
      <c r="K235" s="23">
        <v>0.675</v>
      </c>
      <c r="L235" s="1">
        <v>12392.0</v>
      </c>
      <c r="M235" s="1">
        <v>29905.0</v>
      </c>
      <c r="N235" s="1">
        <v>70.0</v>
      </c>
      <c r="O235" s="26">
        <v>15.99</v>
      </c>
      <c r="P235" s="26">
        <f t="shared" si="6"/>
        <v>0.393</v>
      </c>
    </row>
    <row r="236">
      <c r="A236" s="1">
        <v>456.0</v>
      </c>
      <c r="B236" s="1">
        <v>19562.0</v>
      </c>
      <c r="C236" s="23">
        <v>14.784</v>
      </c>
      <c r="D236" s="23">
        <v>17.006</v>
      </c>
      <c r="E236" s="23">
        <v>2.677</v>
      </c>
      <c r="F236" s="61">
        <v>1071.6</v>
      </c>
      <c r="G236" s="23">
        <v>0.684</v>
      </c>
      <c r="H236" s="23">
        <v>0.393</v>
      </c>
      <c r="I236" s="1">
        <v>432.6</v>
      </c>
      <c r="J236" s="1">
        <v>773.0</v>
      </c>
      <c r="K236" s="23">
        <v>0.675</v>
      </c>
      <c r="L236" s="1">
        <v>12392.0</v>
      </c>
      <c r="M236" s="1">
        <v>29905.0</v>
      </c>
      <c r="N236" s="1">
        <v>41.0</v>
      </c>
      <c r="O236" s="23">
        <v>16.008</v>
      </c>
      <c r="P236" s="26">
        <f t="shared" si="6"/>
        <v>0.393</v>
      </c>
    </row>
    <row r="237">
      <c r="A237" s="1">
        <v>458.0</v>
      </c>
      <c r="B237" s="1">
        <v>18897.0</v>
      </c>
      <c r="C237" s="23">
        <v>15.284</v>
      </c>
      <c r="D237" s="23">
        <v>17.569</v>
      </c>
      <c r="E237" s="23">
        <v>2.677</v>
      </c>
      <c r="F237" s="61">
        <v>1071.6</v>
      </c>
      <c r="G237" s="23">
        <v>0.708</v>
      </c>
      <c r="H237" s="23">
        <v>0.393</v>
      </c>
      <c r="I237" s="1">
        <v>432.6</v>
      </c>
      <c r="J237" s="1">
        <v>855.0</v>
      </c>
      <c r="K237" s="23">
        <v>0.695</v>
      </c>
      <c r="L237" s="1">
        <v>12392.0</v>
      </c>
      <c r="M237" s="1">
        <v>29905.0</v>
      </c>
      <c r="N237" s="1">
        <v>30.0</v>
      </c>
      <c r="O237" s="23">
        <v>16.008</v>
      </c>
      <c r="P237" s="26">
        <f t="shared" si="6"/>
        <v>0.393</v>
      </c>
    </row>
    <row r="238">
      <c r="A238" s="1">
        <v>460.0</v>
      </c>
      <c r="B238" s="1">
        <v>18897.0</v>
      </c>
      <c r="C238" s="23">
        <v>14.762</v>
      </c>
      <c r="D238" s="23">
        <v>18.304</v>
      </c>
      <c r="E238" s="23">
        <v>3.197</v>
      </c>
      <c r="F238" s="61">
        <v>1086.6</v>
      </c>
      <c r="G238" s="23">
        <v>0.714</v>
      </c>
      <c r="H238" s="23">
        <v>0.393</v>
      </c>
      <c r="I238" s="1">
        <v>432.6</v>
      </c>
      <c r="J238" s="1">
        <v>874.9</v>
      </c>
      <c r="K238" s="23">
        <v>0.715</v>
      </c>
      <c r="L238" s="1">
        <v>10388.0</v>
      </c>
      <c r="M238" s="1">
        <v>29905.0</v>
      </c>
      <c r="N238" s="1">
        <v>90.0</v>
      </c>
      <c r="O238" s="23">
        <v>16.074</v>
      </c>
      <c r="P238" s="26">
        <f t="shared" si="6"/>
        <v>0.393</v>
      </c>
    </row>
    <row r="239">
      <c r="A239" s="1">
        <v>462.0</v>
      </c>
      <c r="B239" s="1">
        <v>21381.0</v>
      </c>
      <c r="C239" s="23">
        <v>15.361</v>
      </c>
      <c r="D239" s="23">
        <v>19.023</v>
      </c>
      <c r="E239" s="23">
        <v>3.271</v>
      </c>
      <c r="F239" s="61">
        <v>1086.6</v>
      </c>
      <c r="G239" s="23">
        <v>0.714</v>
      </c>
      <c r="H239" s="23">
        <v>1.393</v>
      </c>
      <c r="I239" s="1">
        <v>432.6</v>
      </c>
      <c r="J239" s="1">
        <v>874.9</v>
      </c>
      <c r="K239" s="23">
        <v>0.715</v>
      </c>
      <c r="L239" s="1">
        <v>10388.0</v>
      </c>
      <c r="M239" s="1">
        <v>32687.0</v>
      </c>
      <c r="N239" s="1">
        <v>64.0</v>
      </c>
      <c r="O239" s="23">
        <v>16.074</v>
      </c>
      <c r="P239" s="26">
        <f t="shared" si="6"/>
        <v>1</v>
      </c>
    </row>
    <row r="240">
      <c r="A240" s="1">
        <v>464.0</v>
      </c>
      <c r="B240" s="1">
        <v>21381.0</v>
      </c>
      <c r="C240" s="23">
        <v>15.539</v>
      </c>
      <c r="D240" s="23">
        <v>19.267</v>
      </c>
      <c r="E240" s="23">
        <v>3.361</v>
      </c>
      <c r="F240" s="61">
        <v>1076.6</v>
      </c>
      <c r="G240" s="23">
        <v>0.718</v>
      </c>
      <c r="H240" s="23">
        <v>1.393</v>
      </c>
      <c r="I240" s="1">
        <v>432.6</v>
      </c>
      <c r="J240" s="1">
        <v>887.4</v>
      </c>
      <c r="K240" s="23">
        <v>0.735</v>
      </c>
      <c r="L240" s="1">
        <v>10388.0</v>
      </c>
      <c r="M240" s="1">
        <v>32687.0</v>
      </c>
      <c r="N240" s="1">
        <v>30.0</v>
      </c>
      <c r="O240" s="26">
        <v>16.09</v>
      </c>
      <c r="P240" s="26">
        <f t="shared" si="6"/>
        <v>1</v>
      </c>
    </row>
    <row r="241">
      <c r="A241" s="1">
        <v>466.0</v>
      </c>
      <c r="B241" s="1">
        <v>21381.0</v>
      </c>
      <c r="C241" s="23">
        <v>15.55</v>
      </c>
      <c r="D241" s="23">
        <v>19.275</v>
      </c>
      <c r="E241" s="23">
        <v>3.611</v>
      </c>
      <c r="F241" s="61">
        <v>1076.6</v>
      </c>
      <c r="G241" s="23">
        <v>0.73</v>
      </c>
      <c r="H241" s="23">
        <v>0.383</v>
      </c>
      <c r="I241" s="1">
        <v>432.6</v>
      </c>
      <c r="J241" s="1">
        <v>941.8</v>
      </c>
      <c r="K241" s="23">
        <v>0.755</v>
      </c>
      <c r="L241" s="1">
        <v>10388.0</v>
      </c>
      <c r="M241" s="1">
        <v>32687.0</v>
      </c>
      <c r="N241" s="1">
        <v>94.0</v>
      </c>
      <c r="O241" s="26">
        <v>16.09</v>
      </c>
      <c r="P241" s="26">
        <f t="shared" si="6"/>
        <v>0.383</v>
      </c>
    </row>
    <row r="242">
      <c r="A242" s="1">
        <v>468.0</v>
      </c>
      <c r="B242" s="1">
        <v>21381.0</v>
      </c>
      <c r="C242" s="23">
        <v>16.061</v>
      </c>
      <c r="D242" s="23">
        <v>19.278</v>
      </c>
      <c r="E242" s="23">
        <v>3.648</v>
      </c>
      <c r="F242" s="61">
        <v>1076.6</v>
      </c>
      <c r="G242" s="23">
        <v>0.73</v>
      </c>
      <c r="H242" s="23">
        <v>0.383</v>
      </c>
      <c r="I242" s="1">
        <v>432.6</v>
      </c>
      <c r="J242" s="1">
        <v>941.8</v>
      </c>
      <c r="K242" s="23">
        <v>0.755</v>
      </c>
      <c r="L242" s="1">
        <v>10388.0</v>
      </c>
      <c r="M242" s="1">
        <v>32687.0</v>
      </c>
      <c r="N242" s="1">
        <v>67.0</v>
      </c>
      <c r="O242" s="26">
        <v>16.09</v>
      </c>
      <c r="P242" s="26">
        <f t="shared" si="6"/>
        <v>0.383</v>
      </c>
    </row>
    <row r="243">
      <c r="A243" s="1">
        <v>470.0</v>
      </c>
      <c r="B243" s="1">
        <v>21381.0</v>
      </c>
      <c r="C243" s="23">
        <v>15.728</v>
      </c>
      <c r="D243" s="23">
        <v>18.892</v>
      </c>
      <c r="E243" s="23">
        <v>3.722</v>
      </c>
      <c r="F243" s="61">
        <v>1076.6</v>
      </c>
      <c r="G243" s="23">
        <v>0.73</v>
      </c>
      <c r="H243" s="23">
        <v>0.383</v>
      </c>
      <c r="I243" s="1">
        <v>432.6</v>
      </c>
      <c r="J243" s="1">
        <v>941.8</v>
      </c>
      <c r="K243" s="23">
        <v>0.775</v>
      </c>
      <c r="L243" s="1">
        <v>10388.0</v>
      </c>
      <c r="M243" s="1">
        <v>32687.0</v>
      </c>
      <c r="N243" s="1">
        <v>23.0</v>
      </c>
      <c r="O243" s="23">
        <v>16.092</v>
      </c>
      <c r="P243" s="26">
        <f t="shared" si="6"/>
        <v>0.383</v>
      </c>
    </row>
    <row r="244">
      <c r="A244" s="1">
        <v>472.0</v>
      </c>
      <c r="B244" s="1">
        <v>21381.0</v>
      </c>
      <c r="C244" s="23">
        <v>15.739</v>
      </c>
      <c r="D244" s="23">
        <v>18.895</v>
      </c>
      <c r="E244" s="23">
        <v>3.759</v>
      </c>
      <c r="F244" s="61">
        <v>1076.6</v>
      </c>
      <c r="G244" s="23">
        <v>0.73</v>
      </c>
      <c r="H244" s="23">
        <v>0.383</v>
      </c>
      <c r="I244" s="1">
        <v>432.6</v>
      </c>
      <c r="J244" s="1">
        <v>941.8</v>
      </c>
      <c r="K244" s="23">
        <v>0.795</v>
      </c>
      <c r="L244" s="1">
        <v>10388.0</v>
      </c>
      <c r="M244" s="1">
        <v>32687.0</v>
      </c>
      <c r="N244" s="1">
        <v>91.0</v>
      </c>
      <c r="O244" s="23">
        <v>16.092</v>
      </c>
      <c r="P244" s="26">
        <f t="shared" si="6"/>
        <v>0.383</v>
      </c>
    </row>
    <row r="245">
      <c r="A245" s="1">
        <v>474.0</v>
      </c>
      <c r="B245" s="1">
        <v>21381.0</v>
      </c>
      <c r="C245" s="23">
        <v>15.55</v>
      </c>
      <c r="D245" s="23">
        <v>18.61</v>
      </c>
      <c r="E245" s="23">
        <v>3.796</v>
      </c>
      <c r="F245" s="61">
        <v>1076.6</v>
      </c>
      <c r="G245" s="23">
        <v>0.73</v>
      </c>
      <c r="H245" s="23">
        <v>0.383</v>
      </c>
      <c r="I245" s="1">
        <v>432.6</v>
      </c>
      <c r="J245" s="1">
        <v>941.8</v>
      </c>
      <c r="K245" s="23">
        <v>0.795</v>
      </c>
      <c r="L245" s="1">
        <v>10388.0</v>
      </c>
      <c r="M245" s="1">
        <v>32687.0</v>
      </c>
      <c r="N245" s="1">
        <v>56.0</v>
      </c>
      <c r="O245" s="23">
        <v>15.984</v>
      </c>
      <c r="P245" s="26">
        <f t="shared" si="6"/>
        <v>0.383</v>
      </c>
    </row>
    <row r="246">
      <c r="A246" s="1">
        <v>476.0</v>
      </c>
      <c r="B246" s="1">
        <v>21381.0</v>
      </c>
      <c r="C246" s="26">
        <v>14.651</v>
      </c>
      <c r="D246" s="23">
        <v>17.574</v>
      </c>
      <c r="E246" s="23">
        <v>3.916</v>
      </c>
      <c r="F246" s="61">
        <v>1076.6</v>
      </c>
      <c r="G246" s="23">
        <v>0.704</v>
      </c>
      <c r="H246" s="23">
        <v>0.393</v>
      </c>
      <c r="I246" s="1">
        <v>432.6</v>
      </c>
      <c r="J246" s="1">
        <v>840.0</v>
      </c>
      <c r="K246" s="23">
        <v>0.375</v>
      </c>
      <c r="L246" s="1">
        <v>10388.0</v>
      </c>
      <c r="M246" s="1">
        <v>32687.0</v>
      </c>
      <c r="N246" s="1">
        <v>30.0</v>
      </c>
      <c r="O246" s="23">
        <v>15.984</v>
      </c>
      <c r="P246" s="26">
        <f t="shared" si="6"/>
        <v>0.393</v>
      </c>
    </row>
    <row r="247">
      <c r="A247" s="1">
        <v>478.0</v>
      </c>
      <c r="B247" s="1">
        <v>19562.0</v>
      </c>
      <c r="C247" s="26">
        <v>14.462</v>
      </c>
      <c r="D247" s="23">
        <v>17.347</v>
      </c>
      <c r="E247" s="23">
        <v>3.826</v>
      </c>
      <c r="F247" s="61">
        <v>1086.6</v>
      </c>
      <c r="G247" s="23">
        <v>0.706</v>
      </c>
      <c r="H247" s="23">
        <v>0.393</v>
      </c>
      <c r="I247" s="1">
        <v>432.6</v>
      </c>
      <c r="J247" s="1">
        <v>847.3</v>
      </c>
      <c r="K247" s="23">
        <v>0.375</v>
      </c>
      <c r="L247" s="1">
        <v>10388.0</v>
      </c>
      <c r="M247" s="1">
        <v>29905.0</v>
      </c>
      <c r="N247" s="1">
        <v>100.0</v>
      </c>
      <c r="O247" s="23">
        <v>16.034</v>
      </c>
      <c r="P247" s="26">
        <f t="shared" si="6"/>
        <v>0.393</v>
      </c>
    </row>
    <row r="248">
      <c r="A248" s="1">
        <v>480.0</v>
      </c>
      <c r="B248" s="1">
        <v>19562.0</v>
      </c>
      <c r="C248" s="26">
        <v>14.451</v>
      </c>
      <c r="D248" s="23">
        <v>17.344</v>
      </c>
      <c r="E248" s="23">
        <v>3.726</v>
      </c>
      <c r="F248" s="61">
        <v>1086.6</v>
      </c>
      <c r="G248" s="23">
        <v>0.706</v>
      </c>
      <c r="H248" s="23">
        <v>0.393</v>
      </c>
      <c r="I248" s="1">
        <v>432.6</v>
      </c>
      <c r="J248" s="1">
        <v>847.3</v>
      </c>
      <c r="K248" s="23">
        <v>0.375</v>
      </c>
      <c r="L248" s="1">
        <v>10388.0</v>
      </c>
      <c r="M248" s="1">
        <v>29905.0</v>
      </c>
      <c r="N248" s="1">
        <v>77.0</v>
      </c>
      <c r="O248" s="23">
        <v>16.034</v>
      </c>
      <c r="P248" s="26">
        <f t="shared" si="6"/>
        <v>0.393</v>
      </c>
    </row>
    <row r="249">
      <c r="A249" s="1">
        <v>482.0</v>
      </c>
      <c r="B249" s="1">
        <v>19562.0</v>
      </c>
      <c r="C249" s="26">
        <v>14.429</v>
      </c>
      <c r="D249" s="23">
        <v>17.706</v>
      </c>
      <c r="E249" s="23">
        <v>3.306</v>
      </c>
      <c r="F249" s="61">
        <v>1086.6</v>
      </c>
      <c r="G249" s="23">
        <v>0.706</v>
      </c>
      <c r="H249" s="23">
        <v>0.393</v>
      </c>
      <c r="I249" s="1">
        <v>432.6</v>
      </c>
      <c r="J249" s="1">
        <v>847.3</v>
      </c>
      <c r="K249" s="23">
        <v>0.375</v>
      </c>
      <c r="L249" s="1">
        <v>10388.0</v>
      </c>
      <c r="M249" s="1">
        <v>29905.0</v>
      </c>
      <c r="N249" s="1">
        <v>58.0</v>
      </c>
      <c r="O249" s="23">
        <v>16.034</v>
      </c>
      <c r="P249" s="26">
        <f t="shared" si="6"/>
        <v>0.393</v>
      </c>
    </row>
    <row r="250">
      <c r="A250" s="1">
        <v>484.0</v>
      </c>
      <c r="B250" s="1">
        <v>19562.0</v>
      </c>
      <c r="C250" s="26">
        <v>13.552</v>
      </c>
      <c r="D250" s="23">
        <v>17.29</v>
      </c>
      <c r="E250" s="23">
        <v>3.343</v>
      </c>
      <c r="F250" s="61">
        <v>1071.6</v>
      </c>
      <c r="G250" s="23">
        <v>0.706</v>
      </c>
      <c r="H250" s="23">
        <v>0.393</v>
      </c>
      <c r="I250" s="1">
        <v>432.6</v>
      </c>
      <c r="J250" s="1">
        <v>847.3</v>
      </c>
      <c r="K250" s="23">
        <v>0.375</v>
      </c>
      <c r="L250" s="1">
        <v>10388.0</v>
      </c>
      <c r="M250" s="1">
        <v>29905.0</v>
      </c>
      <c r="N250" s="1">
        <v>46.0</v>
      </c>
      <c r="O250" s="23">
        <v>16.016</v>
      </c>
      <c r="P250" s="26">
        <f t="shared" si="6"/>
        <v>0.393</v>
      </c>
    </row>
    <row r="251">
      <c r="A251" s="1">
        <v>486.0</v>
      </c>
      <c r="B251" s="1">
        <v>19336.0</v>
      </c>
      <c r="C251" s="26">
        <v>14.384</v>
      </c>
      <c r="D251" s="23">
        <v>17.676</v>
      </c>
      <c r="E251" s="23">
        <v>3.343</v>
      </c>
      <c r="F251" s="61">
        <v>1071.6</v>
      </c>
      <c r="G251" s="23">
        <v>0.706</v>
      </c>
      <c r="H251" s="23">
        <v>0.383</v>
      </c>
      <c r="I251" s="1">
        <v>432.6</v>
      </c>
      <c r="J251" s="1">
        <v>847.3</v>
      </c>
      <c r="K251" s="23">
        <v>0.375</v>
      </c>
      <c r="L251" s="1">
        <v>10388.0</v>
      </c>
      <c r="M251" s="1">
        <v>29905.0</v>
      </c>
      <c r="N251" s="1">
        <v>19.0</v>
      </c>
      <c r="O251" s="23">
        <v>16.016</v>
      </c>
      <c r="P251" s="26">
        <f t="shared" si="6"/>
        <v>0.383</v>
      </c>
    </row>
    <row r="252">
      <c r="A252" s="1">
        <v>488.0</v>
      </c>
      <c r="B252" s="1">
        <v>19562.0</v>
      </c>
      <c r="C252" s="26">
        <v>14.673</v>
      </c>
      <c r="D252" s="23">
        <v>18.219</v>
      </c>
      <c r="E252" s="23">
        <v>3.38</v>
      </c>
      <c r="F252" s="61">
        <v>1071.6</v>
      </c>
      <c r="G252" s="23">
        <v>0.706</v>
      </c>
      <c r="H252" s="23">
        <v>0.385</v>
      </c>
      <c r="I252" s="1">
        <v>432.6</v>
      </c>
      <c r="J252" s="1">
        <v>847.3</v>
      </c>
      <c r="K252" s="23">
        <v>0.375</v>
      </c>
      <c r="L252" s="1">
        <v>10388.0</v>
      </c>
      <c r="M252" s="1">
        <v>29905.0</v>
      </c>
      <c r="N252" s="1">
        <v>93.0</v>
      </c>
      <c r="O252" s="23">
        <v>16.054</v>
      </c>
      <c r="P252" s="26">
        <f t="shared" si="6"/>
        <v>0.385</v>
      </c>
    </row>
    <row r="253">
      <c r="A253" s="1">
        <v>490.0</v>
      </c>
      <c r="B253" s="1">
        <v>19562.0</v>
      </c>
      <c r="C253" s="26">
        <v>14.673</v>
      </c>
      <c r="D253" s="23">
        <v>18.245</v>
      </c>
      <c r="E253" s="23">
        <v>3.38</v>
      </c>
      <c r="F253" s="61">
        <v>1061.6</v>
      </c>
      <c r="G253" s="23">
        <v>0.706</v>
      </c>
      <c r="H253" s="23">
        <v>0.393</v>
      </c>
      <c r="I253" s="1">
        <v>432.6</v>
      </c>
      <c r="J253" s="1">
        <v>847.3</v>
      </c>
      <c r="K253" s="23">
        <v>0.375</v>
      </c>
      <c r="L253" s="1">
        <v>10388.0</v>
      </c>
      <c r="M253" s="1">
        <v>29905.0</v>
      </c>
      <c r="N253" s="1">
        <v>67.0</v>
      </c>
      <c r="O253" s="23">
        <v>15.904</v>
      </c>
      <c r="P253" s="26">
        <f t="shared" si="6"/>
        <v>0.393</v>
      </c>
    </row>
    <row r="254">
      <c r="A254" s="1">
        <v>492.0</v>
      </c>
      <c r="B254" s="1">
        <v>22291.0</v>
      </c>
      <c r="C254" s="26">
        <v>15.739</v>
      </c>
      <c r="D254" s="23">
        <v>19.547</v>
      </c>
      <c r="E254" s="23">
        <v>3.35</v>
      </c>
      <c r="F254" s="61">
        <v>1076.6</v>
      </c>
      <c r="G254" s="23">
        <v>0.71</v>
      </c>
      <c r="H254" s="23">
        <v>0.393</v>
      </c>
      <c r="I254" s="1">
        <v>432.6</v>
      </c>
      <c r="J254" s="1">
        <v>859.8</v>
      </c>
      <c r="K254" s="23">
        <v>0.375</v>
      </c>
      <c r="L254" s="1">
        <v>10388.0</v>
      </c>
      <c r="M254" s="1">
        <v>34078.0</v>
      </c>
      <c r="N254" s="1">
        <v>57.0</v>
      </c>
      <c r="O254" s="23">
        <v>15.904</v>
      </c>
      <c r="P254" s="26">
        <f t="shared" si="6"/>
        <v>0.393</v>
      </c>
    </row>
    <row r="255">
      <c r="A255" s="1">
        <v>494.0</v>
      </c>
      <c r="B255" s="1">
        <v>22291.0</v>
      </c>
      <c r="C255" s="26">
        <v>16.46</v>
      </c>
      <c r="D255" s="23">
        <v>20.463</v>
      </c>
      <c r="E255" s="23">
        <v>3.39</v>
      </c>
      <c r="F255" s="61">
        <v>1086.6</v>
      </c>
      <c r="G255" s="23">
        <v>0.726</v>
      </c>
      <c r="H255" s="23">
        <v>0.393</v>
      </c>
      <c r="I255" s="1">
        <v>432.6</v>
      </c>
      <c r="J255" s="1">
        <v>921.9</v>
      </c>
      <c r="K255" s="23">
        <v>0.375</v>
      </c>
      <c r="L255" s="1">
        <v>12392.0</v>
      </c>
      <c r="M255" s="1">
        <v>34078.0</v>
      </c>
      <c r="N255" s="1">
        <v>18.0</v>
      </c>
      <c r="O255" s="23">
        <v>16.218</v>
      </c>
      <c r="P255" s="26">
        <f t="shared" si="6"/>
        <v>0.393</v>
      </c>
    </row>
    <row r="256">
      <c r="A256" s="1">
        <v>496.0</v>
      </c>
      <c r="B256" s="1">
        <v>22291.0</v>
      </c>
      <c r="C256" s="26">
        <v>16.46</v>
      </c>
      <c r="D256" s="23">
        <v>20.611</v>
      </c>
      <c r="E256" s="23">
        <v>3.39</v>
      </c>
      <c r="F256" s="61">
        <v>1086.6</v>
      </c>
      <c r="G256" s="23">
        <v>0.726</v>
      </c>
      <c r="H256" s="23">
        <v>0.393</v>
      </c>
      <c r="I256" s="1">
        <v>432.6</v>
      </c>
      <c r="J256" s="1">
        <v>921.9</v>
      </c>
      <c r="K256" s="23">
        <v>0.375</v>
      </c>
      <c r="L256" s="1">
        <v>12392.0</v>
      </c>
      <c r="M256" s="1">
        <v>34078.0</v>
      </c>
      <c r="N256" s="1">
        <v>75.0</v>
      </c>
      <c r="O256" s="23">
        <v>16.218</v>
      </c>
      <c r="P256" s="26">
        <f t="shared" si="6"/>
        <v>0.393</v>
      </c>
    </row>
    <row r="257">
      <c r="A257" s="1">
        <v>498.0</v>
      </c>
      <c r="B257" s="1">
        <v>22291.0</v>
      </c>
      <c r="C257" s="26">
        <v>16.46</v>
      </c>
      <c r="D257" s="23">
        <v>20.624</v>
      </c>
      <c r="E257" s="23">
        <v>3.39</v>
      </c>
      <c r="F257" s="61">
        <v>1086.6</v>
      </c>
      <c r="G257" s="23">
        <v>0.722</v>
      </c>
      <c r="H257" s="23">
        <v>0.374</v>
      </c>
      <c r="I257" s="1">
        <v>432.6</v>
      </c>
      <c r="J257" s="1">
        <v>899.4</v>
      </c>
      <c r="K257" s="23">
        <v>0.375</v>
      </c>
      <c r="L257" s="1">
        <v>12392.0</v>
      </c>
      <c r="M257" s="1">
        <v>34078.0</v>
      </c>
      <c r="N257" s="1">
        <v>14.0</v>
      </c>
      <c r="O257" s="23">
        <v>16.272</v>
      </c>
      <c r="P257" s="26">
        <f t="shared" si="6"/>
        <v>0.374</v>
      </c>
    </row>
    <row r="258">
      <c r="A258" s="1">
        <v>500.0</v>
      </c>
      <c r="B258" s="1">
        <v>24111.0</v>
      </c>
      <c r="C258" s="23">
        <v>16.616</v>
      </c>
      <c r="D258" s="23">
        <v>19.315</v>
      </c>
      <c r="E258" s="23">
        <v>3.47</v>
      </c>
      <c r="F258" s="61">
        <v>1086.6</v>
      </c>
      <c r="G258" s="23">
        <v>0.718</v>
      </c>
      <c r="H258" s="23">
        <v>0.374</v>
      </c>
      <c r="I258" s="1">
        <v>432.6</v>
      </c>
      <c r="J258" s="1">
        <v>886.9</v>
      </c>
      <c r="K258" s="23">
        <v>0.375</v>
      </c>
      <c r="L258" s="1">
        <v>12392.0</v>
      </c>
      <c r="M258" s="1">
        <v>36859.0</v>
      </c>
      <c r="N258" s="1">
        <v>52.0</v>
      </c>
      <c r="O258" s="23">
        <v>16.272</v>
      </c>
      <c r="P258" s="26">
        <f t="shared" si="6"/>
        <v>0.374</v>
      </c>
    </row>
    <row r="259">
      <c r="A259" s="1">
        <v>503.0</v>
      </c>
      <c r="B259" s="1">
        <v>24111.0</v>
      </c>
      <c r="C259" s="23">
        <v>16.283</v>
      </c>
      <c r="D259" s="23">
        <v>18.942</v>
      </c>
      <c r="E259" s="23">
        <v>3.89</v>
      </c>
      <c r="F259" s="61">
        <v>1086.6</v>
      </c>
      <c r="G259" s="23">
        <v>0.718</v>
      </c>
      <c r="H259" s="23">
        <v>0.374</v>
      </c>
      <c r="I259" s="1">
        <v>432.6</v>
      </c>
      <c r="J259" s="1">
        <v>886.9</v>
      </c>
      <c r="K259" s="23">
        <v>0.375</v>
      </c>
      <c r="L259" s="1">
        <v>12392.0</v>
      </c>
      <c r="M259" s="1">
        <v>36859.0</v>
      </c>
      <c r="N259" s="1">
        <v>18.0</v>
      </c>
      <c r="O259" s="23">
        <v>16.168</v>
      </c>
      <c r="P259" s="26">
        <f t="shared" si="6"/>
        <v>0.374</v>
      </c>
    </row>
    <row r="260">
      <c r="A260" s="1">
        <v>505.0</v>
      </c>
      <c r="B260" s="1">
        <v>24111.0</v>
      </c>
      <c r="C260" s="23">
        <v>19.216</v>
      </c>
      <c r="D260" s="23">
        <v>20.467</v>
      </c>
      <c r="E260" s="23">
        <v>3.89</v>
      </c>
      <c r="F260" s="61">
        <v>1086.6</v>
      </c>
      <c r="G260" s="23">
        <v>0.718</v>
      </c>
      <c r="H260" s="23">
        <v>0.364</v>
      </c>
      <c r="I260" s="1">
        <v>432.6</v>
      </c>
      <c r="J260" s="1">
        <v>886.9</v>
      </c>
      <c r="K260" s="23">
        <v>0.375</v>
      </c>
      <c r="L260" s="1">
        <v>12392.0</v>
      </c>
      <c r="M260" s="1">
        <v>36859.0</v>
      </c>
      <c r="N260" s="1">
        <v>89.0</v>
      </c>
      <c r="O260" s="23">
        <v>16.168</v>
      </c>
      <c r="P260" s="26">
        <f t="shared" si="6"/>
        <v>0.364</v>
      </c>
    </row>
    <row r="261">
      <c r="A261" s="1">
        <v>507.0</v>
      </c>
      <c r="B261" s="1">
        <v>21534.0</v>
      </c>
      <c r="C261" s="23">
        <v>17.802</v>
      </c>
      <c r="D261" s="23">
        <v>20.079</v>
      </c>
      <c r="E261" s="23">
        <v>3.56</v>
      </c>
      <c r="F261" s="61">
        <v>1086.6</v>
      </c>
      <c r="G261" s="23">
        <v>0.702</v>
      </c>
      <c r="H261" s="23">
        <v>0.364</v>
      </c>
      <c r="I261" s="1">
        <v>432.6</v>
      </c>
      <c r="J261" s="1">
        <v>832.5</v>
      </c>
      <c r="K261" s="23">
        <v>0.375</v>
      </c>
      <c r="L261" s="1">
        <v>12392.0</v>
      </c>
      <c r="M261" s="1">
        <v>34078.0</v>
      </c>
      <c r="N261" s="1">
        <v>59.0</v>
      </c>
      <c r="O261" s="23">
        <v>16.168</v>
      </c>
      <c r="P261" s="26">
        <f t="shared" si="6"/>
        <v>0.364</v>
      </c>
    </row>
    <row r="262">
      <c r="A262" s="1">
        <v>509.0</v>
      </c>
      <c r="B262" s="1">
        <v>20655.0</v>
      </c>
      <c r="C262" s="23">
        <v>17.068</v>
      </c>
      <c r="D262" s="23">
        <v>19.367</v>
      </c>
      <c r="E262" s="23">
        <v>3.52</v>
      </c>
      <c r="F262" s="61">
        <v>1086.6</v>
      </c>
      <c r="G262" s="23">
        <v>0.708</v>
      </c>
      <c r="H262" s="23">
        <v>0.383</v>
      </c>
      <c r="I262" s="1">
        <v>432.6</v>
      </c>
      <c r="J262" s="1">
        <v>855.0</v>
      </c>
      <c r="K262" s="23">
        <v>0.615</v>
      </c>
      <c r="L262" s="1">
        <v>12392.0</v>
      </c>
      <c r="M262" s="1">
        <v>32687.0</v>
      </c>
      <c r="N262" s="1">
        <v>26.0</v>
      </c>
      <c r="O262" s="23">
        <v>16.187</v>
      </c>
      <c r="P262" s="26">
        <f t="shared" si="6"/>
        <v>0.383</v>
      </c>
    </row>
    <row r="263">
      <c r="A263" s="1">
        <v>511.0</v>
      </c>
      <c r="B263" s="1">
        <v>21381.0</v>
      </c>
      <c r="C263" s="23">
        <v>17.173</v>
      </c>
      <c r="D263" s="23">
        <v>19.012</v>
      </c>
      <c r="E263" s="23">
        <v>2.854</v>
      </c>
      <c r="F263" s="61">
        <v>1086.6</v>
      </c>
      <c r="G263" s="23">
        <v>0.684</v>
      </c>
      <c r="H263" s="23">
        <v>0.383</v>
      </c>
      <c r="I263" s="1">
        <v>432.6</v>
      </c>
      <c r="J263" s="1">
        <v>773.0</v>
      </c>
      <c r="K263" s="23">
        <v>0.635</v>
      </c>
      <c r="L263" s="1">
        <v>12392.0</v>
      </c>
      <c r="M263" s="1">
        <v>32687.0</v>
      </c>
      <c r="N263" s="1">
        <v>96.0</v>
      </c>
      <c r="O263" s="23">
        <v>16.187</v>
      </c>
      <c r="P263" s="26">
        <f t="shared" si="6"/>
        <v>0.383</v>
      </c>
    </row>
    <row r="264">
      <c r="A264" s="1">
        <v>513.0</v>
      </c>
      <c r="B264" s="1">
        <v>21381.0</v>
      </c>
      <c r="C264" s="23">
        <v>17.16</v>
      </c>
      <c r="D264" s="23">
        <v>19.044</v>
      </c>
      <c r="E264" s="23">
        <v>2.854</v>
      </c>
      <c r="F264" s="61">
        <v>1086.6</v>
      </c>
      <c r="G264" s="23">
        <v>0.684</v>
      </c>
      <c r="H264" s="23">
        <v>0.383</v>
      </c>
      <c r="I264" s="1">
        <v>432.6</v>
      </c>
      <c r="J264" s="1">
        <v>773.0</v>
      </c>
      <c r="K264" s="23">
        <v>0.635</v>
      </c>
      <c r="L264" s="1">
        <v>12392.0</v>
      </c>
      <c r="M264" s="1">
        <v>32687.0</v>
      </c>
      <c r="N264" s="1">
        <v>70.0</v>
      </c>
      <c r="O264" s="23">
        <v>16.163</v>
      </c>
      <c r="P264" s="26">
        <f t="shared" si="6"/>
        <v>0.383</v>
      </c>
    </row>
    <row r="265">
      <c r="A265" s="1">
        <v>515.0</v>
      </c>
      <c r="B265" s="1">
        <v>19562.0</v>
      </c>
      <c r="C265" s="23">
        <v>17.002</v>
      </c>
      <c r="D265" s="23">
        <v>18.87</v>
      </c>
      <c r="E265" s="23">
        <v>3.34</v>
      </c>
      <c r="F265" s="61">
        <v>1086.6</v>
      </c>
      <c r="G265" s="23">
        <v>0.687</v>
      </c>
      <c r="H265" s="23">
        <v>0.393</v>
      </c>
      <c r="I265" s="1">
        <v>432.6</v>
      </c>
      <c r="J265" s="1">
        <v>785.5</v>
      </c>
      <c r="K265" s="23">
        <v>0.655</v>
      </c>
      <c r="L265" s="1">
        <v>12392.0</v>
      </c>
      <c r="M265" s="1">
        <v>29905.0</v>
      </c>
      <c r="N265" s="1">
        <v>41.0</v>
      </c>
      <c r="O265" s="23">
        <v>16.163</v>
      </c>
      <c r="P265" s="26">
        <f t="shared" si="6"/>
        <v>0.393</v>
      </c>
    </row>
    <row r="266">
      <c r="A266" s="1">
        <v>517.0</v>
      </c>
      <c r="B266" s="1">
        <v>19562.0</v>
      </c>
      <c r="C266" s="26">
        <v>14.762</v>
      </c>
      <c r="D266" s="23">
        <v>19.311</v>
      </c>
      <c r="E266" s="23">
        <v>3.38</v>
      </c>
      <c r="F266" s="61">
        <v>1086.6</v>
      </c>
      <c r="G266" s="23">
        <v>0.687</v>
      </c>
      <c r="H266" s="23">
        <v>0.393</v>
      </c>
      <c r="I266" s="1">
        <v>432.6</v>
      </c>
      <c r="J266" s="1">
        <v>785.5</v>
      </c>
      <c r="K266" s="23">
        <v>0.675</v>
      </c>
      <c r="L266" s="1">
        <v>12392.0</v>
      </c>
      <c r="M266" s="1">
        <v>29905.0</v>
      </c>
      <c r="N266" s="1">
        <v>13.0</v>
      </c>
      <c r="O266" s="23">
        <v>16.169</v>
      </c>
      <c r="P266" s="26">
        <f t="shared" si="6"/>
        <v>0.393</v>
      </c>
    </row>
    <row r="267">
      <c r="A267" s="1">
        <v>519.0</v>
      </c>
      <c r="B267" s="1">
        <v>19562.0</v>
      </c>
      <c r="C267" s="26">
        <v>15.09</v>
      </c>
      <c r="D267" s="23">
        <v>18.284</v>
      </c>
      <c r="E267" s="23">
        <v>2.922</v>
      </c>
      <c r="F267" s="61">
        <v>1071.6</v>
      </c>
      <c r="G267" s="23">
        <v>0.687</v>
      </c>
      <c r="H267" s="23">
        <v>0.393</v>
      </c>
      <c r="I267" s="1">
        <v>432.6</v>
      </c>
      <c r="J267" s="1">
        <v>785.5</v>
      </c>
      <c r="K267" s="23">
        <v>0.675</v>
      </c>
      <c r="L267" s="1">
        <v>11618.0</v>
      </c>
      <c r="M267" s="1">
        <v>29905.0</v>
      </c>
      <c r="N267" s="1">
        <v>77.0</v>
      </c>
      <c r="O267" s="23">
        <v>16.169</v>
      </c>
      <c r="P267" s="26">
        <f t="shared" si="6"/>
        <v>0.393</v>
      </c>
    </row>
    <row r="268">
      <c r="A268" s="1">
        <v>521.0</v>
      </c>
      <c r="B268" s="1">
        <v>19562.0</v>
      </c>
      <c r="C268" s="26">
        <v>15.101</v>
      </c>
      <c r="D268" s="23">
        <v>19.002</v>
      </c>
      <c r="E268" s="23">
        <v>2.963</v>
      </c>
      <c r="F268" s="61">
        <v>1086.6</v>
      </c>
      <c r="G268" s="23">
        <v>0.787</v>
      </c>
      <c r="H268" s="23">
        <v>0.423</v>
      </c>
      <c r="I268" s="1">
        <v>432.6</v>
      </c>
      <c r="J268" s="1">
        <v>785.5</v>
      </c>
      <c r="K268" s="23">
        <v>0.695</v>
      </c>
      <c r="L268" s="1">
        <v>11618.0</v>
      </c>
      <c r="M268" s="1">
        <v>29905.0</v>
      </c>
      <c r="N268" s="1">
        <v>48.0</v>
      </c>
      <c r="O268" s="23">
        <v>16.169</v>
      </c>
      <c r="P268" s="26">
        <f t="shared" si="6"/>
        <v>0.423</v>
      </c>
    </row>
    <row r="269">
      <c r="A269" s="1">
        <v>523.0</v>
      </c>
      <c r="B269" s="1">
        <v>19562.0</v>
      </c>
      <c r="C269" s="26">
        <v>15.134</v>
      </c>
      <c r="D269" s="23">
        <v>18.991</v>
      </c>
      <c r="E269" s="23">
        <v>2.963</v>
      </c>
      <c r="F269" s="61">
        <v>1076.6</v>
      </c>
      <c r="G269" s="23">
        <v>0.787</v>
      </c>
      <c r="H269" s="23">
        <v>1.423</v>
      </c>
      <c r="I269" s="1">
        <v>432.6</v>
      </c>
      <c r="J269" s="1">
        <v>785.5</v>
      </c>
      <c r="K269" s="23">
        <v>0.715</v>
      </c>
      <c r="L269" s="1">
        <v>11618.0</v>
      </c>
      <c r="M269" s="1">
        <v>29905.0</v>
      </c>
      <c r="N269" s="1">
        <v>9.0</v>
      </c>
      <c r="O269" s="23">
        <v>15.974</v>
      </c>
      <c r="P269" s="26">
        <f t="shared" si="6"/>
        <v>1</v>
      </c>
    </row>
    <row r="270">
      <c r="A270" s="1">
        <v>525.0</v>
      </c>
      <c r="B270" s="1">
        <v>19562.0</v>
      </c>
      <c r="C270" s="23">
        <v>15.146</v>
      </c>
      <c r="D270" s="23">
        <v>19.018</v>
      </c>
      <c r="E270" s="23">
        <v>3.42</v>
      </c>
      <c r="F270" s="61">
        <v>1076.6</v>
      </c>
      <c r="G270" s="23">
        <v>0.784</v>
      </c>
      <c r="H270" s="23">
        <v>1.423</v>
      </c>
      <c r="I270" s="1">
        <v>432.6</v>
      </c>
      <c r="J270" s="1">
        <v>773.0</v>
      </c>
      <c r="K270" s="23">
        <v>0.715</v>
      </c>
      <c r="L270" s="1">
        <v>11618.0</v>
      </c>
      <c r="M270" s="1">
        <v>29905.0</v>
      </c>
      <c r="N270" s="1">
        <v>84.0</v>
      </c>
      <c r="O270" s="23">
        <v>15.974</v>
      </c>
      <c r="P270" s="26">
        <f t="shared" si="6"/>
        <v>1</v>
      </c>
    </row>
    <row r="271">
      <c r="A271" s="1">
        <v>527.0</v>
      </c>
      <c r="B271" s="1">
        <v>19562.0</v>
      </c>
      <c r="C271" s="23">
        <v>15.368</v>
      </c>
      <c r="D271" s="23">
        <v>19.301</v>
      </c>
      <c r="E271" s="23">
        <v>3.42</v>
      </c>
      <c r="F271" s="61">
        <v>1086.6</v>
      </c>
      <c r="G271" s="23">
        <v>0.808</v>
      </c>
      <c r="H271" s="23">
        <v>1.423</v>
      </c>
      <c r="I271" s="1">
        <v>432.6</v>
      </c>
      <c r="J271" s="1">
        <v>855.0</v>
      </c>
      <c r="K271" s="23">
        <v>0.735</v>
      </c>
      <c r="L271" s="1">
        <v>11618.0</v>
      </c>
      <c r="M271" s="1">
        <v>29905.0</v>
      </c>
      <c r="N271" s="1">
        <v>58.0</v>
      </c>
      <c r="O271" s="23">
        <v>16.213</v>
      </c>
      <c r="P271" s="26">
        <f t="shared" si="6"/>
        <v>1</v>
      </c>
    </row>
    <row r="272">
      <c r="A272" s="1">
        <v>529.0</v>
      </c>
      <c r="B272" s="1">
        <v>21381.0</v>
      </c>
      <c r="C272" s="23">
        <v>15.923</v>
      </c>
      <c r="D272" s="23">
        <v>18.664</v>
      </c>
      <c r="E272" s="23">
        <v>3.42</v>
      </c>
      <c r="F272" s="61">
        <v>1086.6</v>
      </c>
      <c r="G272" s="23">
        <v>0.708</v>
      </c>
      <c r="H272" s="23">
        <v>0.393</v>
      </c>
      <c r="I272" s="1">
        <v>432.6</v>
      </c>
      <c r="J272" s="1">
        <v>855.0</v>
      </c>
      <c r="K272" s="23">
        <v>0.755</v>
      </c>
      <c r="L272" s="1">
        <v>11618.0</v>
      </c>
      <c r="M272" s="1">
        <v>32687.0</v>
      </c>
      <c r="N272" s="1">
        <v>26.0</v>
      </c>
      <c r="O272" s="23">
        <v>16.213</v>
      </c>
      <c r="P272" s="26">
        <f t="shared" si="6"/>
        <v>0.393</v>
      </c>
    </row>
    <row r="273">
      <c r="A273" s="1">
        <v>531.0</v>
      </c>
      <c r="B273" s="1">
        <v>21381.0</v>
      </c>
      <c r="C273" s="23">
        <v>15.723</v>
      </c>
      <c r="D273" s="23">
        <v>18.46</v>
      </c>
      <c r="E273" s="23">
        <v>3.519</v>
      </c>
      <c r="F273" s="61">
        <v>1086.6</v>
      </c>
      <c r="G273" s="23">
        <v>0.708</v>
      </c>
      <c r="H273" s="23">
        <v>0.393</v>
      </c>
      <c r="I273" s="1">
        <v>432.6</v>
      </c>
      <c r="J273" s="1">
        <v>855.0</v>
      </c>
      <c r="K273" s="23">
        <v>0.755</v>
      </c>
      <c r="L273" s="1">
        <v>11618.0</v>
      </c>
      <c r="M273" s="1">
        <v>32687.0</v>
      </c>
      <c r="N273" s="1">
        <v>76.0</v>
      </c>
      <c r="O273" s="23">
        <v>16.157</v>
      </c>
      <c r="P273" s="26">
        <f t="shared" si="6"/>
        <v>0.393</v>
      </c>
    </row>
    <row r="274">
      <c r="A274" s="1">
        <v>533.0</v>
      </c>
      <c r="B274" s="1">
        <v>21381.0</v>
      </c>
      <c r="C274" s="23">
        <v>16.056</v>
      </c>
      <c r="D274" s="23">
        <v>19.286</v>
      </c>
      <c r="E274" s="23">
        <v>3.559</v>
      </c>
      <c r="F274" s="61">
        <v>1071.6</v>
      </c>
      <c r="G274" s="23">
        <v>0.708</v>
      </c>
      <c r="H274" s="23">
        <v>0.393</v>
      </c>
      <c r="I274" s="1">
        <v>432.6</v>
      </c>
      <c r="J274" s="1">
        <v>855.0</v>
      </c>
      <c r="K274" s="23">
        <v>0.775</v>
      </c>
      <c r="L274" s="1">
        <v>11618.0</v>
      </c>
      <c r="M274" s="1">
        <v>32687.0</v>
      </c>
      <c r="N274" s="1">
        <v>16.0</v>
      </c>
      <c r="O274" s="23">
        <v>16.157</v>
      </c>
      <c r="P274" s="26">
        <f t="shared" si="6"/>
        <v>0.393</v>
      </c>
    </row>
    <row r="275">
      <c r="A275" s="1">
        <v>535.0</v>
      </c>
      <c r="B275" s="1">
        <v>21381.0</v>
      </c>
      <c r="C275" s="23">
        <v>15.723</v>
      </c>
      <c r="D275" s="23">
        <v>18.871</v>
      </c>
      <c r="E275" s="23">
        <v>3.085</v>
      </c>
      <c r="F275" s="61">
        <v>1071.6</v>
      </c>
      <c r="G275" s="23">
        <v>0.708</v>
      </c>
      <c r="H275" s="23">
        <v>0.393</v>
      </c>
      <c r="I275" s="1">
        <v>432.6</v>
      </c>
      <c r="J275" s="1">
        <v>855.0</v>
      </c>
      <c r="K275" s="23">
        <v>0.795</v>
      </c>
      <c r="L275" s="1">
        <v>11618.0</v>
      </c>
      <c r="M275" s="1">
        <v>32687.0</v>
      </c>
      <c r="N275" s="1">
        <v>65.0</v>
      </c>
      <c r="O275" s="23">
        <v>16.157</v>
      </c>
      <c r="P275" s="26">
        <f t="shared" si="6"/>
        <v>0.393</v>
      </c>
    </row>
    <row r="276">
      <c r="A276" s="1">
        <v>537.0</v>
      </c>
      <c r="B276" s="1">
        <v>21381.0</v>
      </c>
      <c r="C276" s="23">
        <v>15.578</v>
      </c>
      <c r="D276" s="23">
        <v>18.989</v>
      </c>
      <c r="E276" s="23">
        <v>3.122</v>
      </c>
      <c r="F276" s="61">
        <v>1071.6</v>
      </c>
      <c r="G276" s="23">
        <v>0.708</v>
      </c>
      <c r="H276" s="23">
        <v>0.393</v>
      </c>
      <c r="I276" s="1">
        <v>432.6</v>
      </c>
      <c r="J276" s="1">
        <v>855.0</v>
      </c>
      <c r="K276" s="23">
        <v>0.795</v>
      </c>
      <c r="L276" s="1">
        <v>11618.0</v>
      </c>
      <c r="M276" s="1">
        <v>32687.0</v>
      </c>
      <c r="N276" s="1">
        <v>93.0</v>
      </c>
      <c r="O276" s="23">
        <v>16.076</v>
      </c>
      <c r="P276" s="26">
        <f t="shared" si="6"/>
        <v>0.393</v>
      </c>
    </row>
    <row r="277">
      <c r="A277" s="1">
        <v>539.0</v>
      </c>
      <c r="B277" s="1">
        <v>21381.0</v>
      </c>
      <c r="C277" s="23">
        <v>15.712</v>
      </c>
      <c r="D277" s="23">
        <v>18.997</v>
      </c>
      <c r="E277" s="23">
        <v>3.159</v>
      </c>
      <c r="F277" s="61">
        <v>1071.6</v>
      </c>
      <c r="G277" s="23">
        <v>0.712</v>
      </c>
      <c r="H277" s="23">
        <v>0.393</v>
      </c>
      <c r="I277" s="1">
        <v>432.6</v>
      </c>
      <c r="J277" s="1">
        <v>867.5</v>
      </c>
      <c r="K277" s="23">
        <v>0.375</v>
      </c>
      <c r="L277" s="1">
        <v>11618.0</v>
      </c>
      <c r="M277" s="1">
        <v>32687.0</v>
      </c>
      <c r="N277" s="1">
        <v>68.0</v>
      </c>
      <c r="O277" s="23">
        <v>16.076</v>
      </c>
      <c r="P277" s="26">
        <f t="shared" si="6"/>
        <v>0.393</v>
      </c>
    </row>
    <row r="278">
      <c r="A278" s="1">
        <v>541.0</v>
      </c>
      <c r="B278" s="1">
        <v>21381.0</v>
      </c>
      <c r="C278" s="23">
        <v>15.678</v>
      </c>
      <c r="D278" s="23">
        <v>19.139</v>
      </c>
      <c r="E278" s="23">
        <v>3.196</v>
      </c>
      <c r="F278" s="61">
        <v>1071.6</v>
      </c>
      <c r="G278" s="23">
        <v>0.712</v>
      </c>
      <c r="H278" s="23">
        <v>0.393</v>
      </c>
      <c r="I278" s="1">
        <v>432.6</v>
      </c>
      <c r="J278" s="1">
        <v>867.5</v>
      </c>
      <c r="K278" s="23">
        <v>0.375</v>
      </c>
      <c r="L278" s="1">
        <v>11618.0</v>
      </c>
      <c r="M278" s="1">
        <v>32687.0</v>
      </c>
      <c r="N278" s="1">
        <v>33.0</v>
      </c>
      <c r="O278" s="23">
        <v>16.076</v>
      </c>
      <c r="P278" s="26">
        <f t="shared" si="6"/>
        <v>0.393</v>
      </c>
    </row>
    <row r="279">
      <c r="A279" s="1">
        <v>543.0</v>
      </c>
      <c r="B279" s="1">
        <v>21381.0</v>
      </c>
      <c r="C279" s="23">
        <v>14.89</v>
      </c>
      <c r="D279" s="26">
        <v>18.194</v>
      </c>
      <c r="E279" s="23">
        <v>3.196</v>
      </c>
      <c r="F279" s="61">
        <v>1071.6</v>
      </c>
      <c r="G279" s="23">
        <v>0.693</v>
      </c>
      <c r="H279" s="23">
        <v>0.393</v>
      </c>
      <c r="I279" s="1">
        <v>432.6</v>
      </c>
      <c r="J279" s="1">
        <v>805.4</v>
      </c>
      <c r="K279" s="23">
        <v>0.375</v>
      </c>
      <c r="L279" s="1">
        <v>9614.0</v>
      </c>
      <c r="M279" s="1">
        <v>32687.0</v>
      </c>
      <c r="N279" s="1">
        <v>5.0</v>
      </c>
      <c r="O279" s="23">
        <v>16.076</v>
      </c>
      <c r="P279" s="26">
        <f t="shared" si="6"/>
        <v>0.393</v>
      </c>
    </row>
    <row r="280">
      <c r="A280" s="1">
        <v>545.0</v>
      </c>
      <c r="B280" s="1">
        <v>19562.0</v>
      </c>
      <c r="C280" s="23">
        <v>14.713</v>
      </c>
      <c r="D280" s="23">
        <v>17.987</v>
      </c>
      <c r="E280" s="26">
        <v>3.143</v>
      </c>
      <c r="F280" s="61">
        <v>1071.6</v>
      </c>
      <c r="G280" s="23">
        <v>0.693</v>
      </c>
      <c r="H280" s="23">
        <v>0.393</v>
      </c>
      <c r="I280" s="1">
        <v>432.6</v>
      </c>
      <c r="J280" s="1">
        <v>805.4</v>
      </c>
      <c r="K280" s="23">
        <v>0.375</v>
      </c>
      <c r="L280" s="1">
        <v>9614.0</v>
      </c>
      <c r="M280" s="1">
        <v>29905.0</v>
      </c>
      <c r="N280" s="1">
        <v>90.0</v>
      </c>
      <c r="O280" s="23">
        <v>16.076</v>
      </c>
      <c r="P280" s="26">
        <f t="shared" si="6"/>
        <v>0.393</v>
      </c>
    </row>
    <row r="281">
      <c r="A281" s="1">
        <v>547.0</v>
      </c>
      <c r="B281" s="1">
        <v>19562.0</v>
      </c>
      <c r="C281" s="23">
        <v>14.702</v>
      </c>
      <c r="D281" s="23">
        <v>17.315</v>
      </c>
      <c r="E281" s="26">
        <v>3.18</v>
      </c>
      <c r="F281" s="61">
        <v>1086.6</v>
      </c>
      <c r="G281" s="23">
        <v>0.793</v>
      </c>
      <c r="H281" s="23">
        <v>0.423</v>
      </c>
      <c r="I281" s="1">
        <v>432.6</v>
      </c>
      <c r="J281" s="1">
        <v>805.4</v>
      </c>
      <c r="K281" s="23">
        <v>0.375</v>
      </c>
      <c r="L281" s="1">
        <v>9614.0</v>
      </c>
      <c r="M281" s="1">
        <v>29905.0</v>
      </c>
      <c r="N281" s="1">
        <v>64.0</v>
      </c>
      <c r="O281" s="23">
        <v>16.032</v>
      </c>
      <c r="P281" s="26">
        <f t="shared" si="6"/>
        <v>0.423</v>
      </c>
    </row>
    <row r="282">
      <c r="A282" s="1">
        <v>549.0</v>
      </c>
      <c r="B282" s="1">
        <v>19562.0</v>
      </c>
      <c r="C282" s="23">
        <v>14.69</v>
      </c>
      <c r="D282" s="23">
        <v>17.311</v>
      </c>
      <c r="E282" s="23">
        <v>3.06</v>
      </c>
      <c r="F282" s="61">
        <v>1086.6</v>
      </c>
      <c r="G282" s="23">
        <v>0.79</v>
      </c>
      <c r="H282" s="23">
        <v>0.423</v>
      </c>
      <c r="I282" s="1">
        <v>432.6</v>
      </c>
      <c r="J282" s="1">
        <v>792.9</v>
      </c>
      <c r="K282" s="23">
        <v>0.375</v>
      </c>
      <c r="L282" s="1">
        <v>9614.0</v>
      </c>
      <c r="M282" s="1">
        <v>29905.0</v>
      </c>
      <c r="N282" s="1">
        <v>49.0</v>
      </c>
      <c r="O282" s="23">
        <v>16.032</v>
      </c>
      <c r="P282" s="26">
        <f t="shared" si="6"/>
        <v>0.423</v>
      </c>
    </row>
    <row r="283">
      <c r="A283" s="1">
        <v>551.0</v>
      </c>
      <c r="B283" s="1">
        <v>19562.0</v>
      </c>
      <c r="C283" s="23">
        <v>14.668</v>
      </c>
      <c r="D283" s="23">
        <v>17.288</v>
      </c>
      <c r="E283" s="23">
        <v>2.677</v>
      </c>
      <c r="F283" s="61">
        <v>1086.6</v>
      </c>
      <c r="G283" s="23">
        <v>0.79</v>
      </c>
      <c r="H283" s="23">
        <v>0.423</v>
      </c>
      <c r="I283" s="1">
        <v>432.6</v>
      </c>
      <c r="J283" s="1">
        <v>792.9</v>
      </c>
      <c r="K283" s="23">
        <v>0.375</v>
      </c>
      <c r="L283" s="1">
        <v>9614.0</v>
      </c>
      <c r="M283" s="1">
        <v>29905.0</v>
      </c>
      <c r="N283" s="1">
        <v>25.0</v>
      </c>
      <c r="O283" s="23">
        <v>16.036</v>
      </c>
      <c r="P283" s="26">
        <f t="shared" si="6"/>
        <v>0.423</v>
      </c>
    </row>
    <row r="284">
      <c r="A284" s="1">
        <v>553.0</v>
      </c>
      <c r="B284" s="1">
        <v>19562.0</v>
      </c>
      <c r="C284" s="23">
        <v>14.329</v>
      </c>
      <c r="D284" s="23">
        <v>17.318</v>
      </c>
      <c r="E284" s="26">
        <v>3.197</v>
      </c>
      <c r="F284" s="61">
        <v>1086.6</v>
      </c>
      <c r="G284" s="23">
        <v>0.784</v>
      </c>
      <c r="H284" s="23">
        <v>0.415</v>
      </c>
      <c r="I284" s="1">
        <v>432.6</v>
      </c>
      <c r="J284" s="1">
        <v>773.1</v>
      </c>
      <c r="K284" s="23">
        <v>0.375</v>
      </c>
      <c r="L284" s="1">
        <v>10388.0</v>
      </c>
      <c r="M284" s="1">
        <v>29905.0</v>
      </c>
      <c r="N284" s="1">
        <v>98.0</v>
      </c>
      <c r="O284" s="23">
        <v>16.036</v>
      </c>
      <c r="P284" s="26">
        <f t="shared" si="6"/>
        <v>0.415</v>
      </c>
    </row>
    <row r="285">
      <c r="A285" s="1">
        <v>555.0</v>
      </c>
      <c r="B285" s="1">
        <v>18897.0</v>
      </c>
      <c r="C285" s="23">
        <v>14.662</v>
      </c>
      <c r="D285" s="23">
        <v>17.717</v>
      </c>
      <c r="E285" s="26">
        <v>3.234</v>
      </c>
      <c r="F285" s="61">
        <v>1086.6</v>
      </c>
      <c r="G285" s="23">
        <v>0.784</v>
      </c>
      <c r="H285" s="23">
        <v>0.415</v>
      </c>
      <c r="I285" s="1">
        <v>432.6</v>
      </c>
      <c r="J285" s="1">
        <v>773.1</v>
      </c>
      <c r="K285" s="23">
        <v>0.375</v>
      </c>
      <c r="L285" s="1">
        <v>10388.0</v>
      </c>
      <c r="M285" s="1">
        <v>29905.0</v>
      </c>
      <c r="N285" s="1">
        <v>75.0</v>
      </c>
      <c r="O285" s="26">
        <v>16.06</v>
      </c>
      <c r="P285" s="26">
        <f t="shared" si="6"/>
        <v>0.415</v>
      </c>
    </row>
    <row r="286">
      <c r="A286" s="1">
        <v>557.0</v>
      </c>
      <c r="B286" s="1">
        <v>18897.0</v>
      </c>
      <c r="C286" s="23">
        <v>14.273</v>
      </c>
      <c r="D286" s="23">
        <v>17.27</v>
      </c>
      <c r="E286" s="26">
        <v>3.484</v>
      </c>
      <c r="F286" s="61">
        <v>1086.6</v>
      </c>
      <c r="G286" s="23">
        <v>0.706</v>
      </c>
      <c r="H286" s="23">
        <v>0.375</v>
      </c>
      <c r="I286" s="1">
        <v>432.6</v>
      </c>
      <c r="J286" s="1">
        <v>847.3</v>
      </c>
      <c r="K286" s="23">
        <v>0.375</v>
      </c>
      <c r="L286" s="1">
        <v>10388.0</v>
      </c>
      <c r="M286" s="1">
        <v>29905.0</v>
      </c>
      <c r="N286" s="1">
        <v>57.0</v>
      </c>
      <c r="O286" s="26">
        <v>16.06</v>
      </c>
      <c r="P286" s="26">
        <f t="shared" si="6"/>
        <v>0.375</v>
      </c>
    </row>
    <row r="287">
      <c r="A287" s="1">
        <v>559.0</v>
      </c>
      <c r="B287" s="1">
        <v>19562.0</v>
      </c>
      <c r="C287" s="23">
        <v>14.329</v>
      </c>
      <c r="D287" s="23">
        <v>17.338</v>
      </c>
      <c r="E287" s="23">
        <v>3.521</v>
      </c>
      <c r="F287" s="61">
        <v>1071.6</v>
      </c>
      <c r="G287" s="23">
        <v>0.728</v>
      </c>
      <c r="H287" s="23">
        <v>0.375</v>
      </c>
      <c r="I287" s="1">
        <v>432.6</v>
      </c>
      <c r="J287" s="1">
        <v>929.3</v>
      </c>
      <c r="K287" s="23">
        <v>0.375</v>
      </c>
      <c r="L287" s="1">
        <v>10388.0</v>
      </c>
      <c r="M287" s="1">
        <v>29905.0</v>
      </c>
      <c r="N287" s="1">
        <v>26.0</v>
      </c>
      <c r="O287" s="26">
        <v>16.06</v>
      </c>
      <c r="P287" s="26">
        <f t="shared" si="6"/>
        <v>0.375</v>
      </c>
    </row>
    <row r="288">
      <c r="A288" s="1">
        <v>561.0</v>
      </c>
      <c r="B288" s="1">
        <v>19562.0</v>
      </c>
      <c r="C288" s="23">
        <v>14.551</v>
      </c>
      <c r="D288" s="23">
        <v>16.94</v>
      </c>
      <c r="E288" s="23">
        <v>3.521</v>
      </c>
      <c r="F288" s="61">
        <v>1071.6</v>
      </c>
      <c r="G288" s="23">
        <v>0.728</v>
      </c>
      <c r="H288" s="23">
        <v>0.375</v>
      </c>
      <c r="I288" s="1">
        <v>432.6</v>
      </c>
      <c r="J288" s="1">
        <v>929.3</v>
      </c>
      <c r="K288" s="23">
        <v>0.375</v>
      </c>
      <c r="L288" s="1">
        <v>10388.0</v>
      </c>
      <c r="M288" s="1">
        <v>29905.0</v>
      </c>
      <c r="N288" s="1">
        <v>3.0</v>
      </c>
      <c r="O288" s="26">
        <v>16.07</v>
      </c>
      <c r="P288" s="26">
        <f t="shared" si="6"/>
        <v>0.375</v>
      </c>
    </row>
    <row r="289">
      <c r="A289" s="1">
        <v>563.0</v>
      </c>
      <c r="B289" s="1">
        <v>20471.0</v>
      </c>
      <c r="C289" s="23">
        <v>15.073</v>
      </c>
      <c r="D289" s="23">
        <v>17.532</v>
      </c>
      <c r="E289" s="26">
        <v>3.598</v>
      </c>
      <c r="F289" s="61">
        <v>1071.6</v>
      </c>
      <c r="G289" s="23">
        <v>0.726</v>
      </c>
      <c r="H289" s="23">
        <v>0.364</v>
      </c>
      <c r="I289" s="1">
        <v>432.6</v>
      </c>
      <c r="J289" s="1">
        <v>919.3</v>
      </c>
      <c r="K289" s="23">
        <v>0.375</v>
      </c>
      <c r="L289" s="1">
        <v>10388.0</v>
      </c>
      <c r="M289" s="1">
        <v>31296.0</v>
      </c>
      <c r="N289" s="1">
        <v>85.0</v>
      </c>
      <c r="O289" s="26">
        <v>16.07</v>
      </c>
      <c r="P289" s="26">
        <f t="shared" si="6"/>
        <v>0.364</v>
      </c>
    </row>
    <row r="290">
      <c r="A290" s="1">
        <v>565.0</v>
      </c>
      <c r="B290" s="1">
        <v>23833.0</v>
      </c>
      <c r="C290" s="23">
        <v>15.927</v>
      </c>
      <c r="D290" s="23">
        <v>18.528</v>
      </c>
      <c r="E290" s="26">
        <v>3.805</v>
      </c>
      <c r="F290" s="61">
        <v>1071.6</v>
      </c>
      <c r="G290" s="23">
        <v>0.726</v>
      </c>
      <c r="H290" s="23">
        <v>0.364</v>
      </c>
      <c r="I290" s="1">
        <v>432.6</v>
      </c>
      <c r="J290" s="1">
        <v>919.3</v>
      </c>
      <c r="K290" s="23">
        <v>0.375</v>
      </c>
      <c r="L290" s="1">
        <v>10388.0</v>
      </c>
      <c r="M290" s="1">
        <v>36859.0</v>
      </c>
      <c r="N290" s="1">
        <v>64.0</v>
      </c>
      <c r="O290" s="23">
        <v>16.149</v>
      </c>
      <c r="P290" s="26">
        <f t="shared" si="6"/>
        <v>0.364</v>
      </c>
    </row>
    <row r="291">
      <c r="A291" s="1">
        <v>567.0</v>
      </c>
      <c r="B291" s="1">
        <v>24111.0</v>
      </c>
      <c r="C291" s="23">
        <v>18.823</v>
      </c>
      <c r="D291" s="23">
        <v>18.553</v>
      </c>
      <c r="E291" s="26">
        <v>3.805</v>
      </c>
      <c r="F291" s="61">
        <v>1071.6</v>
      </c>
      <c r="G291" s="23">
        <v>0.726</v>
      </c>
      <c r="H291" s="23">
        <v>0.364</v>
      </c>
      <c r="I291" s="1">
        <v>432.6</v>
      </c>
      <c r="J291" s="1">
        <v>919.3</v>
      </c>
      <c r="K291" s="23">
        <v>0.375</v>
      </c>
      <c r="L291" s="1">
        <v>10388.0</v>
      </c>
      <c r="M291" s="1">
        <v>36859.0</v>
      </c>
      <c r="N291" s="1">
        <v>27.0</v>
      </c>
      <c r="O291" s="23">
        <v>16.149</v>
      </c>
      <c r="P291" s="26">
        <f t="shared" si="6"/>
        <v>0.364</v>
      </c>
    </row>
    <row r="292">
      <c r="A292" s="1">
        <v>569.0</v>
      </c>
      <c r="B292" s="1">
        <v>24111.0</v>
      </c>
      <c r="C292" s="23">
        <v>18.863</v>
      </c>
      <c r="D292" s="23">
        <v>18.562</v>
      </c>
      <c r="E292" s="26">
        <v>3.805</v>
      </c>
      <c r="F292" s="61">
        <v>1071.6</v>
      </c>
      <c r="G292" s="23">
        <v>0.726</v>
      </c>
      <c r="H292" s="23">
        <v>0.364</v>
      </c>
      <c r="I292" s="1">
        <v>432.6</v>
      </c>
      <c r="J292" s="1">
        <v>919.3</v>
      </c>
      <c r="K292" s="23">
        <v>0.615</v>
      </c>
      <c r="L292" s="1">
        <v>10388.0</v>
      </c>
      <c r="M292" s="1">
        <v>36859.0</v>
      </c>
      <c r="N292" s="1">
        <v>80.0</v>
      </c>
      <c r="O292" s="23">
        <v>16.187</v>
      </c>
      <c r="P292" s="26">
        <f t="shared" si="6"/>
        <v>0.364</v>
      </c>
    </row>
    <row r="293">
      <c r="A293" s="1">
        <v>571.0</v>
      </c>
      <c r="B293" s="1">
        <v>24111.0</v>
      </c>
      <c r="C293" s="26">
        <v>19.282</v>
      </c>
      <c r="D293" s="23">
        <v>19.934</v>
      </c>
      <c r="E293" s="26">
        <v>3.705</v>
      </c>
      <c r="F293" s="61">
        <v>1071.6</v>
      </c>
      <c r="G293" s="23">
        <v>0.723</v>
      </c>
      <c r="H293" s="23">
        <v>0.364</v>
      </c>
      <c r="I293" s="1">
        <v>432.6</v>
      </c>
      <c r="J293" s="1">
        <v>906.8</v>
      </c>
      <c r="K293" s="23">
        <v>0.615</v>
      </c>
      <c r="L293" s="1">
        <v>10388.0</v>
      </c>
      <c r="M293" s="1">
        <v>36859.0</v>
      </c>
      <c r="N293" s="1">
        <v>31.0</v>
      </c>
      <c r="O293" s="23">
        <v>16.187</v>
      </c>
      <c r="P293" s="26">
        <f t="shared" si="6"/>
        <v>0.364</v>
      </c>
    </row>
    <row r="294">
      <c r="A294" s="1">
        <v>574.0</v>
      </c>
      <c r="B294" s="1">
        <v>24111.0</v>
      </c>
      <c r="C294" s="26">
        <v>19.688</v>
      </c>
      <c r="D294" s="23">
        <v>20.309</v>
      </c>
      <c r="E294" s="26">
        <v>3.705</v>
      </c>
      <c r="F294" s="61">
        <v>1071.6</v>
      </c>
      <c r="G294" s="23">
        <v>0.718</v>
      </c>
      <c r="H294" s="23">
        <v>0.357</v>
      </c>
      <c r="I294" s="1">
        <v>432.6</v>
      </c>
      <c r="J294" s="1">
        <v>886.9</v>
      </c>
      <c r="K294" s="23">
        <v>0.635</v>
      </c>
      <c r="L294" s="1">
        <v>12392.0</v>
      </c>
      <c r="M294" s="1">
        <v>36859.0</v>
      </c>
      <c r="N294" s="1">
        <v>95.0</v>
      </c>
      <c r="O294" s="23">
        <v>16.187</v>
      </c>
      <c r="P294" s="26">
        <f t="shared" si="6"/>
        <v>0.357</v>
      </c>
    </row>
    <row r="295">
      <c r="A295" s="1">
        <v>576.0</v>
      </c>
      <c r="B295" s="1">
        <v>24111.0</v>
      </c>
      <c r="C295" s="23">
        <v>19.701</v>
      </c>
      <c r="D295" s="23">
        <v>20.335</v>
      </c>
      <c r="E295" s="26">
        <v>3.705</v>
      </c>
      <c r="F295" s="61">
        <v>1071.6</v>
      </c>
      <c r="G295" s="23">
        <v>0.693</v>
      </c>
      <c r="H295" s="23">
        <v>0.357</v>
      </c>
      <c r="I295" s="1">
        <v>432.6</v>
      </c>
      <c r="J295" s="1">
        <v>804.9</v>
      </c>
      <c r="K295" s="23">
        <v>0.655</v>
      </c>
      <c r="L295" s="1">
        <v>12392.0</v>
      </c>
      <c r="M295" s="1">
        <v>36859.0</v>
      </c>
      <c r="N295" s="1">
        <v>78.0</v>
      </c>
      <c r="O295" s="23">
        <v>16.291</v>
      </c>
      <c r="P295" s="26">
        <f t="shared" si="6"/>
        <v>0.357</v>
      </c>
    </row>
    <row r="296">
      <c r="A296" s="1">
        <v>578.0</v>
      </c>
      <c r="B296" s="1">
        <v>24111.0</v>
      </c>
      <c r="C296" s="23">
        <v>18.548</v>
      </c>
      <c r="D296" s="23">
        <v>19.212</v>
      </c>
      <c r="E296" s="26">
        <v>3.742</v>
      </c>
      <c r="F296" s="61">
        <v>1076.6</v>
      </c>
      <c r="G296" s="23">
        <v>0.693</v>
      </c>
      <c r="H296" s="23">
        <v>0.364</v>
      </c>
      <c r="I296" s="1">
        <v>432.6</v>
      </c>
      <c r="J296" s="1">
        <v>804.9</v>
      </c>
      <c r="K296" s="23">
        <v>0.655</v>
      </c>
      <c r="L296" s="1">
        <v>12392.0</v>
      </c>
      <c r="M296" s="1">
        <v>36859.0</v>
      </c>
      <c r="N296" s="1">
        <v>26.0</v>
      </c>
      <c r="O296" s="23">
        <v>16.141</v>
      </c>
      <c r="P296" s="26">
        <f t="shared" si="6"/>
        <v>0.364</v>
      </c>
    </row>
    <row r="297">
      <c r="A297" s="1">
        <v>580.0</v>
      </c>
      <c r="B297" s="1">
        <v>19562.0</v>
      </c>
      <c r="C297" s="23">
        <v>14.939</v>
      </c>
      <c r="D297" s="23">
        <v>18.675</v>
      </c>
      <c r="E297" s="26">
        <v>3.532</v>
      </c>
      <c r="F297" s="61">
        <v>1086.6</v>
      </c>
      <c r="G297" s="23">
        <v>0.693</v>
      </c>
      <c r="H297" s="23">
        <v>0.364</v>
      </c>
      <c r="I297" s="1">
        <v>432.6</v>
      </c>
      <c r="J297" s="1">
        <v>804.9</v>
      </c>
      <c r="K297" s="23">
        <v>0.675</v>
      </c>
      <c r="L297" s="1">
        <v>12392.0</v>
      </c>
      <c r="M297" s="1">
        <v>29905.0</v>
      </c>
      <c r="N297" s="1">
        <v>75.0</v>
      </c>
      <c r="O297" s="23">
        <v>16.132</v>
      </c>
      <c r="P297" s="26">
        <f t="shared" si="6"/>
        <v>0.364</v>
      </c>
    </row>
    <row r="298">
      <c r="A298" s="1">
        <v>582.0</v>
      </c>
      <c r="B298" s="1">
        <v>19562.0</v>
      </c>
      <c r="C298" s="23">
        <v>14.784</v>
      </c>
      <c r="D298" s="23">
        <v>18.483</v>
      </c>
      <c r="E298" s="23">
        <v>3.532</v>
      </c>
      <c r="F298" s="61">
        <v>1086.6</v>
      </c>
      <c r="G298" s="23">
        <v>0.693</v>
      </c>
      <c r="H298" s="23">
        <v>0.364</v>
      </c>
      <c r="I298" s="1">
        <v>432.6</v>
      </c>
      <c r="J298" s="1">
        <v>804.9</v>
      </c>
      <c r="K298" s="23">
        <v>0.695</v>
      </c>
      <c r="L298" s="1">
        <v>12392.0</v>
      </c>
      <c r="M298" s="1">
        <v>29905.0</v>
      </c>
      <c r="N298" s="1">
        <v>47.0</v>
      </c>
      <c r="O298" s="23">
        <v>16.132</v>
      </c>
      <c r="P298" s="26">
        <f t="shared" si="6"/>
        <v>0.364</v>
      </c>
    </row>
    <row r="299">
      <c r="A299" s="1">
        <v>584.0</v>
      </c>
      <c r="B299" s="1">
        <v>19562.0</v>
      </c>
      <c r="C299" s="23">
        <v>14.462</v>
      </c>
      <c r="D299" s="23">
        <v>17.083</v>
      </c>
      <c r="E299" s="26">
        <v>3.726</v>
      </c>
      <c r="F299" s="61">
        <v>1086.6</v>
      </c>
      <c r="G299" s="23">
        <v>0.693</v>
      </c>
      <c r="H299" s="23">
        <v>0.364</v>
      </c>
      <c r="I299" s="1">
        <v>432.6</v>
      </c>
      <c r="J299" s="1">
        <v>804.9</v>
      </c>
      <c r="K299" s="23">
        <v>0.695</v>
      </c>
      <c r="L299" s="1">
        <v>12392.0</v>
      </c>
      <c r="M299" s="1">
        <v>29905.0</v>
      </c>
      <c r="N299" s="1">
        <v>17.0</v>
      </c>
      <c r="O299" s="26">
        <v>16.03</v>
      </c>
      <c r="P299" s="26">
        <f t="shared" si="6"/>
        <v>0.364</v>
      </c>
    </row>
    <row r="300">
      <c r="A300" s="1">
        <v>586.0</v>
      </c>
      <c r="B300" s="1">
        <v>19562.0</v>
      </c>
      <c r="C300" s="23">
        <v>14.162</v>
      </c>
      <c r="D300" s="23">
        <v>17.463</v>
      </c>
      <c r="E300" s="26">
        <v>3.726</v>
      </c>
      <c r="F300" s="61">
        <v>1086.6</v>
      </c>
      <c r="G300" s="23">
        <v>0.697</v>
      </c>
      <c r="H300" s="23">
        <v>1.364</v>
      </c>
      <c r="I300" s="1">
        <v>432.6</v>
      </c>
      <c r="J300" s="1">
        <v>817.4</v>
      </c>
      <c r="K300" s="23">
        <v>0.715</v>
      </c>
      <c r="L300" s="1">
        <v>12392.0</v>
      </c>
      <c r="M300" s="1">
        <v>29905.0</v>
      </c>
      <c r="N300" s="1">
        <v>93.0</v>
      </c>
      <c r="O300" s="26">
        <v>16.03</v>
      </c>
      <c r="P300" s="26">
        <f t="shared" si="6"/>
        <v>1</v>
      </c>
    </row>
    <row r="301">
      <c r="A301" s="1">
        <v>588.0</v>
      </c>
      <c r="B301" s="1">
        <v>19562.0</v>
      </c>
      <c r="C301" s="23">
        <v>14.495</v>
      </c>
      <c r="D301" s="23">
        <v>17.84</v>
      </c>
      <c r="E301" s="26">
        <v>3.343</v>
      </c>
      <c r="F301" s="61">
        <v>1086.6</v>
      </c>
      <c r="G301" s="23">
        <v>0.697</v>
      </c>
      <c r="H301" s="23">
        <v>1.364</v>
      </c>
      <c r="I301" s="1">
        <v>432.6</v>
      </c>
      <c r="J301" s="1">
        <v>817.4</v>
      </c>
      <c r="K301" s="23">
        <v>0.735</v>
      </c>
      <c r="L301" s="1">
        <v>12392.0</v>
      </c>
      <c r="M301" s="1">
        <v>29905.0</v>
      </c>
      <c r="N301" s="1">
        <v>72.0</v>
      </c>
      <c r="O301" s="26">
        <v>16.03</v>
      </c>
      <c r="P301" s="26">
        <f t="shared" si="6"/>
        <v>1</v>
      </c>
    </row>
    <row r="302">
      <c r="A302" s="1">
        <v>590.0</v>
      </c>
      <c r="B302" s="1">
        <v>19562.0</v>
      </c>
      <c r="C302" s="23">
        <v>14.484</v>
      </c>
      <c r="D302" s="23">
        <v>17.992</v>
      </c>
      <c r="E302" s="26">
        <v>3.343</v>
      </c>
      <c r="F302" s="61">
        <v>1071.6</v>
      </c>
      <c r="G302" s="23">
        <v>0.722</v>
      </c>
      <c r="H302" s="23">
        <v>0.364</v>
      </c>
      <c r="I302" s="1">
        <v>432.6</v>
      </c>
      <c r="J302" s="1">
        <v>899.4</v>
      </c>
      <c r="K302" s="23">
        <v>0.735</v>
      </c>
      <c r="L302" s="1">
        <v>12392.0</v>
      </c>
      <c r="M302" s="1">
        <v>29905.0</v>
      </c>
      <c r="N302" s="1">
        <v>50.0</v>
      </c>
      <c r="O302" s="23">
        <v>16.113</v>
      </c>
      <c r="P302" s="26">
        <f t="shared" si="6"/>
        <v>0.364</v>
      </c>
    </row>
    <row r="303">
      <c r="A303" s="1">
        <v>592.0</v>
      </c>
      <c r="B303" s="1">
        <v>19562.0</v>
      </c>
      <c r="C303" s="26">
        <v>14.84</v>
      </c>
      <c r="D303" s="23">
        <v>18.398</v>
      </c>
      <c r="E303" s="26">
        <v>3.343</v>
      </c>
      <c r="F303" s="61">
        <v>1071.6</v>
      </c>
      <c r="G303" s="23">
        <v>0.722</v>
      </c>
      <c r="H303" s="23">
        <v>0.374</v>
      </c>
      <c r="I303" s="1">
        <v>432.6</v>
      </c>
      <c r="J303" s="1">
        <v>899.4</v>
      </c>
      <c r="K303" s="23">
        <v>0.755</v>
      </c>
      <c r="L303" s="1">
        <v>12392.0</v>
      </c>
      <c r="M303" s="1">
        <v>29905.0</v>
      </c>
      <c r="N303" s="1">
        <v>23.0</v>
      </c>
      <c r="O303" s="23">
        <v>16.113</v>
      </c>
      <c r="P303" s="26">
        <f t="shared" si="6"/>
        <v>0.374</v>
      </c>
    </row>
    <row r="304">
      <c r="A304" s="1">
        <v>594.0</v>
      </c>
      <c r="B304" s="1">
        <v>19562.0</v>
      </c>
      <c r="C304" s="23">
        <v>15.383</v>
      </c>
      <c r="D304" s="26">
        <v>18.386</v>
      </c>
      <c r="E304" s="26">
        <v>3.38</v>
      </c>
      <c r="F304" s="61">
        <v>1071.6</v>
      </c>
      <c r="G304" s="23">
        <v>0.722</v>
      </c>
      <c r="H304" s="23">
        <v>0.374</v>
      </c>
      <c r="I304" s="1">
        <v>432.6</v>
      </c>
      <c r="J304" s="1">
        <v>899.4</v>
      </c>
      <c r="K304" s="23">
        <v>0.775</v>
      </c>
      <c r="L304" s="1">
        <v>12392.0</v>
      </c>
      <c r="M304" s="1">
        <v>29905.0</v>
      </c>
      <c r="N304" s="1">
        <v>91.0</v>
      </c>
      <c r="O304" s="23">
        <v>16.129</v>
      </c>
      <c r="P304" s="26">
        <f t="shared" si="6"/>
        <v>0.374</v>
      </c>
    </row>
    <row r="305">
      <c r="A305" s="1">
        <v>596.0</v>
      </c>
      <c r="B305" s="1">
        <v>21381.0</v>
      </c>
      <c r="C305" s="23">
        <v>16.116</v>
      </c>
      <c r="D305" s="23">
        <v>19.256</v>
      </c>
      <c r="E305" s="26">
        <v>4.109</v>
      </c>
      <c r="F305" s="61">
        <v>1071.6</v>
      </c>
      <c r="G305" s="23">
        <v>0.722</v>
      </c>
      <c r="H305" s="23">
        <v>0.374</v>
      </c>
      <c r="I305" s="1">
        <v>432.6</v>
      </c>
      <c r="J305" s="1">
        <v>899.4</v>
      </c>
      <c r="K305" s="23">
        <v>0.775</v>
      </c>
      <c r="L305" s="1">
        <v>12392.0</v>
      </c>
      <c r="M305" s="1">
        <v>32687.0</v>
      </c>
      <c r="N305" s="1">
        <v>64.0</v>
      </c>
      <c r="O305" s="23">
        <v>16.129</v>
      </c>
      <c r="P305" s="26">
        <f t="shared" si="6"/>
        <v>0.374</v>
      </c>
    </row>
    <row r="306">
      <c r="A306" s="1">
        <v>598.0</v>
      </c>
      <c r="B306" s="1">
        <v>21381.0</v>
      </c>
      <c r="C306" s="23">
        <v>16.116</v>
      </c>
      <c r="D306" s="23">
        <v>19.27</v>
      </c>
      <c r="E306" s="26">
        <v>4.295</v>
      </c>
      <c r="F306" s="61">
        <v>1071.6</v>
      </c>
      <c r="G306" s="23">
        <v>0.705</v>
      </c>
      <c r="H306" s="23">
        <v>0.374</v>
      </c>
      <c r="I306" s="1">
        <v>432.6</v>
      </c>
      <c r="J306" s="1">
        <v>845.0</v>
      </c>
      <c r="K306" s="23">
        <v>0.795</v>
      </c>
      <c r="L306" s="1">
        <v>12392.0</v>
      </c>
      <c r="M306" s="1">
        <v>32687.0</v>
      </c>
      <c r="N306" s="1">
        <v>31.0</v>
      </c>
      <c r="O306" s="23">
        <v>16.111</v>
      </c>
      <c r="P306" s="26">
        <f t="shared" si="6"/>
        <v>0.374</v>
      </c>
    </row>
    <row r="307">
      <c r="A307" s="1">
        <v>600.0</v>
      </c>
      <c r="B307" s="1">
        <v>21381.0</v>
      </c>
      <c r="C307" s="23">
        <v>16.127</v>
      </c>
      <c r="D307" s="23">
        <v>19.266</v>
      </c>
      <c r="E307" s="26">
        <v>4.164</v>
      </c>
      <c r="F307" s="61">
        <v>1071.6</v>
      </c>
      <c r="G307" s="23">
        <v>0.708</v>
      </c>
      <c r="H307" s="23">
        <v>0.393</v>
      </c>
      <c r="I307" s="1">
        <v>432.6</v>
      </c>
      <c r="J307" s="1">
        <v>855.0</v>
      </c>
      <c r="K307" s="23">
        <v>0.795</v>
      </c>
      <c r="L307" s="1">
        <v>12392.0</v>
      </c>
      <c r="M307" s="1">
        <v>32687.0</v>
      </c>
      <c r="N307" s="1">
        <v>93.0</v>
      </c>
      <c r="O307" s="23">
        <v>16.111</v>
      </c>
      <c r="P307" s="26">
        <f t="shared" si="6"/>
        <v>0.393</v>
      </c>
    </row>
    <row r="308">
      <c r="A308" s="1">
        <v>602.0</v>
      </c>
      <c r="B308" s="1">
        <v>21381.0</v>
      </c>
      <c r="C308" s="23">
        <v>16.094</v>
      </c>
      <c r="D308" s="23">
        <v>19.266</v>
      </c>
      <c r="E308" s="23">
        <v>4.164</v>
      </c>
      <c r="F308" s="61">
        <v>1071.6</v>
      </c>
      <c r="G308" s="23">
        <v>0.708</v>
      </c>
      <c r="H308" s="23">
        <v>0.393</v>
      </c>
      <c r="I308" s="1">
        <v>432.6</v>
      </c>
      <c r="J308" s="1">
        <v>855.0</v>
      </c>
      <c r="K308" s="23">
        <v>0.375</v>
      </c>
      <c r="L308" s="1">
        <v>12392.0</v>
      </c>
      <c r="M308" s="1">
        <v>32687.0</v>
      </c>
      <c r="N308" s="1">
        <v>59.0</v>
      </c>
      <c r="O308" s="23">
        <v>16.111</v>
      </c>
      <c r="P308" s="26">
        <f t="shared" si="6"/>
        <v>0.393</v>
      </c>
    </row>
    <row r="309">
      <c r="A309" s="1">
        <v>604.0</v>
      </c>
      <c r="B309" s="1">
        <v>20655.0</v>
      </c>
      <c r="C309" s="23">
        <v>15.994</v>
      </c>
      <c r="D309" s="23">
        <v>19.204</v>
      </c>
      <c r="E309" s="26">
        <v>4.204</v>
      </c>
      <c r="F309" s="61">
        <v>1071.6</v>
      </c>
      <c r="G309" s="23">
        <v>0.708</v>
      </c>
      <c r="H309" s="23">
        <v>0.393</v>
      </c>
      <c r="I309" s="1">
        <v>432.6</v>
      </c>
      <c r="J309" s="1">
        <v>855.0</v>
      </c>
      <c r="K309" s="23">
        <v>0.375</v>
      </c>
      <c r="L309" s="1">
        <v>12392.0</v>
      </c>
      <c r="M309" s="1">
        <v>32687.0</v>
      </c>
      <c r="N309" s="1">
        <v>19.0</v>
      </c>
      <c r="O309" s="23">
        <v>16.159</v>
      </c>
      <c r="P309" s="26">
        <f t="shared" si="6"/>
        <v>0.393</v>
      </c>
    </row>
    <row r="310">
      <c r="A310" s="1">
        <v>606.0</v>
      </c>
      <c r="B310" s="1">
        <v>21381.0</v>
      </c>
      <c r="C310" s="23">
        <v>16.049</v>
      </c>
      <c r="D310" s="23">
        <v>19.282</v>
      </c>
      <c r="E310" s="26">
        <v>4.204</v>
      </c>
      <c r="F310" s="61">
        <v>1071.6</v>
      </c>
      <c r="G310" s="23">
        <v>0.708</v>
      </c>
      <c r="H310" s="23">
        <v>0.393</v>
      </c>
      <c r="I310" s="1">
        <v>432.6</v>
      </c>
      <c r="J310" s="1">
        <v>855.0</v>
      </c>
      <c r="K310" s="23">
        <v>0.375</v>
      </c>
      <c r="L310" s="1">
        <v>12392.0</v>
      </c>
      <c r="M310" s="1">
        <v>32687.0</v>
      </c>
      <c r="N310" s="1">
        <v>89.0</v>
      </c>
      <c r="O310" s="23">
        <v>16.159</v>
      </c>
      <c r="P310" s="26">
        <f t="shared" si="6"/>
        <v>0.393</v>
      </c>
    </row>
    <row r="311">
      <c r="A311" s="1"/>
      <c r="B311" s="1"/>
      <c r="C311" s="23"/>
      <c r="D311" s="23"/>
      <c r="E311" s="26"/>
      <c r="F311" s="1"/>
      <c r="G311" s="23"/>
      <c r="H311" s="23"/>
      <c r="I311" s="1"/>
      <c r="J311" s="1"/>
    </row>
    <row r="312">
      <c r="A312" s="1"/>
      <c r="B312" s="1"/>
      <c r="C312" s="23"/>
      <c r="D312" s="23"/>
      <c r="E312" s="26"/>
      <c r="F312" s="1"/>
      <c r="G312" s="23"/>
      <c r="H312" s="23"/>
      <c r="I312" s="1"/>
      <c r="J312" s="1"/>
    </row>
    <row r="313">
      <c r="A313" s="1"/>
      <c r="B313" s="1"/>
      <c r="C313" s="23"/>
      <c r="D313" s="23"/>
      <c r="E313" s="26"/>
      <c r="F313" s="1"/>
      <c r="G313" s="23"/>
      <c r="H313" s="23"/>
      <c r="I313" s="1"/>
      <c r="J313" s="1"/>
    </row>
    <row r="314">
      <c r="A314" s="1"/>
      <c r="B314" s="1"/>
      <c r="C314" s="23"/>
      <c r="D314" s="23"/>
      <c r="E314" s="26"/>
      <c r="F314" s="1"/>
      <c r="G314" s="23"/>
      <c r="H314" s="23"/>
      <c r="I314" s="1"/>
      <c r="J314" s="1"/>
    </row>
    <row r="315">
      <c r="A315" s="1"/>
      <c r="B315" s="1"/>
      <c r="C315" s="23"/>
      <c r="D315" s="23"/>
      <c r="E315" s="26"/>
      <c r="F315" s="1"/>
      <c r="G315" s="23"/>
      <c r="H315" s="23"/>
      <c r="I315" s="1"/>
      <c r="J315" s="1"/>
    </row>
    <row r="316">
      <c r="A316" s="1"/>
      <c r="B316" s="1"/>
      <c r="C316" s="23"/>
      <c r="D316" s="23"/>
      <c r="E316" s="26"/>
      <c r="F316" s="1"/>
      <c r="G316" s="23"/>
      <c r="H316" s="23"/>
      <c r="I316" s="1"/>
      <c r="J316" s="1"/>
    </row>
    <row r="317">
      <c r="A317" s="1"/>
      <c r="B317" s="1"/>
      <c r="C317" s="26"/>
      <c r="D317" s="23"/>
      <c r="E317" s="26"/>
      <c r="F317" s="1"/>
      <c r="G317" s="23"/>
      <c r="H317" s="23"/>
      <c r="I317" s="1"/>
      <c r="J317" s="1"/>
    </row>
    <row r="318">
      <c r="A318" s="1"/>
      <c r="B318" s="1"/>
      <c r="C318" s="26"/>
      <c r="D318" s="23"/>
      <c r="E318" s="26"/>
      <c r="F318" s="1"/>
      <c r="G318" s="23"/>
      <c r="H318" s="23"/>
      <c r="I318" s="1"/>
      <c r="J318" s="1"/>
    </row>
    <row r="319">
      <c r="A319" s="1"/>
      <c r="B319" s="1"/>
      <c r="C319" s="26"/>
      <c r="D319" s="23"/>
      <c r="E319" s="26"/>
      <c r="F319" s="1"/>
      <c r="G319" s="23"/>
      <c r="H319" s="23"/>
      <c r="I319" s="1"/>
      <c r="J319" s="1"/>
    </row>
    <row r="320">
      <c r="A320" s="1"/>
      <c r="B320" s="1"/>
      <c r="C320" s="26"/>
      <c r="D320" s="23"/>
      <c r="E320" s="26"/>
      <c r="F320" s="1"/>
      <c r="G320" s="23"/>
      <c r="H320" s="23"/>
      <c r="I320" s="1"/>
      <c r="J320" s="1"/>
    </row>
    <row r="321">
      <c r="A321" s="1"/>
      <c r="B321" s="1"/>
      <c r="C321" s="23"/>
      <c r="D321" s="23"/>
      <c r="E321" s="26"/>
      <c r="F321" s="1"/>
      <c r="G321" s="23"/>
      <c r="H321" s="23"/>
      <c r="I321" s="1"/>
      <c r="J321" s="1"/>
    </row>
    <row r="322">
      <c r="A322" s="1"/>
      <c r="B322" s="1"/>
      <c r="C322" s="23"/>
      <c r="D322" s="23"/>
      <c r="E322" s="26"/>
      <c r="F322" s="1"/>
      <c r="G322" s="23"/>
      <c r="H322" s="23"/>
      <c r="I322" s="1"/>
      <c r="J322" s="1"/>
    </row>
    <row r="323">
      <c r="A323" s="1"/>
      <c r="B323" s="1"/>
      <c r="C323" s="26"/>
      <c r="D323" s="23"/>
      <c r="E323" s="23"/>
      <c r="F323" s="1"/>
      <c r="G323" s="23"/>
      <c r="H323" s="23"/>
      <c r="I323" s="1"/>
      <c r="J323" s="1"/>
    </row>
    <row r="324">
      <c r="A324" s="1"/>
      <c r="B324" s="1"/>
      <c r="C324" s="23"/>
      <c r="D324" s="23"/>
      <c r="E324" s="26"/>
      <c r="F324" s="1"/>
      <c r="G324" s="23"/>
      <c r="H324" s="23"/>
      <c r="I324" s="1"/>
      <c r="J324" s="1"/>
    </row>
    <row r="325">
      <c r="A325" s="1"/>
      <c r="B325" s="1"/>
      <c r="C325" s="26"/>
      <c r="D325" s="23"/>
      <c r="E325" s="26"/>
      <c r="F325" s="1"/>
      <c r="G325" s="23"/>
      <c r="H325" s="23"/>
      <c r="I325" s="1"/>
      <c r="J325" s="1"/>
    </row>
    <row r="326">
      <c r="A326" s="1"/>
      <c r="B326" s="1"/>
      <c r="C326" s="26"/>
      <c r="D326" s="23"/>
      <c r="E326" s="26"/>
      <c r="F326" s="1"/>
      <c r="G326" s="23"/>
      <c r="H326" s="23"/>
      <c r="I326" s="1"/>
      <c r="J326" s="1"/>
    </row>
    <row r="327">
      <c r="A327" s="1"/>
      <c r="B327" s="1"/>
      <c r="C327" s="26"/>
      <c r="D327" s="23"/>
      <c r="E327" s="26"/>
      <c r="F327" s="1"/>
      <c r="G327" s="23"/>
      <c r="H327" s="23"/>
      <c r="I327" s="1"/>
      <c r="J327" s="1"/>
    </row>
    <row r="328">
      <c r="A328" s="1"/>
      <c r="B328" s="1"/>
      <c r="C328" s="26"/>
      <c r="D328" s="23"/>
      <c r="E328" s="26"/>
      <c r="F328" s="1"/>
      <c r="G328" s="23"/>
      <c r="H328" s="23"/>
      <c r="I328" s="1"/>
      <c r="J328" s="1"/>
    </row>
    <row r="329">
      <c r="A329" s="1"/>
      <c r="B329" s="1"/>
      <c r="C329" s="26"/>
      <c r="D329" s="23"/>
      <c r="E329" s="26"/>
      <c r="F329" s="1"/>
      <c r="G329" s="23"/>
      <c r="H329" s="23"/>
      <c r="I329" s="1"/>
      <c r="J329" s="1"/>
    </row>
    <row r="330">
      <c r="A330" s="1"/>
      <c r="B330" s="1"/>
      <c r="C330" s="26"/>
      <c r="D330" s="23"/>
      <c r="E330" s="26"/>
      <c r="F330" s="1"/>
      <c r="G330" s="23"/>
      <c r="H330" s="23"/>
      <c r="I330" s="1"/>
      <c r="J330" s="1"/>
    </row>
    <row r="331">
      <c r="A331" s="1"/>
      <c r="B331" s="1"/>
      <c r="C331" s="23"/>
      <c r="D331" s="23"/>
      <c r="E331" s="23"/>
      <c r="F331" s="1"/>
      <c r="G331" s="23"/>
      <c r="H331" s="23"/>
      <c r="I331" s="1"/>
      <c r="J331" s="1"/>
    </row>
    <row r="332">
      <c r="A332" s="1"/>
      <c r="B332" s="1"/>
      <c r="C332" s="26"/>
      <c r="D332" s="23"/>
      <c r="E332" s="26"/>
      <c r="F332" s="1"/>
      <c r="G332" s="23"/>
      <c r="H332" s="23"/>
      <c r="I332" s="1"/>
      <c r="J332" s="1"/>
    </row>
    <row r="333">
      <c r="A333" s="1"/>
      <c r="B333" s="1"/>
      <c r="C333" s="23"/>
      <c r="D333" s="23"/>
      <c r="E333" s="23"/>
      <c r="F333" s="1"/>
      <c r="G333" s="23"/>
      <c r="H333" s="23"/>
      <c r="I333" s="1"/>
      <c r="J333" s="1"/>
    </row>
    <row r="334">
      <c r="A334" s="1"/>
      <c r="B334" s="1"/>
      <c r="C334" s="23"/>
      <c r="D334" s="23"/>
      <c r="E334" s="26"/>
      <c r="F334" s="1"/>
      <c r="G334" s="23"/>
      <c r="H334" s="23"/>
      <c r="I334" s="1"/>
      <c r="J334" s="1"/>
    </row>
    <row r="335">
      <c r="A335" s="1"/>
      <c r="B335" s="1"/>
      <c r="C335" s="23"/>
      <c r="D335" s="23"/>
      <c r="E335" s="23"/>
      <c r="F335" s="1"/>
      <c r="G335" s="23"/>
      <c r="H335" s="23"/>
      <c r="I335" s="1"/>
      <c r="J335" s="1"/>
    </row>
    <row r="336">
      <c r="A336" s="1"/>
      <c r="B336" s="1"/>
      <c r="C336" s="23"/>
      <c r="D336" s="23"/>
      <c r="E336" s="26"/>
      <c r="F336" s="1"/>
      <c r="G336" s="23"/>
      <c r="H336" s="23"/>
      <c r="I336" s="1"/>
      <c r="J336" s="1"/>
    </row>
    <row r="337">
      <c r="A337" s="1"/>
      <c r="B337" s="1"/>
      <c r="C337" s="23"/>
      <c r="D337" s="23"/>
      <c r="E337" s="23"/>
      <c r="F337" s="1"/>
      <c r="G337" s="23"/>
      <c r="H337" s="23"/>
      <c r="I337" s="1"/>
      <c r="J337" s="1"/>
    </row>
    <row r="338">
      <c r="A338" s="1"/>
      <c r="B338" s="1"/>
      <c r="C338" s="23"/>
      <c r="D338" s="23"/>
      <c r="E338" s="26"/>
      <c r="F338" s="1"/>
      <c r="G338" s="23"/>
      <c r="H338" s="23"/>
      <c r="I338" s="1"/>
      <c r="J338" s="1"/>
    </row>
    <row r="339">
      <c r="A339" s="1"/>
      <c r="B339" s="1"/>
      <c r="C339" s="26"/>
      <c r="D339" s="23"/>
      <c r="E339" s="23"/>
      <c r="F339" s="1"/>
      <c r="G339" s="23"/>
      <c r="H339" s="23"/>
      <c r="I339" s="1"/>
      <c r="J339" s="1"/>
    </row>
    <row r="340">
      <c r="A340" s="1"/>
      <c r="B340" s="1"/>
      <c r="C340" s="26"/>
      <c r="D340" s="23"/>
      <c r="E340" s="23"/>
      <c r="F340" s="1"/>
      <c r="G340" s="23"/>
      <c r="H340" s="23"/>
      <c r="I340" s="1"/>
      <c r="J340" s="1"/>
    </row>
    <row r="341">
      <c r="A341" s="1"/>
      <c r="B341" s="1"/>
      <c r="C341" s="26"/>
      <c r="D341" s="23"/>
      <c r="E341" s="23"/>
      <c r="F341" s="1"/>
      <c r="G341" s="23"/>
      <c r="H341" s="23"/>
      <c r="I341" s="1"/>
      <c r="J341" s="1"/>
    </row>
    <row r="342">
      <c r="A342" s="1"/>
      <c r="B342" s="1"/>
      <c r="C342" s="23"/>
      <c r="D342" s="23"/>
      <c r="E342" s="23"/>
      <c r="F342" s="1"/>
      <c r="G342" s="23"/>
      <c r="H342" s="23"/>
      <c r="I342" s="1"/>
      <c r="J342" s="1"/>
    </row>
    <row r="343">
      <c r="A343" s="1"/>
      <c r="B343" s="1"/>
      <c r="C343" s="23"/>
      <c r="D343" s="23"/>
      <c r="E343" s="23"/>
      <c r="F343" s="1"/>
      <c r="G343" s="23"/>
      <c r="H343" s="23"/>
      <c r="I343" s="1"/>
      <c r="J343" s="1"/>
    </row>
    <row r="344">
      <c r="A344" s="1"/>
      <c r="B344" s="1"/>
      <c r="C344" s="26"/>
      <c r="D344" s="23"/>
      <c r="E344" s="23"/>
      <c r="F344" s="1"/>
      <c r="G344" s="23"/>
      <c r="H344" s="23"/>
      <c r="I344" s="1"/>
      <c r="J344" s="1"/>
    </row>
    <row r="345">
      <c r="A345" s="1"/>
      <c r="B345" s="1"/>
      <c r="C345" s="26"/>
      <c r="D345" s="23"/>
      <c r="E345" s="23"/>
      <c r="F345" s="1"/>
      <c r="G345" s="23"/>
      <c r="H345" s="23"/>
      <c r="I345" s="1"/>
      <c r="J345" s="1"/>
    </row>
    <row r="346">
      <c r="A346" s="1"/>
      <c r="B346" s="1"/>
      <c r="C346" s="26"/>
      <c r="D346" s="23"/>
      <c r="E346" s="23"/>
      <c r="F346" s="1"/>
      <c r="G346" s="23"/>
      <c r="H346" s="23"/>
      <c r="I346" s="1"/>
      <c r="J346" s="1"/>
    </row>
    <row r="347">
      <c r="A347" s="1"/>
      <c r="B347" s="1"/>
      <c r="C347" s="23"/>
      <c r="D347" s="23"/>
      <c r="E347" s="23"/>
      <c r="F347" s="1"/>
      <c r="G347" s="23"/>
      <c r="H347" s="23"/>
      <c r="I347" s="1"/>
      <c r="J347" s="1"/>
    </row>
    <row r="348">
      <c r="A348" s="1"/>
      <c r="B348" s="1"/>
      <c r="C348" s="23"/>
      <c r="D348" s="23"/>
      <c r="E348" s="23"/>
      <c r="F348" s="1"/>
      <c r="G348" s="23"/>
      <c r="H348" s="23"/>
      <c r="I348" s="1"/>
      <c r="J348" s="1"/>
    </row>
    <row r="349">
      <c r="A349" s="1"/>
      <c r="B349" s="1"/>
      <c r="C349" s="23"/>
      <c r="D349" s="23"/>
      <c r="E349" s="23"/>
      <c r="F349" s="1"/>
      <c r="G349" s="23"/>
      <c r="H349" s="23"/>
      <c r="I349" s="1"/>
      <c r="J349" s="1"/>
    </row>
    <row r="350">
      <c r="A350" s="1"/>
      <c r="B350" s="1"/>
      <c r="C350" s="23"/>
      <c r="D350" s="23"/>
      <c r="E350" s="23"/>
      <c r="F350" s="1"/>
      <c r="G350" s="23"/>
      <c r="H350" s="23"/>
      <c r="I350" s="1"/>
      <c r="J350" s="1"/>
    </row>
    <row r="351">
      <c r="A351" s="1"/>
      <c r="B351" s="1"/>
      <c r="C351" s="23"/>
      <c r="D351" s="23"/>
      <c r="E351" s="23"/>
      <c r="F351" s="1"/>
      <c r="G351" s="23"/>
      <c r="H351" s="23"/>
      <c r="I351" s="1"/>
      <c r="J351" s="1"/>
    </row>
    <row r="352">
      <c r="A352" s="1"/>
      <c r="B352" s="1"/>
      <c r="C352" s="23"/>
      <c r="D352" s="23"/>
      <c r="E352" s="23"/>
      <c r="F352" s="1"/>
      <c r="G352" s="23"/>
      <c r="H352" s="23"/>
      <c r="I352" s="1"/>
      <c r="J352" s="1"/>
    </row>
    <row r="353">
      <c r="A353" s="1"/>
      <c r="B353" s="1"/>
      <c r="C353" s="23"/>
      <c r="D353" s="23"/>
      <c r="E353" s="23"/>
      <c r="F353" s="1"/>
      <c r="G353" s="23"/>
      <c r="H353" s="23"/>
      <c r="I353" s="1"/>
      <c r="J353" s="1"/>
    </row>
    <row r="354">
      <c r="A354" s="1"/>
      <c r="B354" s="1"/>
      <c r="C354" s="23"/>
      <c r="D354" s="23"/>
      <c r="E354" s="23"/>
      <c r="F354" s="1"/>
      <c r="G354" s="23"/>
      <c r="H354" s="23"/>
      <c r="I354" s="1"/>
      <c r="J354" s="1"/>
    </row>
    <row r="355">
      <c r="A355" s="1"/>
      <c r="B355" s="1"/>
      <c r="C355" s="23"/>
      <c r="D355" s="23"/>
      <c r="E355" s="23"/>
      <c r="F355" s="1"/>
      <c r="G355" s="23"/>
      <c r="H355" s="23"/>
      <c r="I355" s="1"/>
      <c r="J355" s="1"/>
    </row>
    <row r="356">
      <c r="A356" s="1"/>
      <c r="B356" s="1"/>
      <c r="C356" s="23"/>
      <c r="D356" s="23"/>
      <c r="E356" s="23"/>
      <c r="F356" s="1"/>
      <c r="G356" s="23"/>
      <c r="H356" s="23"/>
      <c r="I356" s="1"/>
      <c r="J356" s="1"/>
    </row>
    <row r="357">
      <c r="A357" s="1"/>
      <c r="B357" s="1"/>
      <c r="C357" s="23"/>
      <c r="D357" s="23"/>
      <c r="E357" s="23"/>
      <c r="F357" s="1"/>
      <c r="G357" s="23"/>
      <c r="H357" s="23"/>
      <c r="I357" s="1"/>
      <c r="J357" s="1"/>
    </row>
    <row r="358">
      <c r="A358" s="1"/>
      <c r="B358" s="1"/>
      <c r="C358" s="23"/>
      <c r="D358" s="23"/>
      <c r="E358" s="23"/>
      <c r="F358" s="1"/>
      <c r="G358" s="23"/>
      <c r="H358" s="23"/>
      <c r="I358" s="1"/>
      <c r="J358" s="1"/>
    </row>
    <row r="359">
      <c r="A359" s="1"/>
      <c r="B359" s="1"/>
      <c r="C359" s="23"/>
      <c r="D359" s="23"/>
      <c r="E359" s="23"/>
      <c r="F359" s="1"/>
      <c r="G359" s="23"/>
      <c r="H359" s="23"/>
      <c r="I359" s="1"/>
      <c r="J359" s="1"/>
    </row>
    <row r="360">
      <c r="A360" s="1"/>
      <c r="B360" s="1"/>
      <c r="C360" s="23"/>
      <c r="D360" s="23"/>
      <c r="E360" s="23"/>
      <c r="F360" s="1"/>
      <c r="G360" s="23"/>
      <c r="H360" s="23"/>
      <c r="I360" s="1"/>
      <c r="J360" s="1"/>
    </row>
    <row r="361">
      <c r="A361" s="1"/>
      <c r="B361" s="1"/>
      <c r="C361" s="23"/>
      <c r="D361" s="23"/>
      <c r="E361" s="23"/>
      <c r="F361" s="1"/>
      <c r="G361" s="23"/>
      <c r="H361" s="23"/>
      <c r="I361" s="1"/>
      <c r="J361" s="1"/>
    </row>
    <row r="362">
      <c r="A362" s="1"/>
      <c r="B362" s="1"/>
      <c r="C362" s="23"/>
      <c r="D362" s="23"/>
      <c r="E362" s="23"/>
      <c r="F362" s="1"/>
      <c r="G362" s="23"/>
      <c r="H362" s="23"/>
      <c r="I362" s="1"/>
      <c r="J362" s="1"/>
    </row>
    <row r="363">
      <c r="A363" s="1"/>
      <c r="B363" s="1"/>
      <c r="C363" s="23"/>
      <c r="D363" s="23"/>
      <c r="E363" s="23"/>
      <c r="F363" s="1"/>
      <c r="G363" s="23"/>
      <c r="H363" s="23"/>
      <c r="I363" s="1"/>
      <c r="J363" s="1"/>
    </row>
    <row r="364">
      <c r="A364" s="1"/>
      <c r="B364" s="1"/>
      <c r="C364" s="23"/>
      <c r="D364" s="23"/>
      <c r="E364" s="23"/>
      <c r="F364" s="1"/>
      <c r="G364" s="23"/>
      <c r="H364" s="23"/>
      <c r="I364" s="1"/>
      <c r="J364" s="1"/>
    </row>
    <row r="365">
      <c r="A365" s="1"/>
      <c r="B365" s="1"/>
      <c r="C365" s="23"/>
      <c r="D365" s="23"/>
      <c r="E365" s="23"/>
      <c r="F365" s="1"/>
      <c r="G365" s="23"/>
      <c r="H365" s="23"/>
      <c r="I365" s="1"/>
      <c r="J365" s="1"/>
    </row>
    <row r="366">
      <c r="A366" s="1"/>
      <c r="B366" s="1"/>
      <c r="C366" s="23"/>
      <c r="D366" s="23"/>
      <c r="E366" s="23"/>
      <c r="F366" s="1"/>
      <c r="G366" s="23"/>
      <c r="H366" s="23"/>
      <c r="I366" s="1"/>
      <c r="J366" s="1"/>
    </row>
    <row r="367">
      <c r="A367" s="1"/>
      <c r="B367" s="1"/>
      <c r="C367" s="23"/>
      <c r="D367" s="23"/>
      <c r="E367" s="23"/>
      <c r="F367" s="1"/>
      <c r="G367" s="23"/>
      <c r="H367" s="23"/>
      <c r="I367" s="1"/>
      <c r="J367" s="1"/>
    </row>
    <row r="368">
      <c r="A368" s="1"/>
      <c r="B368" s="1"/>
      <c r="C368" s="23"/>
      <c r="D368" s="23"/>
      <c r="E368" s="23"/>
      <c r="F368" s="1"/>
      <c r="G368" s="23"/>
      <c r="H368" s="23"/>
      <c r="I368" s="1"/>
      <c r="J368" s="1"/>
    </row>
    <row r="369">
      <c r="A369" s="1"/>
      <c r="B369" s="1"/>
      <c r="C369" s="23"/>
      <c r="D369" s="23"/>
      <c r="E369" s="23"/>
      <c r="F369" s="1"/>
      <c r="G369" s="23"/>
      <c r="H369" s="23"/>
      <c r="I369" s="1"/>
      <c r="J369" s="1"/>
    </row>
    <row r="370">
      <c r="A370" s="1"/>
      <c r="B370" s="1"/>
      <c r="C370" s="23"/>
      <c r="D370" s="23"/>
      <c r="E370" s="23"/>
      <c r="F370" s="1"/>
      <c r="G370" s="23"/>
      <c r="H370" s="23"/>
      <c r="I370" s="1"/>
      <c r="J370" s="1"/>
    </row>
    <row r="371">
      <c r="A371" s="1"/>
      <c r="B371" s="1"/>
      <c r="C371" s="23"/>
      <c r="D371" s="23"/>
      <c r="E371" s="23"/>
      <c r="F371" s="1"/>
      <c r="G371" s="23"/>
      <c r="H371" s="23"/>
      <c r="I371" s="1"/>
      <c r="J371" s="1"/>
    </row>
    <row r="372">
      <c r="A372" s="1"/>
      <c r="B372" s="1"/>
      <c r="C372" s="23"/>
      <c r="D372" s="23"/>
      <c r="E372" s="23"/>
      <c r="F372" s="1"/>
      <c r="G372" s="23"/>
      <c r="H372" s="23"/>
      <c r="I372" s="1"/>
      <c r="J372" s="1"/>
    </row>
    <row r="373">
      <c r="A373" s="1"/>
      <c r="B373" s="1"/>
      <c r="C373" s="23"/>
      <c r="D373" s="23"/>
      <c r="E373" s="26"/>
      <c r="F373" s="1"/>
      <c r="G373" s="23"/>
      <c r="H373" s="23"/>
      <c r="I373" s="1"/>
      <c r="J373" s="1"/>
    </row>
    <row r="374">
      <c r="A374" s="1"/>
      <c r="B374" s="1"/>
      <c r="C374" s="23"/>
      <c r="D374" s="26"/>
      <c r="E374" s="23"/>
      <c r="F374" s="1"/>
      <c r="G374" s="23"/>
      <c r="H374" s="23"/>
      <c r="I374" s="1"/>
      <c r="J374" s="1"/>
    </row>
    <row r="375">
      <c r="A375" s="1"/>
      <c r="B375" s="1"/>
      <c r="C375" s="23"/>
      <c r="D375" s="23"/>
      <c r="E375" s="23"/>
      <c r="F375" s="1"/>
      <c r="G375" s="23"/>
      <c r="H375" s="23"/>
      <c r="I375" s="1"/>
      <c r="J375" s="1"/>
    </row>
    <row r="376">
      <c r="A376" s="1"/>
      <c r="B376" s="1"/>
      <c r="C376" s="23"/>
      <c r="D376" s="23"/>
      <c r="E376" s="23"/>
      <c r="F376" s="1"/>
      <c r="G376" s="23"/>
      <c r="H376" s="23"/>
      <c r="I376" s="1"/>
      <c r="J376" s="1"/>
    </row>
    <row r="377">
      <c r="A377" s="1"/>
      <c r="B377" s="1"/>
      <c r="C377" s="23"/>
      <c r="D377" s="23"/>
      <c r="E377" s="23"/>
      <c r="F377" s="1"/>
      <c r="G377" s="23"/>
      <c r="H377" s="23"/>
      <c r="I377" s="1"/>
      <c r="J377" s="1"/>
    </row>
    <row r="378">
      <c r="A378" s="1"/>
      <c r="B378" s="1"/>
      <c r="C378" s="23"/>
      <c r="D378" s="23"/>
      <c r="E378" s="23"/>
      <c r="F378" s="1"/>
      <c r="G378" s="23"/>
      <c r="H378" s="23"/>
      <c r="I378" s="1"/>
      <c r="J378" s="1"/>
    </row>
    <row r="379">
      <c r="A379" s="1"/>
      <c r="B379" s="1"/>
      <c r="C379" s="23"/>
      <c r="D379" s="23"/>
      <c r="E379" s="23"/>
      <c r="F379" s="1"/>
      <c r="G379" s="23"/>
      <c r="H379" s="23"/>
      <c r="I379" s="1"/>
      <c r="J379" s="1"/>
    </row>
    <row r="380">
      <c r="A380" s="1"/>
      <c r="B380" s="1"/>
      <c r="C380" s="23"/>
      <c r="D380" s="23"/>
      <c r="E380" s="23"/>
      <c r="F380" s="1"/>
      <c r="G380" s="23"/>
      <c r="H380" s="23"/>
      <c r="I380" s="1"/>
      <c r="J380" s="1"/>
    </row>
    <row r="381">
      <c r="A381" s="1"/>
      <c r="B381" s="1"/>
      <c r="C381" s="23"/>
      <c r="D381" s="23"/>
      <c r="E381" s="23"/>
      <c r="F381" s="1"/>
      <c r="G381" s="23"/>
      <c r="H381" s="23"/>
      <c r="I381" s="1"/>
      <c r="J381" s="1"/>
    </row>
    <row r="382">
      <c r="A382" s="1"/>
      <c r="B382" s="1"/>
      <c r="C382" s="23"/>
      <c r="D382" s="23"/>
      <c r="E382" s="23"/>
      <c r="F382" s="1"/>
      <c r="G382" s="23"/>
      <c r="H382" s="23"/>
      <c r="I382" s="1"/>
      <c r="J382" s="1"/>
    </row>
    <row r="383">
      <c r="A383" s="1"/>
      <c r="B383" s="1"/>
      <c r="C383" s="23"/>
      <c r="D383" s="23"/>
      <c r="E383" s="23"/>
      <c r="F383" s="1"/>
      <c r="G383" s="23"/>
      <c r="H383" s="23"/>
      <c r="I383" s="1"/>
      <c r="J383" s="1"/>
    </row>
    <row r="384">
      <c r="A384" s="1"/>
      <c r="B384" s="1"/>
      <c r="C384" s="26"/>
      <c r="D384" s="23"/>
      <c r="E384" s="23"/>
      <c r="F384" s="1"/>
      <c r="G384" s="23"/>
      <c r="H384" s="23"/>
      <c r="I384" s="1"/>
      <c r="J384" s="1"/>
    </row>
    <row r="385">
      <c r="A385" s="1"/>
      <c r="B385" s="1"/>
      <c r="C385" s="26"/>
      <c r="D385" s="23"/>
      <c r="E385" s="23"/>
      <c r="F385" s="1"/>
      <c r="G385" s="23"/>
      <c r="H385" s="23"/>
      <c r="I385" s="1"/>
      <c r="J385" s="1"/>
    </row>
    <row r="386">
      <c r="A386" s="1"/>
      <c r="B386" s="1"/>
      <c r="C386" s="26"/>
      <c r="D386" s="23"/>
      <c r="E386" s="23"/>
      <c r="F386" s="1"/>
      <c r="G386" s="23"/>
      <c r="H386" s="23"/>
      <c r="I386" s="1"/>
      <c r="J386" s="1"/>
    </row>
    <row r="387">
      <c r="A387" s="1"/>
      <c r="B387" s="1"/>
      <c r="C387" s="23"/>
      <c r="D387" s="23"/>
      <c r="E387" s="23"/>
      <c r="F387" s="1"/>
      <c r="G387" s="23"/>
      <c r="H387" s="23"/>
      <c r="I387" s="1"/>
      <c r="J387" s="1"/>
    </row>
    <row r="388">
      <c r="A388" s="1"/>
      <c r="B388" s="1"/>
      <c r="C388" s="23"/>
      <c r="D388" s="23"/>
      <c r="E388" s="23"/>
      <c r="F388" s="1"/>
      <c r="G388" s="23"/>
      <c r="H388" s="23"/>
      <c r="I388" s="1"/>
      <c r="J388" s="1"/>
    </row>
    <row r="389">
      <c r="A389" s="1"/>
      <c r="B389" s="1"/>
      <c r="C389" s="23"/>
      <c r="D389" s="23"/>
      <c r="E389" s="23"/>
      <c r="F389" s="1"/>
      <c r="G389" s="23"/>
      <c r="H389" s="23"/>
      <c r="I389" s="1"/>
      <c r="J389" s="1"/>
    </row>
    <row r="390">
      <c r="A390" s="1"/>
      <c r="B390" s="1"/>
      <c r="C390" s="23"/>
      <c r="D390" s="23"/>
      <c r="E390" s="23"/>
      <c r="F390" s="1"/>
      <c r="G390" s="23"/>
      <c r="H390" s="23"/>
      <c r="I390" s="1"/>
      <c r="J390" s="1"/>
    </row>
    <row r="391">
      <c r="A391" s="1"/>
      <c r="B391" s="1"/>
      <c r="C391" s="23"/>
      <c r="D391" s="23"/>
      <c r="E391" s="23"/>
      <c r="F391" s="1"/>
      <c r="G391" s="23"/>
      <c r="H391" s="23"/>
      <c r="I391" s="1"/>
      <c r="J391" s="1"/>
    </row>
    <row r="392">
      <c r="A392" s="1"/>
      <c r="B392" s="1"/>
      <c r="C392" s="26"/>
      <c r="D392" s="23"/>
      <c r="E392" s="23"/>
      <c r="F392" s="1"/>
      <c r="G392" s="23"/>
      <c r="H392" s="23"/>
      <c r="I392" s="1"/>
      <c r="J392" s="1"/>
    </row>
    <row r="393">
      <c r="A393" s="1"/>
      <c r="B393" s="1"/>
      <c r="C393" s="26"/>
      <c r="D393" s="23"/>
      <c r="E393" s="23"/>
      <c r="F393" s="1"/>
      <c r="G393" s="23"/>
      <c r="H393" s="23"/>
      <c r="I393" s="1"/>
      <c r="J393" s="1"/>
    </row>
    <row r="394">
      <c r="A394" s="1"/>
      <c r="B394" s="1"/>
      <c r="C394" s="26"/>
      <c r="D394" s="23"/>
      <c r="E394" s="23"/>
      <c r="F394" s="1"/>
      <c r="G394" s="23"/>
      <c r="H394" s="23"/>
      <c r="I394" s="1"/>
      <c r="J394" s="1"/>
    </row>
    <row r="395">
      <c r="A395" s="1"/>
      <c r="B395" s="1"/>
      <c r="C395" s="26"/>
      <c r="D395" s="23"/>
      <c r="E395" s="23"/>
      <c r="F395" s="1"/>
      <c r="G395" s="23"/>
      <c r="H395" s="23"/>
      <c r="I395" s="1"/>
      <c r="J395" s="1"/>
    </row>
    <row r="396">
      <c r="A396" s="1"/>
      <c r="B396" s="1"/>
      <c r="C396" s="23"/>
      <c r="D396" s="23"/>
      <c r="E396" s="23"/>
      <c r="F396" s="1"/>
      <c r="G396" s="23"/>
      <c r="H396" s="23"/>
      <c r="I396" s="1"/>
      <c r="J396" s="1"/>
    </row>
    <row r="397">
      <c r="A397" s="1"/>
      <c r="B397" s="1"/>
      <c r="C397" s="23"/>
      <c r="D397" s="23"/>
      <c r="E397" s="23"/>
      <c r="F397" s="1"/>
      <c r="G397" s="23"/>
      <c r="H397" s="23"/>
      <c r="I397" s="1"/>
      <c r="J397" s="1"/>
    </row>
    <row r="398">
      <c r="A398" s="1"/>
      <c r="B398" s="1"/>
      <c r="C398" s="23"/>
      <c r="D398" s="23"/>
      <c r="E398" s="23"/>
      <c r="F398" s="1"/>
      <c r="G398" s="23"/>
      <c r="H398" s="23"/>
      <c r="I398" s="1"/>
      <c r="J398" s="1"/>
    </row>
    <row r="399">
      <c r="A399" s="1"/>
      <c r="B399" s="1"/>
      <c r="C399" s="23"/>
      <c r="D399" s="26"/>
      <c r="E399" s="23"/>
      <c r="F399" s="1"/>
      <c r="G399" s="23"/>
      <c r="H399" s="23"/>
      <c r="I399" s="1"/>
      <c r="J399" s="1"/>
    </row>
    <row r="400">
      <c r="A400" s="1"/>
      <c r="B400" s="1"/>
      <c r="C400" s="23"/>
      <c r="D400" s="26"/>
      <c r="E400" s="23"/>
      <c r="F400" s="1"/>
      <c r="G400" s="23"/>
      <c r="H400" s="23"/>
      <c r="I400" s="1"/>
      <c r="J400" s="1"/>
    </row>
    <row r="401">
      <c r="A401" s="1"/>
      <c r="B401" s="1"/>
      <c r="C401" s="23"/>
      <c r="D401" s="26"/>
      <c r="E401" s="23"/>
      <c r="F401" s="1"/>
      <c r="G401" s="23"/>
      <c r="H401" s="23"/>
      <c r="I401" s="1"/>
      <c r="J401" s="1"/>
    </row>
    <row r="402">
      <c r="A402" s="1"/>
      <c r="B402" s="1"/>
      <c r="C402" s="23"/>
      <c r="D402" s="23"/>
      <c r="E402" s="23"/>
      <c r="F402" s="1"/>
      <c r="G402" s="23"/>
      <c r="H402" s="23"/>
      <c r="I402" s="1"/>
      <c r="J402" s="1"/>
    </row>
    <row r="403">
      <c r="A403" s="1"/>
      <c r="B403" s="1"/>
      <c r="C403" s="23"/>
      <c r="D403" s="23"/>
      <c r="E403" s="23"/>
      <c r="F403" s="1"/>
      <c r="G403" s="23"/>
      <c r="H403" s="23"/>
      <c r="I403" s="1"/>
      <c r="J403" s="1"/>
    </row>
    <row r="404">
      <c r="A404" s="1"/>
      <c r="B404" s="1"/>
      <c r="C404" s="23"/>
      <c r="D404" s="23"/>
      <c r="E404" s="23"/>
      <c r="F404" s="1"/>
      <c r="G404" s="23"/>
      <c r="H404" s="23"/>
      <c r="I404" s="1"/>
      <c r="J404" s="1"/>
    </row>
    <row r="405">
      <c r="A405" s="1"/>
      <c r="B405" s="1"/>
      <c r="C405" s="23"/>
      <c r="D405" s="23"/>
      <c r="E405" s="23"/>
      <c r="F405" s="1"/>
      <c r="G405" s="23"/>
      <c r="H405" s="23"/>
      <c r="I405" s="1"/>
      <c r="J405" s="1"/>
    </row>
    <row r="406">
      <c r="A406" s="1"/>
      <c r="B406" s="1"/>
      <c r="C406" s="23"/>
      <c r="D406" s="23"/>
      <c r="E406" s="23"/>
      <c r="F406" s="1"/>
      <c r="G406" s="23"/>
      <c r="H406" s="23"/>
      <c r="I406" s="1"/>
      <c r="J406" s="1"/>
    </row>
    <row r="407">
      <c r="A407" s="1"/>
      <c r="B407" s="1"/>
      <c r="C407" s="23"/>
      <c r="D407" s="23"/>
      <c r="E407" s="23"/>
      <c r="F407" s="1"/>
      <c r="G407" s="23"/>
      <c r="H407" s="23"/>
      <c r="I407" s="1"/>
      <c r="J407" s="1"/>
    </row>
    <row r="408">
      <c r="A408" s="1"/>
      <c r="B408" s="1"/>
      <c r="C408" s="23"/>
      <c r="D408" s="23"/>
      <c r="E408" s="23"/>
      <c r="F408" s="1"/>
      <c r="G408" s="23"/>
      <c r="H408" s="23"/>
      <c r="I408" s="1"/>
      <c r="J408" s="1"/>
    </row>
    <row r="409">
      <c r="A409" s="1"/>
      <c r="B409" s="1"/>
      <c r="C409" s="23"/>
      <c r="D409" s="23"/>
      <c r="E409" s="23"/>
      <c r="F409" s="1"/>
      <c r="G409" s="23"/>
      <c r="H409" s="23"/>
      <c r="I409" s="1"/>
      <c r="J409" s="1"/>
    </row>
    <row r="410">
      <c r="A410" s="1"/>
      <c r="B410" s="1"/>
      <c r="C410" s="23"/>
      <c r="D410" s="23"/>
      <c r="E410" s="23"/>
      <c r="F410" s="1"/>
      <c r="G410" s="23"/>
      <c r="H410" s="23"/>
      <c r="I410" s="1"/>
      <c r="J410" s="1"/>
    </row>
    <row r="411">
      <c r="A411" s="1"/>
      <c r="B411" s="1"/>
      <c r="C411" s="23"/>
      <c r="D411" s="23"/>
      <c r="E411" s="23"/>
      <c r="F411" s="1"/>
      <c r="G411" s="23"/>
      <c r="H411" s="23"/>
      <c r="I411" s="1"/>
      <c r="J411" s="1"/>
    </row>
    <row r="412">
      <c r="A412" s="1"/>
      <c r="B412" s="1"/>
      <c r="C412" s="26"/>
      <c r="D412" s="23"/>
      <c r="E412" s="23"/>
      <c r="F412" s="1"/>
      <c r="G412" s="23"/>
      <c r="H412" s="23"/>
      <c r="I412" s="1"/>
      <c r="J412" s="1"/>
    </row>
    <row r="413">
      <c r="A413" s="1"/>
      <c r="B413" s="1"/>
      <c r="C413" s="23"/>
      <c r="D413" s="23"/>
      <c r="E413" s="23"/>
      <c r="F413" s="1"/>
      <c r="G413" s="23"/>
      <c r="H413" s="23"/>
      <c r="I413" s="1"/>
      <c r="J413" s="1"/>
    </row>
    <row r="414">
      <c r="A414" s="1"/>
      <c r="B414" s="1"/>
      <c r="C414" s="26"/>
      <c r="D414" s="23"/>
      <c r="E414" s="23"/>
      <c r="F414" s="1"/>
      <c r="G414" s="23"/>
      <c r="H414" s="23"/>
      <c r="I414" s="1"/>
      <c r="J414" s="1"/>
    </row>
    <row r="415">
      <c r="A415" s="1"/>
      <c r="B415" s="1"/>
      <c r="C415" s="23"/>
      <c r="D415" s="23"/>
      <c r="E415" s="23"/>
      <c r="F415" s="1"/>
      <c r="G415" s="23"/>
      <c r="H415" s="23"/>
      <c r="I415" s="1"/>
      <c r="J415" s="1"/>
    </row>
    <row r="416">
      <c r="A416" s="1"/>
      <c r="B416" s="1"/>
      <c r="C416" s="23"/>
      <c r="D416" s="23"/>
      <c r="E416" s="23"/>
      <c r="F416" s="1"/>
      <c r="G416" s="23"/>
      <c r="H416" s="23"/>
      <c r="I416" s="1"/>
      <c r="J416" s="1"/>
    </row>
    <row r="417">
      <c r="A417" s="1"/>
      <c r="B417" s="1"/>
      <c r="C417" s="23"/>
      <c r="D417" s="23"/>
      <c r="E417" s="23"/>
      <c r="F417" s="1"/>
      <c r="G417" s="23"/>
      <c r="H417" s="23"/>
      <c r="I417" s="1"/>
      <c r="J417" s="1"/>
    </row>
    <row r="418">
      <c r="A418" s="1"/>
      <c r="B418" s="1"/>
      <c r="C418" s="23"/>
      <c r="D418" s="23"/>
      <c r="E418" s="23"/>
      <c r="F418" s="1"/>
      <c r="G418" s="23"/>
      <c r="H418" s="23"/>
      <c r="I418" s="1"/>
      <c r="J418" s="1"/>
    </row>
    <row r="419">
      <c r="A419" s="1"/>
      <c r="B419" s="1"/>
      <c r="C419" s="23"/>
      <c r="D419" s="23"/>
      <c r="E419" s="23"/>
      <c r="F419" s="1"/>
      <c r="G419" s="23"/>
      <c r="H419" s="23"/>
      <c r="I419" s="1"/>
      <c r="J419" s="1"/>
    </row>
    <row r="420">
      <c r="A420" s="1"/>
      <c r="B420" s="1"/>
      <c r="C420" s="23"/>
      <c r="D420" s="23"/>
      <c r="E420" s="23"/>
      <c r="F420" s="1"/>
      <c r="G420" s="23"/>
      <c r="H420" s="23"/>
      <c r="I420" s="1"/>
      <c r="J420" s="1"/>
    </row>
    <row r="421">
      <c r="A421" s="1"/>
      <c r="B421" s="1"/>
      <c r="C421" s="23"/>
      <c r="D421" s="23"/>
      <c r="E421" s="23"/>
      <c r="F421" s="1"/>
      <c r="G421" s="23"/>
      <c r="H421" s="23"/>
      <c r="I421" s="1"/>
      <c r="J421" s="1"/>
    </row>
    <row r="422">
      <c r="A422" s="1"/>
      <c r="B422" s="1"/>
      <c r="C422" s="23"/>
      <c r="D422" s="23"/>
      <c r="E422" s="23"/>
      <c r="F422" s="1"/>
      <c r="G422" s="23"/>
      <c r="H422" s="23"/>
      <c r="I422" s="1"/>
      <c r="J422" s="1"/>
    </row>
    <row r="423">
      <c r="A423" s="1"/>
      <c r="B423" s="1"/>
      <c r="C423" s="26"/>
      <c r="D423" s="23"/>
      <c r="E423" s="23"/>
      <c r="F423" s="1"/>
      <c r="G423" s="23"/>
      <c r="H423" s="23"/>
      <c r="I423" s="1"/>
      <c r="J423" s="1"/>
    </row>
    <row r="424">
      <c r="A424" s="1"/>
      <c r="B424" s="1"/>
      <c r="C424" s="23"/>
      <c r="D424" s="23"/>
      <c r="E424" s="23"/>
      <c r="F424" s="1"/>
      <c r="G424" s="23"/>
      <c r="H424" s="23"/>
      <c r="I424" s="1"/>
      <c r="J424" s="1"/>
    </row>
    <row r="425">
      <c r="A425" s="1"/>
      <c r="B425" s="1"/>
      <c r="C425" s="23"/>
      <c r="D425" s="23"/>
      <c r="E425" s="23"/>
      <c r="F425" s="1"/>
      <c r="G425" s="23"/>
      <c r="H425" s="23"/>
      <c r="I425" s="1"/>
      <c r="J425" s="1"/>
    </row>
    <row r="426">
      <c r="A426" s="1"/>
      <c r="B426" s="1"/>
      <c r="C426" s="23"/>
      <c r="D426" s="23"/>
      <c r="E426" s="23"/>
      <c r="F426" s="1"/>
      <c r="G426" s="23"/>
      <c r="H426" s="23"/>
      <c r="I426" s="1"/>
      <c r="J426" s="1"/>
    </row>
    <row r="427">
      <c r="A427" s="1"/>
      <c r="B427" s="1"/>
      <c r="C427" s="23"/>
      <c r="D427" s="23"/>
      <c r="E427" s="23"/>
      <c r="F427" s="1"/>
      <c r="G427" s="23"/>
      <c r="H427" s="23"/>
      <c r="I427" s="1"/>
      <c r="J427" s="1"/>
    </row>
    <row r="428">
      <c r="A428" s="1"/>
      <c r="B428" s="1"/>
      <c r="C428" s="26"/>
      <c r="D428" s="23"/>
      <c r="E428" s="23"/>
      <c r="F428" s="1"/>
      <c r="G428" s="23"/>
      <c r="H428" s="23"/>
      <c r="I428" s="1"/>
      <c r="J428" s="1"/>
    </row>
    <row r="429">
      <c r="A429" s="1"/>
      <c r="B429" s="1"/>
      <c r="C429" s="23"/>
      <c r="D429" s="23"/>
      <c r="E429" s="23"/>
      <c r="F429" s="1"/>
      <c r="G429" s="23"/>
      <c r="H429" s="23"/>
      <c r="I429" s="1"/>
      <c r="J429" s="1"/>
    </row>
    <row r="430">
      <c r="A430" s="1"/>
      <c r="B430" s="1"/>
      <c r="C430" s="26"/>
      <c r="D430" s="23"/>
      <c r="E430" s="23"/>
      <c r="F430" s="1"/>
      <c r="G430" s="23"/>
      <c r="H430" s="23"/>
      <c r="I430" s="1"/>
      <c r="J430" s="1"/>
    </row>
    <row r="431">
      <c r="A431" s="1"/>
      <c r="B431" s="1"/>
      <c r="C431" s="26"/>
      <c r="D431" s="23"/>
      <c r="E431" s="23"/>
      <c r="F431" s="1"/>
      <c r="G431" s="23"/>
      <c r="H431" s="23"/>
      <c r="I431" s="1"/>
      <c r="J431" s="1"/>
    </row>
    <row r="432">
      <c r="A432" s="1"/>
      <c r="B432" s="1"/>
      <c r="C432" s="26"/>
      <c r="D432" s="23"/>
      <c r="E432" s="23"/>
      <c r="F432" s="1"/>
      <c r="G432" s="23"/>
      <c r="H432" s="23"/>
      <c r="I432" s="1"/>
      <c r="J432" s="1"/>
    </row>
    <row r="433">
      <c r="A433" s="1"/>
      <c r="B433" s="1"/>
      <c r="C433" s="26"/>
      <c r="D433" s="23"/>
      <c r="E433" s="23"/>
      <c r="F433" s="1"/>
      <c r="G433" s="23"/>
      <c r="H433" s="23"/>
      <c r="I433" s="1"/>
      <c r="J433" s="1"/>
    </row>
    <row r="434">
      <c r="A434" s="1"/>
      <c r="B434" s="1"/>
      <c r="C434" s="23"/>
      <c r="D434" s="23"/>
      <c r="E434" s="23"/>
      <c r="F434" s="1"/>
      <c r="G434" s="23"/>
      <c r="H434" s="23"/>
      <c r="I434" s="1"/>
      <c r="J434" s="1"/>
    </row>
    <row r="435">
      <c r="A435" s="1"/>
      <c r="B435" s="1"/>
      <c r="C435" s="26"/>
      <c r="D435" s="23"/>
      <c r="E435" s="23"/>
      <c r="F435" s="1"/>
      <c r="G435" s="23"/>
      <c r="H435" s="23"/>
      <c r="I435" s="1"/>
      <c r="J435" s="1"/>
    </row>
    <row r="436">
      <c r="A436" s="1"/>
      <c r="B436" s="1"/>
      <c r="C436" s="26"/>
      <c r="D436" s="23"/>
      <c r="E436" s="23"/>
      <c r="F436" s="1"/>
      <c r="G436" s="23"/>
      <c r="H436" s="23"/>
      <c r="I436" s="1"/>
      <c r="J436" s="1"/>
    </row>
    <row r="437">
      <c r="A437" s="1"/>
      <c r="B437" s="1"/>
      <c r="C437" s="26"/>
      <c r="D437" s="23"/>
      <c r="E437" s="23"/>
      <c r="F437" s="1"/>
      <c r="G437" s="23"/>
      <c r="H437" s="23"/>
      <c r="I437" s="1"/>
      <c r="J437" s="1"/>
    </row>
    <row r="438">
      <c r="A438" s="1"/>
      <c r="B438" s="1"/>
      <c r="C438" s="26"/>
      <c r="D438" s="23"/>
      <c r="E438" s="23"/>
      <c r="F438" s="1"/>
      <c r="G438" s="23"/>
      <c r="H438" s="23"/>
      <c r="I438" s="1"/>
      <c r="J438" s="1"/>
    </row>
    <row r="439">
      <c r="A439" s="1"/>
      <c r="B439" s="1"/>
      <c r="C439" s="23"/>
      <c r="D439" s="23"/>
      <c r="E439" s="23"/>
      <c r="F439" s="1"/>
      <c r="G439" s="23"/>
      <c r="H439" s="23"/>
      <c r="I439" s="1"/>
      <c r="J439" s="1"/>
    </row>
    <row r="440">
      <c r="A440" s="1"/>
      <c r="B440" s="1"/>
      <c r="C440" s="23"/>
      <c r="D440" s="23"/>
      <c r="E440" s="23"/>
      <c r="F440" s="1"/>
      <c r="G440" s="23"/>
      <c r="H440" s="23"/>
      <c r="I440" s="1"/>
      <c r="J440" s="1"/>
    </row>
    <row r="441">
      <c r="A441" s="1"/>
      <c r="B441" s="1"/>
      <c r="C441" s="23"/>
      <c r="D441" s="23"/>
      <c r="E441" s="23"/>
      <c r="F441" s="1"/>
      <c r="G441" s="23"/>
      <c r="H441" s="23"/>
      <c r="I441" s="1"/>
      <c r="J441" s="1"/>
    </row>
    <row r="442">
      <c r="A442" s="1"/>
      <c r="B442" s="1"/>
      <c r="C442" s="26"/>
      <c r="D442" s="23"/>
      <c r="E442" s="23"/>
      <c r="F442" s="1"/>
      <c r="G442" s="23"/>
      <c r="H442" s="23"/>
      <c r="I442" s="1"/>
      <c r="J442" s="1"/>
    </row>
    <row r="443">
      <c r="A443" s="1"/>
      <c r="B443" s="1"/>
      <c r="C443" s="26"/>
      <c r="D443" s="23"/>
      <c r="E443" s="23"/>
      <c r="F443" s="1"/>
      <c r="G443" s="23"/>
      <c r="H443" s="23"/>
      <c r="I443" s="1"/>
      <c r="J443" s="1"/>
    </row>
    <row r="444">
      <c r="A444" s="1"/>
      <c r="B444" s="1"/>
      <c r="C444" s="26"/>
      <c r="D444" s="23"/>
      <c r="E444" s="23"/>
      <c r="F444" s="1"/>
      <c r="G444" s="23"/>
      <c r="H444" s="23"/>
      <c r="I444" s="1"/>
      <c r="J444" s="1"/>
    </row>
    <row r="445">
      <c r="A445" s="1"/>
      <c r="B445" s="1"/>
      <c r="C445" s="26"/>
      <c r="D445" s="23"/>
      <c r="E445" s="23"/>
      <c r="F445" s="1"/>
      <c r="G445" s="23"/>
      <c r="H445" s="23"/>
      <c r="I445" s="1"/>
      <c r="J445" s="1"/>
    </row>
    <row r="446">
      <c r="A446" s="1"/>
      <c r="B446" s="1"/>
      <c r="C446" s="26"/>
      <c r="D446" s="23"/>
      <c r="E446" s="23"/>
      <c r="F446" s="1"/>
      <c r="G446" s="23"/>
      <c r="H446" s="23"/>
      <c r="I446" s="1"/>
      <c r="J446" s="1"/>
    </row>
    <row r="447">
      <c r="A447" s="1"/>
      <c r="B447" s="1"/>
      <c r="C447" s="26"/>
      <c r="D447" s="23"/>
      <c r="E447" s="23"/>
      <c r="F447" s="1"/>
      <c r="G447" s="23"/>
      <c r="H447" s="23"/>
      <c r="I447" s="1"/>
      <c r="J447" s="1"/>
    </row>
    <row r="448">
      <c r="A448" s="1"/>
      <c r="B448" s="1"/>
      <c r="C448" s="23"/>
      <c r="D448" s="23"/>
      <c r="E448" s="23"/>
      <c r="F448" s="1"/>
      <c r="G448" s="23"/>
      <c r="H448" s="23"/>
      <c r="I448" s="1"/>
      <c r="J448" s="1"/>
    </row>
    <row r="449">
      <c r="A449" s="1"/>
      <c r="B449" s="1"/>
      <c r="C449" s="26"/>
      <c r="D449" s="23"/>
      <c r="E449" s="23"/>
      <c r="F449" s="1"/>
      <c r="G449" s="23"/>
      <c r="H449" s="23"/>
      <c r="I449" s="1"/>
      <c r="J449" s="1"/>
    </row>
    <row r="450">
      <c r="A450" s="1"/>
      <c r="B450" s="1"/>
      <c r="C450" s="26"/>
      <c r="D450" s="23"/>
      <c r="E450" s="23"/>
      <c r="F450" s="1"/>
      <c r="G450" s="23"/>
      <c r="H450" s="23"/>
      <c r="I450" s="1"/>
      <c r="J450" s="1"/>
    </row>
    <row r="451">
      <c r="A451" s="1"/>
      <c r="B451" s="1"/>
      <c r="C451" s="26"/>
      <c r="D451" s="23"/>
      <c r="E451" s="23"/>
      <c r="F451" s="1"/>
      <c r="G451" s="23"/>
      <c r="H451" s="23"/>
      <c r="I451" s="1"/>
      <c r="J451" s="1"/>
    </row>
    <row r="452">
      <c r="A452" s="1"/>
      <c r="B452" s="1"/>
      <c r="C452" s="26"/>
      <c r="D452" s="23"/>
      <c r="E452" s="23"/>
      <c r="F452" s="1"/>
      <c r="G452" s="23"/>
      <c r="H452" s="23"/>
      <c r="I452" s="1"/>
      <c r="J452" s="1"/>
    </row>
    <row r="453">
      <c r="A453" s="1"/>
      <c r="B453" s="1"/>
      <c r="C453" s="23"/>
      <c r="D453" s="23"/>
      <c r="E453" s="23"/>
      <c r="F453" s="1"/>
      <c r="G453" s="23"/>
      <c r="H453" s="23"/>
      <c r="I453" s="1"/>
      <c r="J453" s="1"/>
    </row>
    <row r="454">
      <c r="A454" s="1"/>
      <c r="B454" s="1"/>
      <c r="C454" s="23"/>
      <c r="D454" s="23"/>
      <c r="E454" s="23"/>
      <c r="F454" s="1"/>
      <c r="G454" s="23"/>
      <c r="H454" s="23"/>
      <c r="I454" s="1"/>
      <c r="J454" s="1"/>
    </row>
    <row r="455">
      <c r="A455" s="1"/>
      <c r="B455" s="1"/>
      <c r="C455" s="23"/>
      <c r="D455" s="23"/>
      <c r="E455" s="23"/>
      <c r="F455" s="1"/>
      <c r="G455" s="23"/>
      <c r="H455" s="23"/>
      <c r="I455" s="1"/>
      <c r="J455" s="1"/>
    </row>
    <row r="456">
      <c r="A456" s="1"/>
      <c r="B456" s="1"/>
      <c r="C456" s="23"/>
      <c r="D456" s="23"/>
      <c r="E456" s="23"/>
      <c r="F456" s="1"/>
      <c r="G456" s="23"/>
      <c r="H456" s="23"/>
      <c r="I456" s="1"/>
      <c r="J456" s="1"/>
    </row>
    <row r="457">
      <c r="A457" s="1"/>
      <c r="B457" s="1"/>
      <c r="C457" s="23"/>
      <c r="D457" s="23"/>
      <c r="E457" s="23"/>
      <c r="F457" s="1"/>
      <c r="G457" s="23"/>
      <c r="H457" s="23"/>
      <c r="I457" s="1"/>
      <c r="J457" s="1"/>
    </row>
    <row r="458">
      <c r="A458" s="1"/>
      <c r="B458" s="1"/>
      <c r="C458" s="23"/>
      <c r="D458" s="23"/>
      <c r="E458" s="23"/>
      <c r="F458" s="1"/>
      <c r="G458" s="23"/>
      <c r="H458" s="23"/>
      <c r="I458" s="1"/>
      <c r="J458" s="1"/>
    </row>
    <row r="459">
      <c r="A459" s="1"/>
      <c r="B459" s="1"/>
      <c r="C459" s="23"/>
      <c r="D459" s="23"/>
      <c r="E459" s="23"/>
      <c r="F459" s="1"/>
      <c r="G459" s="23"/>
      <c r="H459" s="23"/>
      <c r="I459" s="1"/>
      <c r="J459" s="1"/>
    </row>
    <row r="460">
      <c r="A460" s="1"/>
      <c r="B460" s="1"/>
      <c r="C460" s="23"/>
      <c r="D460" s="23"/>
      <c r="E460" s="23"/>
      <c r="F460" s="1"/>
      <c r="G460" s="23"/>
      <c r="H460" s="23"/>
      <c r="I460" s="1"/>
      <c r="J460" s="1"/>
    </row>
    <row r="461">
      <c r="A461" s="1"/>
      <c r="B461" s="1"/>
      <c r="C461" s="23"/>
      <c r="D461" s="23"/>
      <c r="E461" s="23"/>
      <c r="F461" s="1"/>
      <c r="G461" s="23"/>
      <c r="H461" s="23"/>
      <c r="I461" s="1"/>
      <c r="J461" s="1"/>
    </row>
    <row r="462">
      <c r="A462" s="1"/>
      <c r="B462" s="1"/>
      <c r="C462" s="23"/>
      <c r="D462" s="23"/>
      <c r="E462" s="23"/>
      <c r="F462" s="1"/>
      <c r="G462" s="23"/>
      <c r="H462" s="23"/>
      <c r="I462" s="1"/>
      <c r="J462" s="1"/>
    </row>
    <row r="463">
      <c r="A463" s="1"/>
      <c r="B463" s="1"/>
      <c r="C463" s="23"/>
      <c r="D463" s="23"/>
      <c r="E463" s="23"/>
      <c r="F463" s="1"/>
      <c r="G463" s="23"/>
      <c r="H463" s="23"/>
      <c r="I463" s="1"/>
      <c r="J463" s="1"/>
    </row>
    <row r="464">
      <c r="A464" s="1"/>
      <c r="B464" s="1"/>
      <c r="C464" s="23"/>
      <c r="D464" s="23"/>
      <c r="E464" s="23"/>
      <c r="F464" s="1"/>
      <c r="G464" s="23"/>
      <c r="H464" s="23"/>
      <c r="I464" s="1"/>
      <c r="J464" s="1"/>
    </row>
    <row r="465">
      <c r="A465" s="1"/>
      <c r="B465" s="1"/>
      <c r="C465" s="23"/>
      <c r="D465" s="23"/>
      <c r="E465" s="26"/>
      <c r="F465" s="1"/>
      <c r="G465" s="23"/>
      <c r="H465" s="23"/>
      <c r="I465" s="1"/>
      <c r="J465" s="1"/>
    </row>
    <row r="466">
      <c r="A466" s="1"/>
      <c r="B466" s="1"/>
      <c r="C466" s="23"/>
      <c r="D466" s="23"/>
      <c r="E466" s="26"/>
      <c r="F466" s="1"/>
      <c r="G466" s="23"/>
      <c r="H466" s="23"/>
      <c r="I466" s="1"/>
      <c r="J466" s="1"/>
    </row>
    <row r="467">
      <c r="A467" s="1"/>
      <c r="B467" s="1"/>
      <c r="C467" s="23"/>
      <c r="D467" s="23"/>
      <c r="E467" s="26"/>
      <c r="F467" s="1"/>
      <c r="G467" s="23"/>
      <c r="H467" s="23"/>
      <c r="I467" s="1"/>
      <c r="J467" s="1"/>
    </row>
    <row r="468">
      <c r="A468" s="1"/>
      <c r="B468" s="1"/>
      <c r="C468" s="23"/>
      <c r="D468" s="23"/>
      <c r="E468" s="26"/>
      <c r="F468" s="1"/>
      <c r="G468" s="23"/>
      <c r="H468" s="23"/>
      <c r="I468" s="1"/>
      <c r="J468" s="1"/>
    </row>
    <row r="469">
      <c r="A469" s="1"/>
      <c r="B469" s="1"/>
      <c r="C469" s="23"/>
      <c r="D469" s="23"/>
      <c r="E469" s="26"/>
      <c r="F469" s="1"/>
      <c r="G469" s="23"/>
      <c r="H469" s="23"/>
      <c r="I469" s="1"/>
      <c r="J469" s="1"/>
    </row>
    <row r="470">
      <c r="A470" s="1"/>
      <c r="B470" s="1"/>
      <c r="C470" s="23"/>
      <c r="D470" s="23"/>
      <c r="E470" s="23"/>
      <c r="F470" s="1"/>
      <c r="G470" s="23"/>
      <c r="H470" s="23"/>
      <c r="I470" s="1"/>
      <c r="J470" s="1"/>
    </row>
    <row r="471">
      <c r="A471" s="1"/>
      <c r="B471" s="1"/>
      <c r="C471" s="26"/>
      <c r="D471" s="23"/>
      <c r="E471" s="23"/>
      <c r="F471" s="1"/>
      <c r="G471" s="23"/>
      <c r="H471" s="23"/>
      <c r="I471" s="1"/>
      <c r="J471" s="1"/>
    </row>
    <row r="472">
      <c r="A472" s="1"/>
      <c r="B472" s="1"/>
      <c r="C472" s="26"/>
      <c r="D472" s="23"/>
      <c r="E472" s="23"/>
      <c r="F472" s="1"/>
      <c r="G472" s="23"/>
      <c r="H472" s="23"/>
      <c r="I472" s="1"/>
      <c r="J472" s="1"/>
    </row>
    <row r="473">
      <c r="A473" s="1"/>
      <c r="B473" s="1"/>
      <c r="C473" s="23"/>
      <c r="D473" s="23"/>
      <c r="E473" s="23"/>
      <c r="F473" s="1"/>
      <c r="G473" s="23"/>
      <c r="H473" s="23"/>
      <c r="I473" s="1"/>
      <c r="J473" s="1"/>
    </row>
    <row r="474">
      <c r="A474" s="1"/>
      <c r="B474" s="1"/>
      <c r="C474" s="23"/>
      <c r="D474" s="23"/>
      <c r="E474" s="23"/>
      <c r="F474" s="1"/>
      <c r="G474" s="23"/>
      <c r="H474" s="23"/>
      <c r="I474" s="1"/>
      <c r="J474" s="1"/>
    </row>
    <row r="475">
      <c r="A475" s="1"/>
      <c r="B475" s="1"/>
      <c r="C475" s="26"/>
      <c r="D475" s="23"/>
      <c r="E475" s="23"/>
      <c r="F475" s="1"/>
      <c r="G475" s="23"/>
      <c r="H475" s="23"/>
      <c r="I475" s="1"/>
      <c r="J475" s="1"/>
    </row>
    <row r="476">
      <c r="A476" s="1"/>
      <c r="B476" s="1"/>
      <c r="C476" s="23"/>
      <c r="D476" s="23"/>
      <c r="E476" s="23"/>
      <c r="F476" s="1"/>
      <c r="G476" s="23"/>
      <c r="H476" s="23"/>
      <c r="I476" s="1"/>
      <c r="J476" s="1"/>
    </row>
    <row r="477">
      <c r="A477" s="1"/>
      <c r="B477" s="1"/>
      <c r="C477" s="23"/>
      <c r="D477" s="23"/>
      <c r="E477" s="23"/>
      <c r="F477" s="1"/>
      <c r="G477" s="23"/>
      <c r="H477" s="23"/>
      <c r="I477" s="1"/>
      <c r="J477" s="1"/>
    </row>
    <row r="478">
      <c r="A478" s="1"/>
      <c r="B478" s="1"/>
      <c r="C478" s="23"/>
      <c r="D478" s="23"/>
      <c r="E478" s="23"/>
      <c r="F478" s="1"/>
      <c r="G478" s="23"/>
      <c r="H478" s="23"/>
      <c r="I478" s="1"/>
      <c r="J478" s="1"/>
    </row>
    <row r="479">
      <c r="A479" s="1"/>
      <c r="B479" s="1"/>
      <c r="C479" s="23"/>
      <c r="D479" s="23"/>
      <c r="E479" s="23"/>
      <c r="F479" s="1"/>
      <c r="G479" s="23"/>
      <c r="H479" s="23"/>
      <c r="I479" s="1"/>
      <c r="J479" s="1"/>
    </row>
    <row r="480">
      <c r="A480" s="1"/>
      <c r="B480" s="1"/>
      <c r="C480" s="23"/>
      <c r="D480" s="23"/>
      <c r="E480" s="23"/>
      <c r="F480" s="1"/>
      <c r="G480" s="23"/>
      <c r="H480" s="23"/>
      <c r="I480" s="1"/>
      <c r="J480" s="1"/>
    </row>
    <row r="481">
      <c r="A481" s="1"/>
      <c r="B481" s="1"/>
      <c r="C481" s="23"/>
      <c r="D481" s="23"/>
      <c r="E481" s="23"/>
      <c r="F481" s="1"/>
      <c r="G481" s="23"/>
      <c r="H481" s="23"/>
      <c r="I481" s="1"/>
      <c r="J481" s="1"/>
    </row>
    <row r="482">
      <c r="A482" s="1"/>
      <c r="B482" s="1"/>
      <c r="C482" s="23"/>
      <c r="D482" s="23"/>
      <c r="E482" s="23"/>
      <c r="F482" s="1"/>
      <c r="G482" s="23"/>
      <c r="H482" s="23"/>
      <c r="I482" s="1"/>
      <c r="J482" s="1"/>
    </row>
    <row r="483">
      <c r="A483" s="1"/>
      <c r="B483" s="1"/>
      <c r="C483" s="23"/>
      <c r="D483" s="23"/>
      <c r="E483" s="23"/>
      <c r="F483" s="1"/>
      <c r="G483" s="23"/>
      <c r="H483" s="23"/>
      <c r="I483" s="1"/>
      <c r="J483" s="1"/>
    </row>
    <row r="484">
      <c r="A484" s="1"/>
      <c r="B484" s="1"/>
      <c r="C484" s="23"/>
      <c r="D484" s="23"/>
      <c r="E484" s="23"/>
      <c r="F484" s="1"/>
      <c r="G484" s="23"/>
      <c r="H484" s="23"/>
      <c r="I484" s="1"/>
      <c r="J484" s="1"/>
    </row>
    <row r="485">
      <c r="A485" s="1"/>
      <c r="B485" s="1"/>
      <c r="C485" s="23"/>
      <c r="D485" s="23"/>
      <c r="E485" s="23"/>
      <c r="F485" s="1"/>
      <c r="G485" s="23"/>
      <c r="H485" s="23"/>
      <c r="I485" s="1"/>
      <c r="J485" s="1"/>
    </row>
    <row r="486">
      <c r="A486" s="1"/>
      <c r="B486" s="1"/>
      <c r="C486" s="23"/>
      <c r="D486" s="23"/>
      <c r="E486" s="23"/>
      <c r="F486" s="1"/>
      <c r="G486" s="23"/>
      <c r="H486" s="23"/>
      <c r="I486" s="1"/>
      <c r="J486" s="1"/>
    </row>
    <row r="487">
      <c r="A487" s="1"/>
      <c r="B487" s="1"/>
      <c r="C487" s="23"/>
      <c r="D487" s="23"/>
      <c r="E487" s="23"/>
      <c r="F487" s="1"/>
      <c r="G487" s="23"/>
      <c r="H487" s="23"/>
      <c r="I487" s="1"/>
      <c r="J487" s="1"/>
    </row>
    <row r="488">
      <c r="A488" s="1"/>
      <c r="B488" s="1"/>
      <c r="C488" s="23"/>
      <c r="D488" s="23"/>
      <c r="E488" s="23"/>
      <c r="F488" s="1"/>
      <c r="G488" s="23"/>
      <c r="H488" s="23"/>
      <c r="I488" s="1"/>
      <c r="J488" s="1"/>
    </row>
    <row r="489">
      <c r="A489" s="1"/>
      <c r="B489" s="1"/>
      <c r="C489" s="23"/>
      <c r="D489" s="23"/>
      <c r="E489" s="23"/>
      <c r="F489" s="1"/>
      <c r="G489" s="23"/>
      <c r="H489" s="23"/>
      <c r="I489" s="1"/>
      <c r="J489" s="1"/>
    </row>
    <row r="490">
      <c r="A490" s="1"/>
      <c r="B490" s="1"/>
      <c r="C490" s="23"/>
      <c r="D490" s="23"/>
      <c r="E490" s="23"/>
      <c r="F490" s="1"/>
      <c r="G490" s="23"/>
      <c r="H490" s="23"/>
      <c r="I490" s="1"/>
      <c r="J490" s="1"/>
    </row>
    <row r="491">
      <c r="A491" s="1"/>
      <c r="B491" s="1"/>
      <c r="C491" s="26"/>
      <c r="D491" s="23"/>
      <c r="E491" s="23"/>
      <c r="F491" s="1"/>
      <c r="G491" s="23"/>
      <c r="H491" s="23"/>
      <c r="I491" s="1"/>
      <c r="J491" s="1"/>
    </row>
    <row r="492">
      <c r="A492" s="1"/>
      <c r="B492" s="1"/>
      <c r="C492" s="23"/>
      <c r="D492" s="23"/>
      <c r="E492" s="23"/>
      <c r="F492" s="1"/>
      <c r="G492" s="23"/>
      <c r="H492" s="23"/>
      <c r="I492" s="1"/>
      <c r="J492" s="1"/>
    </row>
    <row r="493">
      <c r="A493" s="1"/>
      <c r="B493" s="1"/>
      <c r="C493" s="23"/>
      <c r="D493" s="23"/>
      <c r="E493" s="23"/>
      <c r="F493" s="1"/>
      <c r="G493" s="23"/>
      <c r="H493" s="23"/>
      <c r="I493" s="1"/>
      <c r="J493" s="1"/>
    </row>
    <row r="494">
      <c r="A494" s="1"/>
      <c r="B494" s="1"/>
      <c r="C494" s="26"/>
      <c r="D494" s="23"/>
      <c r="E494" s="23"/>
      <c r="F494" s="1"/>
      <c r="G494" s="23"/>
      <c r="H494" s="23"/>
      <c r="I494" s="1"/>
      <c r="J494" s="1"/>
    </row>
    <row r="495">
      <c r="A495" s="1"/>
      <c r="B495" s="1"/>
      <c r="C495" s="23"/>
      <c r="D495" s="23"/>
      <c r="E495" s="23"/>
      <c r="F495" s="1"/>
      <c r="G495" s="23"/>
      <c r="H495" s="23"/>
      <c r="I495" s="1"/>
      <c r="J495" s="1"/>
    </row>
    <row r="496">
      <c r="A496" s="1"/>
      <c r="B496" s="1"/>
      <c r="C496" s="23"/>
      <c r="D496" s="23"/>
      <c r="E496" s="23"/>
      <c r="F496" s="1"/>
      <c r="G496" s="23"/>
      <c r="H496" s="23"/>
      <c r="I496" s="1"/>
      <c r="J496" s="1"/>
    </row>
    <row r="497">
      <c r="A497" s="1"/>
      <c r="B497" s="1"/>
      <c r="C497" s="26"/>
      <c r="D497" s="23"/>
      <c r="E497" s="23"/>
      <c r="F497" s="1"/>
      <c r="G497" s="23"/>
      <c r="H497" s="23"/>
      <c r="I497" s="1"/>
      <c r="J497" s="1"/>
    </row>
    <row r="498">
      <c r="A498" s="1"/>
      <c r="B498" s="1"/>
      <c r="C498" s="26"/>
      <c r="D498" s="23"/>
      <c r="E498" s="23"/>
      <c r="F498" s="1"/>
      <c r="G498" s="23"/>
      <c r="H498" s="23"/>
      <c r="I498" s="1"/>
      <c r="J498" s="1"/>
    </row>
    <row r="499">
      <c r="A499" s="1"/>
      <c r="B499" s="1"/>
      <c r="C499" s="26"/>
      <c r="D499" s="23"/>
      <c r="E499" s="23"/>
      <c r="F499" s="1"/>
      <c r="G499" s="23"/>
      <c r="H499" s="23"/>
      <c r="I499" s="1"/>
      <c r="J499" s="1"/>
    </row>
    <row r="500">
      <c r="A500" s="1"/>
      <c r="B500" s="1"/>
      <c r="C500" s="26"/>
      <c r="D500" s="23"/>
      <c r="E500" s="23"/>
      <c r="F500" s="1"/>
      <c r="G500" s="23"/>
      <c r="H500" s="23"/>
      <c r="I500" s="1"/>
      <c r="J500" s="1"/>
    </row>
    <row r="501">
      <c r="A501" s="1"/>
      <c r="B501" s="1"/>
      <c r="C501" s="26"/>
      <c r="D501" s="23"/>
      <c r="E501" s="23"/>
      <c r="F501" s="1"/>
      <c r="G501" s="23"/>
      <c r="H501" s="23"/>
      <c r="I501" s="1"/>
      <c r="J501" s="1"/>
    </row>
    <row r="502">
      <c r="A502" s="1"/>
      <c r="B502" s="1"/>
      <c r="C502" s="26"/>
      <c r="D502" s="23"/>
      <c r="E502" s="23"/>
      <c r="F502" s="1"/>
      <c r="G502" s="23"/>
      <c r="H502" s="23"/>
      <c r="I502" s="1"/>
      <c r="J502" s="1"/>
    </row>
    <row r="503">
      <c r="A503" s="1"/>
      <c r="B503" s="1"/>
      <c r="C503" s="23"/>
      <c r="D503" s="23"/>
      <c r="E503" s="23"/>
      <c r="F503" s="1"/>
      <c r="G503" s="23"/>
      <c r="H503" s="23"/>
      <c r="I503" s="1"/>
      <c r="J503" s="1"/>
    </row>
    <row r="504">
      <c r="A504" s="1"/>
      <c r="B504" s="1"/>
      <c r="C504" s="23"/>
      <c r="D504" s="23"/>
      <c r="E504" s="23"/>
      <c r="F504" s="1"/>
      <c r="G504" s="23"/>
      <c r="H504" s="23"/>
      <c r="I504" s="1"/>
      <c r="J504" s="1"/>
    </row>
    <row r="505">
      <c r="A505" s="1"/>
      <c r="B505" s="1"/>
      <c r="C505" s="23"/>
      <c r="D505" s="23"/>
      <c r="E505" s="23"/>
      <c r="F505" s="1"/>
      <c r="G505" s="23"/>
      <c r="H505" s="23"/>
      <c r="I505" s="1"/>
      <c r="J505" s="1"/>
    </row>
    <row r="506">
      <c r="A506" s="1"/>
      <c r="B506" s="1"/>
      <c r="C506" s="23"/>
      <c r="D506" s="23"/>
      <c r="E506" s="23"/>
      <c r="F506" s="1"/>
      <c r="G506" s="23"/>
      <c r="H506" s="23"/>
      <c r="I506" s="1"/>
      <c r="J506" s="1"/>
    </row>
    <row r="507">
      <c r="A507" s="1"/>
      <c r="B507" s="1"/>
      <c r="C507" s="26"/>
      <c r="D507" s="23"/>
      <c r="E507" s="23"/>
      <c r="F507" s="1"/>
      <c r="G507" s="23"/>
      <c r="H507" s="23"/>
      <c r="I507" s="1"/>
      <c r="J507" s="1"/>
    </row>
    <row r="508">
      <c r="A508" s="1"/>
      <c r="B508" s="1"/>
      <c r="C508" s="26"/>
      <c r="D508" s="23"/>
      <c r="E508" s="23"/>
      <c r="F508" s="1"/>
      <c r="G508" s="23"/>
      <c r="H508" s="23"/>
      <c r="I508" s="1"/>
      <c r="J508" s="1"/>
    </row>
    <row r="509">
      <c r="A509" s="1"/>
      <c r="B509" s="1"/>
      <c r="C509" s="23"/>
      <c r="D509" s="23"/>
      <c r="E509" s="23"/>
      <c r="F509" s="1"/>
      <c r="G509" s="23"/>
      <c r="H509" s="23"/>
      <c r="I509" s="1"/>
      <c r="J509" s="1"/>
    </row>
    <row r="510">
      <c r="A510" s="1"/>
      <c r="B510" s="1"/>
      <c r="C510" s="23"/>
      <c r="D510" s="23"/>
      <c r="E510" s="23"/>
      <c r="F510" s="1"/>
      <c r="G510" s="23"/>
      <c r="H510" s="23"/>
      <c r="I510" s="1"/>
      <c r="J510" s="1"/>
    </row>
    <row r="511">
      <c r="A511" s="1"/>
      <c r="B511" s="1"/>
      <c r="C511" s="26"/>
      <c r="D511" s="23"/>
      <c r="E511" s="23"/>
      <c r="F511" s="1"/>
      <c r="G511" s="23"/>
      <c r="H511" s="23"/>
      <c r="I511" s="1"/>
      <c r="J511" s="1"/>
    </row>
    <row r="512">
      <c r="A512" s="1"/>
      <c r="B512" s="1"/>
      <c r="C512" s="26"/>
      <c r="D512" s="23"/>
      <c r="E512" s="23"/>
      <c r="F512" s="1"/>
      <c r="G512" s="23"/>
      <c r="H512" s="23"/>
      <c r="I512" s="1"/>
      <c r="J512" s="1"/>
    </row>
    <row r="513">
      <c r="A513" s="1"/>
      <c r="B513" s="1"/>
      <c r="C513" s="26"/>
      <c r="D513" s="23"/>
      <c r="E513" s="23"/>
      <c r="F513" s="1"/>
      <c r="G513" s="23"/>
      <c r="H513" s="23"/>
      <c r="I513" s="1"/>
      <c r="J513" s="1"/>
    </row>
    <row r="514">
      <c r="A514" s="1"/>
      <c r="B514" s="1"/>
      <c r="C514" s="26"/>
      <c r="D514" s="23"/>
      <c r="E514" s="23"/>
      <c r="F514" s="1"/>
      <c r="G514" s="23"/>
      <c r="H514" s="23"/>
      <c r="I514" s="1"/>
      <c r="J514" s="1"/>
    </row>
    <row r="515">
      <c r="A515" s="1"/>
      <c r="B515" s="1"/>
      <c r="C515" s="26"/>
      <c r="D515" s="23"/>
      <c r="E515" s="23"/>
      <c r="F515" s="1"/>
      <c r="G515" s="23"/>
      <c r="H515" s="23"/>
      <c r="I515" s="1"/>
      <c r="J515" s="1"/>
    </row>
    <row r="516">
      <c r="A516" s="1"/>
      <c r="B516" s="1"/>
      <c r="C516" s="26"/>
      <c r="D516" s="23"/>
      <c r="E516" s="23"/>
      <c r="F516" s="1"/>
      <c r="G516" s="23"/>
      <c r="H516" s="23"/>
      <c r="I516" s="1"/>
      <c r="J516" s="1"/>
    </row>
    <row r="517">
      <c r="A517" s="1"/>
      <c r="B517" s="1"/>
      <c r="C517" s="23"/>
      <c r="D517" s="23"/>
      <c r="E517" s="23"/>
      <c r="F517" s="1"/>
      <c r="G517" s="23"/>
      <c r="H517" s="23"/>
      <c r="I517" s="1"/>
      <c r="J517" s="1"/>
    </row>
    <row r="518">
      <c r="A518" s="1"/>
      <c r="B518" s="1"/>
      <c r="C518" s="26"/>
      <c r="D518" s="23"/>
      <c r="E518" s="23"/>
      <c r="F518" s="1"/>
      <c r="G518" s="23"/>
      <c r="H518" s="23"/>
      <c r="I518" s="1"/>
      <c r="J518" s="1"/>
    </row>
    <row r="519">
      <c r="A519" s="1"/>
      <c r="B519" s="1"/>
      <c r="C519" s="23"/>
      <c r="D519" s="23"/>
      <c r="E519" s="23"/>
      <c r="F519" s="1"/>
      <c r="G519" s="23"/>
      <c r="H519" s="23"/>
      <c r="I519" s="1"/>
      <c r="J519" s="1"/>
    </row>
    <row r="520">
      <c r="A520" s="1"/>
      <c r="B520" s="1"/>
      <c r="C520" s="23"/>
      <c r="D520" s="23"/>
      <c r="E520" s="23"/>
      <c r="F520" s="1"/>
      <c r="G520" s="23"/>
      <c r="H520" s="23"/>
      <c r="I520" s="1"/>
      <c r="J520" s="1"/>
    </row>
    <row r="521">
      <c r="A521" s="1"/>
      <c r="B521" s="1"/>
      <c r="C521" s="23"/>
      <c r="D521" s="23"/>
      <c r="E521" s="23"/>
      <c r="F521" s="1"/>
      <c r="G521" s="23"/>
      <c r="H521" s="23"/>
      <c r="I521" s="1"/>
      <c r="J521" s="1"/>
    </row>
    <row r="522">
      <c r="A522" s="1"/>
      <c r="B522" s="1"/>
      <c r="C522" s="23"/>
      <c r="D522" s="23"/>
      <c r="E522" s="23"/>
      <c r="F522" s="1"/>
      <c r="G522" s="23"/>
      <c r="H522" s="23"/>
      <c r="I522" s="1"/>
      <c r="J522" s="1"/>
    </row>
    <row r="523">
      <c r="A523" s="1"/>
      <c r="B523" s="1"/>
      <c r="C523" s="26"/>
      <c r="D523" s="23"/>
      <c r="E523" s="23"/>
      <c r="F523" s="1"/>
      <c r="G523" s="23"/>
      <c r="H523" s="23"/>
      <c r="I523" s="1"/>
      <c r="J523" s="1"/>
    </row>
    <row r="524">
      <c r="A524" s="1"/>
      <c r="B524" s="1"/>
      <c r="C524" s="26"/>
      <c r="D524" s="23"/>
      <c r="E524" s="23"/>
      <c r="F524" s="1"/>
      <c r="G524" s="23"/>
      <c r="H524" s="23"/>
      <c r="I524" s="1"/>
      <c r="J524" s="1"/>
    </row>
    <row r="525">
      <c r="A525" s="1"/>
      <c r="B525" s="1"/>
      <c r="C525" s="26"/>
      <c r="D525" s="23"/>
      <c r="E525" s="23"/>
      <c r="F525" s="1"/>
      <c r="G525" s="23"/>
      <c r="H525" s="23"/>
      <c r="I525" s="1"/>
      <c r="J525" s="1"/>
    </row>
    <row r="526">
      <c r="A526" s="1"/>
      <c r="B526" s="1"/>
      <c r="C526" s="26"/>
      <c r="D526" s="23"/>
      <c r="E526" s="23"/>
      <c r="F526" s="1"/>
      <c r="G526" s="23"/>
      <c r="H526" s="23"/>
      <c r="I526" s="1"/>
      <c r="J526" s="1"/>
    </row>
    <row r="527">
      <c r="A527" s="1"/>
      <c r="B527" s="1"/>
      <c r="C527" s="26"/>
      <c r="D527" s="23"/>
      <c r="E527" s="23"/>
      <c r="F527" s="1"/>
      <c r="G527" s="23"/>
      <c r="H527" s="23"/>
      <c r="I527" s="1"/>
      <c r="J527" s="1"/>
    </row>
    <row r="528">
      <c r="A528" s="1"/>
      <c r="B528" s="1"/>
      <c r="C528" s="23"/>
      <c r="D528" s="23"/>
      <c r="E528" s="23"/>
      <c r="F528" s="1"/>
      <c r="G528" s="23"/>
      <c r="H528" s="23"/>
      <c r="I528" s="1"/>
      <c r="J528" s="1"/>
    </row>
    <row r="529">
      <c r="A529" s="1"/>
      <c r="B529" s="1"/>
      <c r="C529" s="23"/>
      <c r="D529" s="23"/>
      <c r="E529" s="23"/>
      <c r="F529" s="1"/>
      <c r="G529" s="23"/>
      <c r="H529" s="23"/>
      <c r="I529" s="1"/>
      <c r="J529" s="1"/>
    </row>
    <row r="530">
      <c r="A530" s="1"/>
      <c r="B530" s="1"/>
      <c r="C530" s="23"/>
      <c r="D530" s="23"/>
      <c r="E530" s="23"/>
      <c r="F530" s="1"/>
      <c r="G530" s="23"/>
      <c r="H530" s="23"/>
      <c r="I530" s="1"/>
      <c r="J530" s="1"/>
    </row>
    <row r="531">
      <c r="A531" s="1"/>
      <c r="B531" s="1"/>
      <c r="C531" s="23"/>
      <c r="D531" s="23"/>
      <c r="E531" s="23"/>
      <c r="F531" s="1"/>
      <c r="G531" s="23"/>
      <c r="H531" s="23"/>
      <c r="I531" s="1"/>
      <c r="J531" s="1"/>
    </row>
    <row r="532">
      <c r="A532" s="1"/>
      <c r="B532" s="1"/>
      <c r="C532" s="23"/>
      <c r="D532" s="23"/>
      <c r="E532" s="23"/>
      <c r="F532" s="1"/>
      <c r="G532" s="23"/>
      <c r="H532" s="23"/>
      <c r="I532" s="1"/>
      <c r="J532" s="1"/>
    </row>
    <row r="533">
      <c r="A533" s="1"/>
      <c r="B533" s="1"/>
      <c r="C533" s="26"/>
      <c r="D533" s="23"/>
      <c r="E533" s="23"/>
      <c r="F533" s="1"/>
      <c r="G533" s="23"/>
      <c r="H533" s="23"/>
      <c r="I533" s="1"/>
      <c r="J533" s="1"/>
    </row>
    <row r="534">
      <c r="A534" s="1"/>
      <c r="B534" s="1"/>
      <c r="C534" s="23"/>
      <c r="D534" s="23"/>
      <c r="E534" s="23"/>
      <c r="F534" s="1"/>
      <c r="G534" s="23"/>
      <c r="H534" s="23"/>
      <c r="I534" s="1"/>
      <c r="J534" s="1"/>
    </row>
    <row r="535">
      <c r="A535" s="1"/>
      <c r="B535" s="1"/>
      <c r="C535" s="23"/>
      <c r="D535" s="23"/>
      <c r="E535" s="23"/>
      <c r="F535" s="1"/>
      <c r="G535" s="23"/>
      <c r="H535" s="23"/>
      <c r="I535" s="1"/>
      <c r="J535" s="1"/>
    </row>
    <row r="536">
      <c r="A536" s="1"/>
      <c r="B536" s="1"/>
      <c r="C536" s="23"/>
      <c r="D536" s="23"/>
      <c r="E536" s="23"/>
      <c r="F536" s="1"/>
      <c r="G536" s="23"/>
      <c r="H536" s="23"/>
      <c r="I536" s="1"/>
      <c r="J536" s="1"/>
    </row>
    <row r="537">
      <c r="A537" s="1"/>
      <c r="B537" s="1"/>
      <c r="C537" s="23"/>
      <c r="D537" s="23"/>
      <c r="E537" s="23"/>
      <c r="F537" s="1"/>
      <c r="G537" s="23"/>
      <c r="H537" s="23"/>
      <c r="I537" s="1"/>
      <c r="J537" s="1"/>
    </row>
    <row r="538">
      <c r="A538" s="1"/>
      <c r="B538" s="1"/>
      <c r="C538" s="23"/>
      <c r="D538" s="23"/>
      <c r="E538" s="23"/>
      <c r="F538" s="1"/>
      <c r="G538" s="23"/>
      <c r="H538" s="23"/>
      <c r="I538" s="1"/>
      <c r="J538" s="1"/>
    </row>
    <row r="539">
      <c r="A539" s="1"/>
      <c r="B539" s="1"/>
      <c r="C539" s="23"/>
      <c r="D539" s="23"/>
      <c r="E539" s="26"/>
      <c r="F539" s="1"/>
      <c r="G539" s="23"/>
      <c r="H539" s="23"/>
      <c r="I539" s="1"/>
      <c r="J539" s="1"/>
    </row>
    <row r="540">
      <c r="A540" s="1"/>
      <c r="B540" s="1"/>
      <c r="C540" s="23"/>
      <c r="D540" s="23"/>
      <c r="E540" s="26"/>
      <c r="F540" s="1"/>
      <c r="G540" s="23"/>
      <c r="H540" s="23"/>
      <c r="I540" s="1"/>
      <c r="J540" s="1"/>
    </row>
    <row r="541">
      <c r="A541" s="1"/>
      <c r="B541" s="1"/>
      <c r="C541" s="23"/>
      <c r="D541" s="23"/>
      <c r="E541" s="26"/>
      <c r="F541" s="1"/>
      <c r="G541" s="23"/>
      <c r="H541" s="23"/>
      <c r="I541" s="1"/>
      <c r="J541" s="1"/>
    </row>
    <row r="542">
      <c r="A542" s="1"/>
      <c r="B542" s="1"/>
      <c r="C542" s="23"/>
      <c r="D542" s="23"/>
      <c r="E542" s="26"/>
      <c r="F542" s="1"/>
      <c r="G542" s="23"/>
      <c r="H542" s="23"/>
      <c r="I542" s="1"/>
      <c r="J542" s="1"/>
    </row>
    <row r="543">
      <c r="A543" s="1"/>
      <c r="B543" s="1"/>
      <c r="C543" s="23"/>
      <c r="D543" s="23"/>
      <c r="E543" s="26"/>
      <c r="F543" s="1"/>
      <c r="G543" s="23"/>
      <c r="H543" s="23"/>
      <c r="I543" s="1"/>
      <c r="J543" s="1"/>
    </row>
    <row r="544">
      <c r="A544" s="1"/>
      <c r="B544" s="1"/>
      <c r="C544" s="23"/>
      <c r="D544" s="26"/>
      <c r="E544" s="23"/>
      <c r="F544" s="1"/>
      <c r="G544" s="23"/>
      <c r="H544" s="23"/>
      <c r="I544" s="1"/>
      <c r="J544" s="1"/>
    </row>
    <row r="545">
      <c r="A545" s="1"/>
      <c r="B545" s="1"/>
      <c r="C545" s="23"/>
      <c r="D545" s="23"/>
      <c r="E545" s="23"/>
      <c r="F545" s="1"/>
      <c r="G545" s="23"/>
      <c r="H545" s="23"/>
      <c r="I545" s="1"/>
      <c r="J545" s="1"/>
    </row>
    <row r="546">
      <c r="A546" s="1"/>
      <c r="B546" s="1"/>
      <c r="C546" s="23"/>
      <c r="D546" s="23"/>
      <c r="E546" s="23"/>
      <c r="F546" s="1"/>
      <c r="G546" s="23"/>
      <c r="H546" s="23"/>
      <c r="I546" s="1"/>
      <c r="J546" s="1"/>
    </row>
    <row r="547">
      <c r="A547" s="1"/>
      <c r="B547" s="1"/>
      <c r="C547" s="23"/>
      <c r="D547" s="26"/>
      <c r="E547" s="23"/>
      <c r="F547" s="1"/>
      <c r="G547" s="23"/>
      <c r="H547" s="23"/>
      <c r="I547" s="1"/>
      <c r="J547" s="1"/>
    </row>
    <row r="548">
      <c r="A548" s="1"/>
      <c r="B548" s="1"/>
      <c r="C548" s="23"/>
      <c r="D548" s="23"/>
      <c r="E548" s="23"/>
      <c r="F548" s="1"/>
      <c r="G548" s="23"/>
      <c r="H548" s="23"/>
      <c r="I548" s="1"/>
      <c r="J548" s="1"/>
    </row>
    <row r="549">
      <c r="A549" s="1"/>
      <c r="B549" s="1"/>
      <c r="C549" s="26"/>
      <c r="D549" s="23"/>
      <c r="E549" s="26"/>
      <c r="F549" s="1"/>
      <c r="G549" s="23"/>
      <c r="H549" s="23"/>
      <c r="I549" s="1"/>
      <c r="J549" s="1"/>
    </row>
    <row r="550">
      <c r="A550" s="1"/>
      <c r="B550" s="1"/>
      <c r="C550" s="23"/>
      <c r="D550" s="23"/>
      <c r="E550" s="26"/>
      <c r="F550" s="1"/>
      <c r="G550" s="23"/>
      <c r="H550" s="23"/>
      <c r="I550" s="1"/>
      <c r="J550" s="1"/>
    </row>
    <row r="551">
      <c r="A551" s="1"/>
      <c r="B551" s="1"/>
      <c r="C551" s="23"/>
      <c r="D551" s="23"/>
      <c r="E551" s="26"/>
      <c r="F551" s="1"/>
      <c r="G551" s="23"/>
      <c r="H551" s="23"/>
      <c r="I551" s="1"/>
      <c r="J551" s="1"/>
    </row>
    <row r="552">
      <c r="A552" s="1"/>
      <c r="B552" s="1"/>
      <c r="C552" s="23"/>
      <c r="D552" s="23"/>
      <c r="E552" s="26"/>
      <c r="F552" s="1"/>
      <c r="G552" s="23"/>
      <c r="H552" s="23"/>
      <c r="I552" s="1"/>
      <c r="J552" s="1"/>
    </row>
    <row r="553">
      <c r="A553" s="1"/>
      <c r="B553" s="1"/>
      <c r="C553" s="23"/>
      <c r="D553" s="23"/>
      <c r="E553" s="23"/>
      <c r="F553" s="1"/>
      <c r="G553" s="23"/>
      <c r="H553" s="23"/>
      <c r="I553" s="1"/>
      <c r="J553" s="1"/>
    </row>
    <row r="554">
      <c r="A554" s="1"/>
      <c r="B554" s="1"/>
      <c r="C554" s="23"/>
      <c r="D554" s="23"/>
      <c r="E554" s="23"/>
      <c r="F554" s="1"/>
      <c r="G554" s="23"/>
      <c r="H554" s="23"/>
      <c r="I554" s="1"/>
      <c r="J554" s="1"/>
    </row>
    <row r="555">
      <c r="A555" s="1"/>
      <c r="B555" s="1"/>
      <c r="C555" s="23"/>
      <c r="D555" s="23"/>
      <c r="E555" s="23"/>
      <c r="F555" s="1"/>
      <c r="G555" s="23"/>
      <c r="H555" s="23"/>
      <c r="I555" s="1"/>
      <c r="J555" s="1"/>
    </row>
    <row r="556">
      <c r="A556" s="1"/>
      <c r="B556" s="1"/>
      <c r="C556" s="23"/>
      <c r="D556" s="23"/>
      <c r="E556" s="23"/>
      <c r="F556" s="1"/>
      <c r="G556" s="23"/>
      <c r="H556" s="23"/>
      <c r="I556" s="1"/>
      <c r="J556" s="1"/>
    </row>
    <row r="557">
      <c r="A557" s="1"/>
      <c r="B557" s="1"/>
      <c r="C557" s="23"/>
      <c r="D557" s="23"/>
      <c r="E557" s="23"/>
      <c r="F557" s="1"/>
      <c r="G557" s="23"/>
      <c r="H557" s="23"/>
      <c r="I557" s="1"/>
      <c r="J557" s="1"/>
    </row>
    <row r="558">
      <c r="A558" s="1"/>
      <c r="B558" s="1"/>
      <c r="C558" s="23"/>
      <c r="D558" s="23"/>
      <c r="E558" s="23"/>
      <c r="F558" s="1"/>
      <c r="G558" s="23"/>
      <c r="H558" s="23"/>
      <c r="I558" s="1"/>
      <c r="J558" s="1"/>
    </row>
    <row r="559">
      <c r="A559" s="1"/>
      <c r="B559" s="1"/>
      <c r="C559" s="23"/>
      <c r="D559" s="23"/>
      <c r="E559" s="23"/>
      <c r="F559" s="1"/>
      <c r="G559" s="23"/>
      <c r="H559" s="23"/>
      <c r="I559" s="1"/>
      <c r="J559" s="1"/>
    </row>
    <row r="560">
      <c r="A560" s="1"/>
      <c r="B560" s="1"/>
      <c r="C560" s="23"/>
      <c r="D560" s="23"/>
      <c r="E560" s="23"/>
      <c r="F560" s="1"/>
      <c r="G560" s="23"/>
      <c r="H560" s="23"/>
      <c r="I560" s="1"/>
      <c r="J560" s="1"/>
    </row>
    <row r="561">
      <c r="A561" s="1"/>
      <c r="B561" s="1"/>
      <c r="C561" s="23"/>
      <c r="D561" s="26"/>
      <c r="E561" s="23"/>
      <c r="F561" s="1"/>
      <c r="G561" s="23"/>
      <c r="H561" s="23"/>
      <c r="I561" s="1"/>
      <c r="J561" s="1"/>
    </row>
    <row r="562">
      <c r="A562" s="1"/>
      <c r="B562" s="1"/>
      <c r="C562" s="23"/>
      <c r="D562" s="23"/>
      <c r="E562" s="23"/>
      <c r="F562" s="1"/>
      <c r="G562" s="23"/>
      <c r="H562" s="23"/>
      <c r="I562" s="1"/>
      <c r="J562" s="1"/>
    </row>
    <row r="563">
      <c r="A563" s="1"/>
      <c r="B563" s="1"/>
      <c r="C563" s="23"/>
      <c r="D563" s="23"/>
      <c r="E563" s="23"/>
      <c r="F563" s="1"/>
      <c r="G563" s="23"/>
      <c r="H563" s="23"/>
      <c r="I563" s="1"/>
      <c r="J563" s="1"/>
    </row>
    <row r="564">
      <c r="A564" s="1"/>
      <c r="B564" s="1"/>
      <c r="C564" s="23"/>
      <c r="D564" s="23"/>
      <c r="E564" s="23"/>
      <c r="F564" s="1"/>
      <c r="G564" s="23"/>
      <c r="H564" s="23"/>
      <c r="I564" s="1"/>
      <c r="J564" s="1"/>
    </row>
    <row r="565">
      <c r="A565" s="1"/>
      <c r="B565" s="1"/>
      <c r="C565" s="23"/>
      <c r="D565" s="23"/>
      <c r="E565" s="23"/>
      <c r="F565" s="1"/>
      <c r="G565" s="23"/>
      <c r="H565" s="23"/>
      <c r="I565" s="1"/>
      <c r="J565" s="1"/>
    </row>
    <row r="566">
      <c r="A566" s="1"/>
      <c r="B566" s="1"/>
      <c r="C566" s="23"/>
      <c r="D566" s="23"/>
      <c r="E566" s="23"/>
      <c r="F566" s="1"/>
      <c r="G566" s="23"/>
      <c r="H566" s="23"/>
      <c r="I566" s="1"/>
      <c r="J566" s="1"/>
    </row>
    <row r="567">
      <c r="A567" s="1"/>
      <c r="B567" s="1"/>
      <c r="C567" s="23"/>
      <c r="D567" s="23"/>
      <c r="E567" s="23"/>
      <c r="F567" s="1"/>
      <c r="G567" s="23"/>
      <c r="H567" s="23"/>
      <c r="I567" s="1"/>
      <c r="J567" s="1"/>
    </row>
    <row r="568">
      <c r="A568" s="1"/>
      <c r="B568" s="1"/>
      <c r="C568" s="26"/>
      <c r="D568" s="23"/>
      <c r="E568" s="23"/>
      <c r="F568" s="1"/>
      <c r="G568" s="23"/>
      <c r="H568" s="23"/>
      <c r="I568" s="1"/>
      <c r="J568" s="1"/>
    </row>
    <row r="569">
      <c r="A569" s="1"/>
      <c r="B569" s="1"/>
      <c r="C569" s="26"/>
      <c r="D569" s="23"/>
      <c r="E569" s="23"/>
      <c r="F569" s="1"/>
      <c r="G569" s="23"/>
      <c r="H569" s="23"/>
      <c r="I569" s="1"/>
      <c r="J569" s="1"/>
    </row>
    <row r="570">
      <c r="A570" s="1"/>
      <c r="B570" s="1"/>
      <c r="C570" s="23"/>
      <c r="D570" s="23"/>
      <c r="E570" s="23"/>
      <c r="F570" s="1"/>
      <c r="G570" s="23"/>
      <c r="H570" s="23"/>
      <c r="I570" s="1"/>
      <c r="J570" s="1"/>
    </row>
    <row r="571">
      <c r="A571" s="1"/>
      <c r="B571" s="1"/>
      <c r="C571" s="23"/>
      <c r="D571" s="23"/>
      <c r="E571" s="23"/>
      <c r="F571" s="1"/>
      <c r="G571" s="23"/>
      <c r="H571" s="23"/>
      <c r="I571" s="1"/>
      <c r="J571" s="1"/>
    </row>
    <row r="572">
      <c r="A572" s="1"/>
      <c r="B572" s="1"/>
      <c r="C572" s="23"/>
      <c r="D572" s="23"/>
      <c r="E572" s="23"/>
      <c r="F572" s="1"/>
      <c r="G572" s="23"/>
      <c r="H572" s="23"/>
      <c r="I572" s="1"/>
      <c r="J572" s="1"/>
    </row>
    <row r="573">
      <c r="A573" s="1"/>
      <c r="B573" s="1"/>
      <c r="C573" s="23"/>
      <c r="D573" s="23"/>
      <c r="E573" s="23"/>
      <c r="F573" s="1"/>
      <c r="G573" s="23"/>
      <c r="H573" s="23"/>
      <c r="I573" s="1"/>
      <c r="J573" s="1"/>
    </row>
    <row r="574">
      <c r="A574" s="1"/>
      <c r="B574" s="1"/>
      <c r="C574" s="23"/>
      <c r="D574" s="23"/>
      <c r="E574" s="23"/>
      <c r="F574" s="1"/>
      <c r="G574" s="23"/>
      <c r="H574" s="23"/>
      <c r="I574" s="1"/>
      <c r="J574" s="1"/>
    </row>
    <row r="575">
      <c r="A575" s="1"/>
      <c r="B575" s="1"/>
      <c r="C575" s="23"/>
      <c r="D575" s="23"/>
      <c r="E575" s="23"/>
      <c r="F575" s="1"/>
      <c r="G575" s="23"/>
      <c r="H575" s="23"/>
      <c r="I575" s="1"/>
      <c r="J575" s="1"/>
    </row>
    <row r="576">
      <c r="A576" s="1"/>
      <c r="B576" s="1"/>
      <c r="C576" s="23"/>
      <c r="D576" s="23"/>
      <c r="E576" s="23"/>
      <c r="F576" s="1"/>
      <c r="G576" s="23"/>
      <c r="H576" s="23"/>
      <c r="I576" s="1"/>
      <c r="J576" s="1"/>
    </row>
    <row r="577">
      <c r="A577" s="1"/>
      <c r="B577" s="1"/>
      <c r="C577" s="23"/>
      <c r="D577" s="23"/>
      <c r="E577" s="23"/>
      <c r="F577" s="1"/>
      <c r="G577" s="23"/>
      <c r="H577" s="23"/>
      <c r="I577" s="1"/>
      <c r="J577" s="1"/>
    </row>
    <row r="578">
      <c r="A578" s="1"/>
      <c r="B578" s="1"/>
      <c r="C578" s="23"/>
      <c r="D578" s="23"/>
      <c r="E578" s="23"/>
      <c r="F578" s="1"/>
      <c r="G578" s="23"/>
      <c r="H578" s="23"/>
      <c r="I578" s="1"/>
      <c r="J578" s="1"/>
    </row>
    <row r="579">
      <c r="A579" s="1"/>
      <c r="B579" s="1"/>
      <c r="C579" s="23"/>
      <c r="D579" s="23"/>
      <c r="E579" s="23"/>
      <c r="F579" s="1"/>
      <c r="G579" s="23"/>
      <c r="H579" s="23"/>
      <c r="I579" s="1"/>
      <c r="J579" s="1"/>
    </row>
    <row r="580">
      <c r="A580" s="1"/>
      <c r="B580" s="1"/>
      <c r="C580" s="23"/>
      <c r="D580" s="23"/>
      <c r="E580" s="23"/>
      <c r="F580" s="1"/>
      <c r="G580" s="23"/>
      <c r="H580" s="23"/>
      <c r="I580" s="1"/>
      <c r="J580" s="1"/>
    </row>
    <row r="581">
      <c r="A581" s="1"/>
      <c r="B581" s="1"/>
      <c r="C581" s="23"/>
      <c r="D581" s="23"/>
      <c r="E581" s="23"/>
      <c r="F581" s="1"/>
      <c r="G581" s="23"/>
      <c r="H581" s="23"/>
      <c r="I581" s="1"/>
      <c r="J581" s="1"/>
    </row>
    <row r="582">
      <c r="A582" s="1"/>
      <c r="B582" s="1"/>
      <c r="C582" s="26"/>
      <c r="D582" s="23"/>
      <c r="E582" s="23"/>
      <c r="F582" s="1"/>
      <c r="G582" s="23"/>
      <c r="H582" s="23"/>
      <c r="I582" s="1"/>
      <c r="J582" s="1"/>
    </row>
    <row r="583">
      <c r="A583" s="1"/>
      <c r="B583" s="1"/>
      <c r="C583" s="23"/>
      <c r="D583" s="23"/>
      <c r="E583" s="23"/>
      <c r="F583" s="1"/>
      <c r="G583" s="23"/>
      <c r="H583" s="23"/>
      <c r="I583" s="1"/>
      <c r="J583" s="1"/>
    </row>
    <row r="584">
      <c r="A584" s="1"/>
      <c r="B584" s="1"/>
      <c r="C584" s="23"/>
      <c r="D584" s="23"/>
      <c r="E584" s="23"/>
      <c r="F584" s="1"/>
      <c r="G584" s="23"/>
      <c r="H584" s="23"/>
      <c r="I584" s="1"/>
      <c r="J584" s="1"/>
    </row>
    <row r="585">
      <c r="A585" s="1"/>
      <c r="B585" s="1"/>
      <c r="C585" s="23"/>
      <c r="D585" s="23"/>
      <c r="E585" s="23"/>
      <c r="F585" s="1"/>
      <c r="G585" s="23"/>
      <c r="H585" s="23"/>
      <c r="I585" s="1"/>
      <c r="J585" s="1"/>
    </row>
    <row r="586">
      <c r="A586" s="1"/>
      <c r="B586" s="1"/>
      <c r="C586" s="23"/>
      <c r="D586" s="23"/>
      <c r="E586" s="23"/>
      <c r="F586" s="1"/>
      <c r="G586" s="23"/>
      <c r="H586" s="23"/>
      <c r="I586" s="1"/>
      <c r="J586" s="1"/>
    </row>
    <row r="587">
      <c r="A587" s="1"/>
      <c r="B587" s="1"/>
      <c r="C587" s="23"/>
      <c r="D587" s="23"/>
      <c r="E587" s="23"/>
      <c r="F587" s="1"/>
      <c r="G587" s="23"/>
      <c r="H587" s="23"/>
      <c r="I587" s="1"/>
      <c r="J587" s="1"/>
    </row>
    <row r="588">
      <c r="A588" s="1"/>
      <c r="B588" s="1"/>
      <c r="C588" s="23"/>
      <c r="D588" s="23"/>
      <c r="E588" s="23"/>
      <c r="F588" s="1"/>
      <c r="G588" s="23"/>
      <c r="H588" s="23"/>
      <c r="I588" s="1"/>
      <c r="J588" s="1"/>
    </row>
    <row r="589">
      <c r="A589" s="1"/>
      <c r="B589" s="1"/>
      <c r="C589" s="26"/>
      <c r="D589" s="23"/>
      <c r="E589" s="23"/>
      <c r="F589" s="1"/>
      <c r="G589" s="23"/>
      <c r="H589" s="23"/>
      <c r="I589" s="1"/>
      <c r="J589" s="1"/>
    </row>
    <row r="590">
      <c r="A590" s="1"/>
      <c r="B590" s="1"/>
      <c r="C590" s="23"/>
      <c r="D590" s="23"/>
      <c r="E590" s="23"/>
      <c r="F590" s="1"/>
      <c r="G590" s="23"/>
      <c r="H590" s="23"/>
      <c r="I590" s="1"/>
      <c r="J590" s="1"/>
    </row>
    <row r="591">
      <c r="A591" s="1"/>
      <c r="B591" s="1"/>
      <c r="C591" s="23"/>
      <c r="D591" s="23"/>
      <c r="E591" s="23"/>
      <c r="F591" s="1"/>
      <c r="G591" s="23"/>
      <c r="H591" s="23"/>
      <c r="I591" s="1"/>
      <c r="J591" s="1"/>
    </row>
    <row r="592">
      <c r="A592" s="1"/>
      <c r="B592" s="1"/>
      <c r="C592" s="23"/>
      <c r="D592" s="23"/>
      <c r="E592" s="23"/>
      <c r="F592" s="1"/>
      <c r="G592" s="23"/>
      <c r="H592" s="23"/>
      <c r="I592" s="1"/>
      <c r="J592" s="1"/>
    </row>
    <row r="593">
      <c r="A593" s="1"/>
      <c r="B593" s="1"/>
      <c r="C593" s="23"/>
      <c r="D593" s="23"/>
      <c r="E593" s="23"/>
      <c r="F593" s="1"/>
      <c r="G593" s="23"/>
      <c r="H593" s="23"/>
      <c r="I593" s="1"/>
      <c r="J593" s="1"/>
    </row>
    <row r="594">
      <c r="A594" s="1"/>
    </row>
    <row r="595">
      <c r="A595" s="1"/>
      <c r="B595" s="1"/>
      <c r="C595" s="26"/>
      <c r="D595" s="23"/>
      <c r="E595" s="23"/>
      <c r="F595" s="1"/>
      <c r="G595" s="23"/>
      <c r="H595" s="23"/>
      <c r="I595" s="1"/>
      <c r="J595" s="1"/>
    </row>
    <row r="596">
      <c r="A596" s="1"/>
      <c r="B596" s="1"/>
      <c r="C596" s="23"/>
      <c r="D596" s="23"/>
      <c r="E596" s="23"/>
      <c r="F596" s="1"/>
      <c r="G596" s="23"/>
      <c r="H596" s="23"/>
      <c r="I596" s="1"/>
      <c r="J596" s="1"/>
    </row>
    <row r="597">
      <c r="A597" s="1"/>
      <c r="B597" s="1"/>
      <c r="C597" s="23"/>
      <c r="D597" s="23"/>
      <c r="E597" s="23"/>
      <c r="F597" s="1"/>
      <c r="G597" s="23"/>
      <c r="H597" s="23"/>
      <c r="I597" s="1"/>
      <c r="J597" s="1"/>
    </row>
    <row r="598">
      <c r="A598" s="1"/>
      <c r="B598" s="1"/>
      <c r="C598" s="23"/>
      <c r="D598" s="23"/>
      <c r="E598" s="23"/>
      <c r="F598" s="1"/>
      <c r="G598" s="23"/>
      <c r="H598" s="23"/>
      <c r="I598" s="1"/>
      <c r="J598" s="1"/>
    </row>
    <row r="599">
      <c r="A599" s="1"/>
      <c r="B599" s="1"/>
      <c r="C599" s="23"/>
      <c r="D599" s="23"/>
      <c r="E599" s="23"/>
      <c r="F599" s="1"/>
      <c r="G599" s="23"/>
      <c r="H599" s="23"/>
      <c r="I599" s="1"/>
      <c r="J599" s="1"/>
    </row>
    <row r="600">
      <c r="A600" s="1"/>
      <c r="B600" s="1"/>
      <c r="C600" s="23"/>
      <c r="D600" s="23"/>
      <c r="E600" s="23"/>
      <c r="F600" s="1"/>
      <c r="G600" s="23"/>
      <c r="H600" s="23"/>
      <c r="I600" s="1"/>
      <c r="J600" s="1"/>
    </row>
    <row r="601">
      <c r="A601" s="1"/>
      <c r="B601" s="1"/>
      <c r="C601" s="23"/>
      <c r="D601" s="23"/>
      <c r="E601" s="23"/>
      <c r="F601" s="1"/>
      <c r="G601" s="23"/>
      <c r="H601" s="23"/>
      <c r="I601" s="1"/>
      <c r="J601" s="1"/>
    </row>
    <row r="602">
      <c r="A602" s="1"/>
      <c r="B602" s="1"/>
      <c r="C602" s="23"/>
      <c r="D602" s="23"/>
      <c r="E602" s="23"/>
      <c r="F602" s="1"/>
      <c r="G602" s="23"/>
      <c r="H602" s="23"/>
      <c r="I602" s="1"/>
      <c r="J602" s="1"/>
    </row>
    <row r="603">
      <c r="A603" s="1"/>
      <c r="B603" s="1"/>
      <c r="C603" s="23"/>
      <c r="D603" s="26"/>
      <c r="E603" s="23"/>
      <c r="F603" s="1"/>
      <c r="G603" s="23"/>
      <c r="H603" s="23"/>
      <c r="I603" s="1"/>
      <c r="J603" s="1"/>
    </row>
    <row r="604">
      <c r="A604" s="1"/>
      <c r="B604" s="1"/>
      <c r="C604" s="23"/>
      <c r="D604" s="23"/>
      <c r="E604" s="23"/>
      <c r="F604" s="1"/>
      <c r="G604" s="23"/>
      <c r="H604" s="23"/>
      <c r="I604" s="1"/>
      <c r="J604" s="1"/>
    </row>
    <row r="605">
      <c r="A605" s="1"/>
      <c r="B605" s="1"/>
      <c r="C605" s="23"/>
      <c r="D605" s="23"/>
      <c r="E605" s="23"/>
      <c r="F605" s="1"/>
      <c r="G605" s="23"/>
      <c r="H605" s="23"/>
      <c r="I605" s="1"/>
      <c r="J605" s="1"/>
    </row>
    <row r="606">
      <c r="A606" s="1"/>
      <c r="B606" s="1"/>
      <c r="C606" s="23"/>
      <c r="D606" s="23"/>
      <c r="E606" s="23"/>
      <c r="F606" s="1"/>
      <c r="G606" s="23"/>
      <c r="H606" s="23"/>
      <c r="I606" s="1"/>
      <c r="J606" s="1"/>
    </row>
    <row r="607">
      <c r="A607" s="1"/>
    </row>
    <row r="608">
      <c r="A608" s="1"/>
      <c r="B608" s="1"/>
      <c r="C608" s="23"/>
      <c r="D608" s="23"/>
      <c r="E608" s="23"/>
      <c r="F608" s="1"/>
      <c r="G608" s="23"/>
      <c r="H608" s="23"/>
      <c r="I608" s="1"/>
      <c r="J608" s="1"/>
    </row>
    <row r="609">
      <c r="A609" s="1"/>
    </row>
    <row r="610">
      <c r="A610" s="1"/>
      <c r="B610" s="1"/>
      <c r="C610" s="23"/>
      <c r="D610" s="23"/>
      <c r="E610" s="23"/>
      <c r="F610" s="1"/>
      <c r="G610" s="23"/>
      <c r="H610" s="23"/>
      <c r="I610" s="1"/>
      <c r="J610" s="1"/>
    </row>
    <row r="611">
      <c r="A611" s="1"/>
      <c r="B611" s="1"/>
      <c r="C611" s="23"/>
      <c r="D611" s="23"/>
      <c r="E611" s="23"/>
      <c r="F611" s="1"/>
      <c r="G611" s="23"/>
      <c r="H611" s="23"/>
      <c r="I611" s="1"/>
      <c r="J611" s="1"/>
    </row>
    <row r="612">
      <c r="A612" s="1"/>
      <c r="B612" s="1"/>
      <c r="C612" s="26"/>
      <c r="D612" s="26"/>
      <c r="E612" s="23"/>
      <c r="F612" s="1"/>
      <c r="G612" s="23"/>
      <c r="H612" s="23"/>
      <c r="I612" s="1"/>
      <c r="J612" s="1"/>
    </row>
    <row r="613">
      <c r="A613" s="1"/>
      <c r="B613" s="1"/>
      <c r="C613" s="23"/>
      <c r="D613" s="23"/>
      <c r="E613" s="23"/>
      <c r="F613" s="1"/>
      <c r="G613" s="23"/>
      <c r="H613" s="23"/>
      <c r="I613" s="1"/>
      <c r="J613" s="1"/>
    </row>
    <row r="614">
      <c r="A614" s="1"/>
      <c r="B614" s="1"/>
      <c r="C614" s="23"/>
      <c r="D614" s="23"/>
      <c r="E614" s="23"/>
      <c r="F614" s="1"/>
      <c r="G614" s="23"/>
      <c r="H614" s="23"/>
      <c r="I614" s="1"/>
      <c r="J614" s="1"/>
    </row>
    <row r="615">
      <c r="A615" s="1"/>
      <c r="B615" s="1"/>
      <c r="C615" s="23"/>
      <c r="D615" s="23"/>
      <c r="E615" s="23"/>
      <c r="F615" s="1"/>
      <c r="G615" s="23"/>
      <c r="H615" s="23"/>
      <c r="I615" s="1"/>
      <c r="J615" s="1"/>
    </row>
    <row r="616">
      <c r="A616" s="1"/>
      <c r="B616" s="1"/>
      <c r="C616" s="26"/>
      <c r="D616" s="23"/>
      <c r="E616" s="23"/>
      <c r="F616" s="1"/>
      <c r="G616" s="23"/>
      <c r="H616" s="23"/>
      <c r="I616" s="1"/>
      <c r="J616" s="1"/>
    </row>
    <row r="617">
      <c r="A617" s="1"/>
      <c r="B617" s="1"/>
      <c r="C617" s="23"/>
      <c r="D617" s="23"/>
      <c r="E617" s="23"/>
      <c r="F617" s="1"/>
      <c r="G617" s="23"/>
      <c r="H617" s="23"/>
      <c r="I617" s="1"/>
      <c r="J617" s="1"/>
    </row>
    <row r="618">
      <c r="A618" s="1"/>
    </row>
    <row r="619">
      <c r="A619" s="1"/>
      <c r="B619" s="1"/>
      <c r="C619" s="23"/>
      <c r="D619" s="23"/>
      <c r="E619" s="23"/>
      <c r="F619" s="1"/>
      <c r="G619" s="23"/>
      <c r="H619" s="23"/>
      <c r="I619" s="1"/>
      <c r="J619" s="1"/>
    </row>
    <row r="620">
      <c r="A620" s="1"/>
      <c r="B620" s="1"/>
      <c r="C620" s="23"/>
      <c r="D620" s="23"/>
      <c r="E620" s="23"/>
      <c r="F620" s="1"/>
      <c r="G620" s="23"/>
      <c r="H620" s="23"/>
      <c r="I620" s="1"/>
      <c r="J620" s="1"/>
    </row>
    <row r="621">
      <c r="A621" s="1"/>
      <c r="B621" s="1"/>
      <c r="C621" s="23"/>
      <c r="D621" s="23"/>
      <c r="E621" s="23"/>
      <c r="F621" s="1"/>
      <c r="G621" s="23"/>
      <c r="H621" s="23"/>
      <c r="I621" s="1"/>
      <c r="J621" s="1"/>
    </row>
    <row r="622">
      <c r="A622" s="1"/>
      <c r="B622" s="1"/>
      <c r="C622" s="23"/>
      <c r="D622" s="23"/>
      <c r="E622" s="23"/>
      <c r="F622" s="1"/>
      <c r="G622" s="23"/>
      <c r="H622" s="23"/>
      <c r="I622" s="1"/>
      <c r="J622" s="1"/>
    </row>
    <row r="623">
      <c r="A623" s="1"/>
      <c r="B623" s="1"/>
      <c r="C623" s="23"/>
      <c r="D623" s="23"/>
      <c r="E623" s="23"/>
      <c r="F623" s="1"/>
      <c r="G623" s="23"/>
      <c r="H623" s="23"/>
      <c r="I623" s="1"/>
      <c r="J623" s="1"/>
    </row>
    <row r="624">
      <c r="A624" s="1"/>
      <c r="B624" s="1"/>
      <c r="C624" s="23"/>
      <c r="D624" s="23"/>
      <c r="E624" s="23"/>
      <c r="F624" s="1"/>
      <c r="G624" s="23"/>
      <c r="H624" s="23"/>
      <c r="I624" s="1"/>
      <c r="J624" s="1"/>
    </row>
    <row r="625">
      <c r="A625" s="1"/>
      <c r="B625" s="1"/>
      <c r="C625" s="23"/>
      <c r="D625" s="23"/>
      <c r="E625" s="23"/>
      <c r="F625" s="1"/>
      <c r="G625" s="23"/>
      <c r="H625" s="23"/>
      <c r="I625" s="1"/>
      <c r="J625" s="1"/>
    </row>
    <row r="626">
      <c r="A626" s="1"/>
      <c r="B626" s="1"/>
      <c r="C626" s="23"/>
      <c r="D626" s="23"/>
      <c r="E626" s="23"/>
      <c r="F626" s="1"/>
      <c r="G626" s="23"/>
      <c r="H626" s="23"/>
      <c r="I626" s="1"/>
      <c r="J626" s="1"/>
    </row>
    <row r="627">
      <c r="A627" s="1"/>
      <c r="B627" s="1"/>
      <c r="C627" s="23"/>
      <c r="D627" s="23"/>
      <c r="E627" s="23"/>
      <c r="F627" s="1"/>
      <c r="G627" s="23"/>
      <c r="H627" s="23"/>
      <c r="I627" s="1"/>
      <c r="J627" s="1"/>
    </row>
    <row r="628">
      <c r="A628" s="1"/>
      <c r="B628" s="1"/>
      <c r="C628" s="23"/>
      <c r="D628" s="23"/>
      <c r="E628" s="23"/>
      <c r="F628" s="1"/>
      <c r="G628" s="23"/>
      <c r="H628" s="23"/>
      <c r="I628" s="1"/>
      <c r="J628" s="1"/>
    </row>
    <row r="629">
      <c r="A629" s="1"/>
      <c r="B629" s="1"/>
      <c r="C629" s="23"/>
      <c r="D629" s="23"/>
      <c r="E629" s="23"/>
      <c r="F629" s="1"/>
      <c r="G629" s="23"/>
      <c r="H629" s="23"/>
      <c r="I629" s="1"/>
      <c r="J629" s="1"/>
    </row>
    <row r="630">
      <c r="A630" s="1"/>
      <c r="B630" s="1"/>
      <c r="C630" s="23"/>
      <c r="D630" s="23"/>
      <c r="E630" s="23"/>
      <c r="F630" s="1"/>
      <c r="G630" s="23"/>
      <c r="H630" s="23"/>
      <c r="I630" s="1"/>
      <c r="J630" s="1"/>
    </row>
    <row r="631">
      <c r="A631" s="1"/>
      <c r="B631" s="1"/>
      <c r="C631" s="23"/>
      <c r="D631" s="23"/>
      <c r="E631" s="23"/>
      <c r="F631" s="1"/>
      <c r="G631" s="23"/>
      <c r="H631" s="23"/>
      <c r="I631" s="1"/>
      <c r="J631" s="1"/>
    </row>
    <row r="632">
      <c r="A632" s="1"/>
    </row>
    <row r="633">
      <c r="A633" s="1"/>
      <c r="B633" s="1"/>
      <c r="C633" s="23"/>
      <c r="D633" s="23"/>
      <c r="E633" s="23"/>
      <c r="F633" s="1"/>
      <c r="G633" s="23"/>
      <c r="H633" s="23"/>
      <c r="I633" s="1"/>
      <c r="J633" s="1"/>
    </row>
    <row r="634">
      <c r="A634" s="1"/>
      <c r="B634" s="1"/>
      <c r="C634" s="23"/>
      <c r="D634" s="23"/>
      <c r="E634" s="23"/>
      <c r="F634" s="1"/>
      <c r="G634" s="23"/>
      <c r="H634" s="23"/>
      <c r="I634" s="1"/>
      <c r="J634" s="1"/>
    </row>
    <row r="635">
      <c r="A635" s="1"/>
      <c r="B635" s="1"/>
      <c r="C635" s="23"/>
      <c r="D635" s="23"/>
      <c r="E635" s="23"/>
      <c r="F635" s="1"/>
      <c r="G635" s="23"/>
      <c r="H635" s="23"/>
      <c r="I635" s="1"/>
      <c r="J635" s="1"/>
    </row>
    <row r="636">
      <c r="A636" s="1"/>
      <c r="B636" s="1"/>
      <c r="C636" s="26"/>
      <c r="D636" s="23"/>
      <c r="E636" s="26"/>
      <c r="F636" s="1"/>
      <c r="G636" s="23"/>
      <c r="H636" s="23"/>
      <c r="I636" s="1"/>
      <c r="J636" s="1"/>
    </row>
    <row r="637">
      <c r="A637" s="1"/>
      <c r="B637" s="1"/>
      <c r="C637" s="26"/>
      <c r="D637" s="23"/>
      <c r="E637" s="26"/>
      <c r="F637" s="1"/>
      <c r="G637" s="23"/>
      <c r="H637" s="23"/>
      <c r="I637" s="1"/>
      <c r="J637" s="1"/>
    </row>
    <row r="638">
      <c r="A638" s="1"/>
      <c r="B638" s="1"/>
      <c r="C638" s="23"/>
      <c r="D638" s="23"/>
      <c r="E638" s="23"/>
      <c r="F638" s="1"/>
      <c r="G638" s="23"/>
      <c r="H638" s="23"/>
      <c r="I638" s="1"/>
      <c r="J638" s="1"/>
    </row>
    <row r="639">
      <c r="A639" s="1"/>
      <c r="B639" s="1"/>
      <c r="C639" s="23"/>
      <c r="D639" s="23"/>
      <c r="E639" s="23"/>
      <c r="F639" s="1"/>
      <c r="G639" s="23"/>
      <c r="H639" s="23"/>
      <c r="I639" s="1"/>
      <c r="J639" s="1"/>
    </row>
    <row r="640">
      <c r="A640" s="1"/>
      <c r="B640" s="1"/>
      <c r="C640" s="23"/>
      <c r="D640" s="23"/>
      <c r="E640" s="23"/>
      <c r="F640" s="1"/>
      <c r="G640" s="23"/>
      <c r="H640" s="23"/>
      <c r="I640" s="1"/>
      <c r="J640" s="1"/>
    </row>
    <row r="641">
      <c r="A641" s="1"/>
      <c r="B641" s="1"/>
      <c r="C641" s="23"/>
      <c r="D641" s="23"/>
      <c r="E641" s="23"/>
      <c r="F641" s="1"/>
      <c r="G641" s="23"/>
      <c r="H641" s="23"/>
      <c r="I641" s="1"/>
      <c r="J641" s="1"/>
    </row>
  </sheetData>
  <drawing r:id="rId1"/>
</worksheet>
</file>